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мета по ФЕР 421+557пр (12" sheetId="1" state="visible" r:id="rId1"/>
    <sheet name="Акт КС-2 по ФЕР 421+557пр " sheetId="2" state="visible" r:id="rId2"/>
    <sheet name="Макет форма-3" sheetId="3" state="visible" r:id="rId3"/>
    <sheet name="Source" sheetId="4" state="visible" r:id="rId4"/>
    <sheet name="SourceObSm" sheetId="5" state="hidden" r:id="rId5"/>
    <sheet name="SmtRes" sheetId="6" state="hidden" r:id="rId6"/>
    <sheet name="EtalonRes" sheetId="7" state="hidden" r:id="rId7"/>
    <sheet name="SrcPoprs" sheetId="8" state="hidden" r:id="rId8"/>
    <sheet name="SrcKA" sheetId="9" state="hidden" r:id="rId9"/>
  </sheets>
  <definedNames>
    <definedName name="Print_Titles" localSheetId="0">'Смета по ФЕР 421+557пр (12'!$57:$57</definedName>
    <definedName name="_xlnm.Print_Area" localSheetId="0">'Смета по ФЕР 421+557пр (12'!$A$1:$L$399</definedName>
    <definedName name="Print_Titles" localSheetId="1">'Акт КС-2 по ФЕР 421+557пр '!$36:$36</definedName>
    <definedName name="_xlnm.Print_Area" localSheetId="1">'Акт КС-2 по ФЕР 421+557пр '!$A$1:$M$379</definedName>
  </definedNames>
  <calcPr iterate="1"/>
</workbook>
</file>

<file path=xl/sharedStrings.xml><?xml version="1.0" encoding="utf-8"?>
<sst xmlns="http://schemas.openxmlformats.org/spreadsheetml/2006/main" count="621" uniqueCount="621">
  <si>
    <t>"СОГЛАСОВАНО"</t>
  </si>
  <si>
    <t>"УТВЕРЖДАЮ"</t>
  </si>
  <si>
    <t xml:space="preserve">"_____"________________ 2026 г.</t>
  </si>
  <si>
    <t xml:space="preserve">Наименование программного продукта</t>
  </si>
  <si>
    <t xml:space="preserve">Программа для ЭВМ «Программа: «Smeta.RU» версия 11»</t>
  </si>
  <si>
    <t xml:space="preserve">Наименование редакции сметных нормативов</t>
  </si>
  <si>
    <t xml:space="preserve">Реквизиты приказов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</si>
  <si>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</si>
  <si>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 xml:space="preserve">Прочие объекты№77907-ИФ/09 от 16.12.25</t>
  </si>
  <si>
    <t xml:space="preserve">Нормативный правовой акт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</si>
  <si>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 xml:space="preserve">Наименование субъекта Российской Федерации</t>
  </si>
  <si>
    <t xml:space="preserve">Наименование зоны субъекта Российской Федерации</t>
  </si>
  <si>
    <t xml:space="preserve">(наименование стройки)</t>
  </si>
  <si>
    <t xml:space="preserve"> </t>
  </si>
  <si>
    <t xml:space="preserve">(наименование объекта капитального строительства)</t>
  </si>
  <si>
    <t xml:space="preserve"> ЛОКАЛЬНАЯ СМЕТА  </t>
  </si>
  <si>
    <t xml:space="preserve">Сантехнические работы</t>
  </si>
  <si>
    <t xml:space="preserve">(наименование работ и затрат)</t>
  </si>
  <si>
    <t>Составлен</t>
  </si>
  <si>
    <t>Базисно-индексным</t>
  </si>
  <si>
    <t>методом</t>
  </si>
  <si>
    <t>Основание</t>
  </si>
  <si>
    <t xml:space="preserve">(проектная и (или) иная техническая документация)</t>
  </si>
  <si>
    <t xml:space="preserve">Составлена в ценах I квартал 2026 года (1.01.2000)</t>
  </si>
  <si>
    <t xml:space="preserve">Сметная стоимость</t>
  </si>
  <si>
    <t xml:space="preserve">тыс. руб.</t>
  </si>
  <si>
    <t xml:space="preserve">в том числе:</t>
  </si>
  <si>
    <t xml:space="preserve">Средства на оплату труда рабочих</t>
  </si>
  <si>
    <t xml:space="preserve">строительных работ</t>
  </si>
  <si>
    <t xml:space="preserve">Нормативные затраты труда рабочих </t>
  </si>
  <si>
    <t>чел.-ч.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</si>
  <si>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</si>
  <si>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</si>
  <si>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</si>
  <si>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</si>
  <si>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 xml:space="preserve">№ п/п</t>
  </si>
  <si>
    <t>Обоснование</t>
  </si>
  <si>
    <t xml:space="preserve">Наименование работ и затрат</t>
  </si>
  <si>
    <t xml:space="preserve">Единица измерения</t>
  </si>
  <si>
    <t>Количество</t>
  </si>
  <si>
    <t xml:space="preserve">Сметная стоимость в базисном уровне цен (в текущем уровне цен (гр.8) для ресурсов, отсутствующих в ФРСН), руб.</t>
  </si>
  <si>
    <t>Индексы</t>
  </si>
  <si>
    <t xml:space="preserve">Сметная стоимость в текущем уровне цен, руб.</t>
  </si>
  <si>
    <t xml:space="preserve">на единицу измерения</t>
  </si>
  <si>
    <t>коэффициенты</t>
  </si>
  <si>
    <t xml:space="preserve">всего с учетом коэффициентов</t>
  </si>
  <si>
    <t>всего</t>
  </si>
  <si>
    <t>1</t>
  </si>
  <si>
    <t>ОТ</t>
  </si>
  <si>
    <t>ЭМ</t>
  </si>
  <si>
    <t xml:space="preserve">в т.ч. ОТм</t>
  </si>
  <si>
    <t>М</t>
  </si>
  <si>
    <t>ЗТ</t>
  </si>
  <si>
    <t>ЗТм</t>
  </si>
  <si>
    <t xml:space="preserve">Итого по расценке</t>
  </si>
  <si>
    <t>ФОТ</t>
  </si>
  <si>
    <t>Пр/812-099.1-1</t>
  </si>
  <si>
    <t xml:space="preserve">НР Внутренние санитарнотехнические работы: демонтаж и разборка</t>
  </si>
  <si>
    <t>%</t>
  </si>
  <si>
    <t>Пр/774-099.1</t>
  </si>
  <si>
    <t xml:space="preserve">СП Внутренние санитарнотехнические работы: демонтаж и разборка</t>
  </si>
  <si>
    <t xml:space="preserve">Всего по позиции</t>
  </si>
  <si>
    <t>=</t>
  </si>
  <si>
    <t>2</t>
  </si>
  <si>
    <t>3</t>
  </si>
  <si>
    <t xml:space="preserve">М-ка 648/пр Табл.2, п.2</t>
  </si>
  <si>
    <t xml:space="preserve">При демонтаже (разборке) сборных деревянных конструкций
ОТ *0,8; ЭМ *0,8; ОТм *0,8; М *0; ЗТ *0,8; ЗТм *0,8</t>
  </si>
  <si>
    <t>Пр/812-010.0-1</t>
  </si>
  <si>
    <t xml:space="preserve">НР Деревянные конструкции</t>
  </si>
  <si>
    <t>Пр/774-010.0</t>
  </si>
  <si>
    <t xml:space="preserve">СП Деревянные конструкции</t>
  </si>
  <si>
    <t>4</t>
  </si>
  <si>
    <t>5</t>
  </si>
  <si>
    <t>6</t>
  </si>
  <si>
    <t>7</t>
  </si>
  <si>
    <t>8</t>
  </si>
  <si>
    <t>9</t>
  </si>
  <si>
    <t>9.1</t>
  </si>
  <si>
    <r>
      <t>Унитазы</t>
    </r>
    <r>
      <rPr>
        <i/>
        <sz val="11"/>
        <rFont val="Arial"/>
      </rPr>
      <t xml:space="preserve">
8 750,00 = [10 500 / 1,2]</t>
    </r>
  </si>
  <si>
    <t>Пр/812-016.0-1</t>
  </si>
  <si>
    <t xml:space="preserve">НР Сантехнические работы: внутренние трубопроводы, внутренние устройства водопровода, канализации, отопления, газоснабжения, вентиляция  кондиционирование воздуха</t>
  </si>
  <si>
    <t>Пр/774-016.0</t>
  </si>
  <si>
    <t xml:space="preserve">СП Сантехнические работы: внутренние трубопроводы, внутренние устройства водопровода, канализации, отопления, газоснабжения, вентиляция  кондиционирование воздуха</t>
  </si>
  <si>
    <t>10</t>
  </si>
  <si>
    <t>10.1</t>
  </si>
  <si>
    <r>
      <t>Раковины</t>
    </r>
    <r>
      <rPr>
        <i/>
        <sz val="11"/>
        <rFont val="Arial"/>
      </rPr>
      <t xml:space="preserve">
5 416,67 = [6 500 / 1,2]</t>
    </r>
  </si>
  <si>
    <t>11</t>
  </si>
  <si>
    <t>11.1</t>
  </si>
  <si>
    <r>
      <t xml:space="preserve">Тумба под раковину</t>
    </r>
    <r>
      <rPr>
        <i/>
        <sz val="11"/>
        <rFont val="Arial"/>
      </rPr>
      <t xml:space="preserve">
4 166,67 = [5 000 / 1,2]</t>
    </r>
  </si>
  <si>
    <t>12</t>
  </si>
  <si>
    <t>12.1</t>
  </si>
  <si>
    <t>12.2</t>
  </si>
  <si>
    <t>12.3</t>
  </si>
  <si>
    <r>
      <t xml:space="preserve">Фасонные и соединительные части к полипропиленовым трубам</t>
    </r>
    <r>
      <rPr>
        <i/>
        <sz val="11"/>
        <rFont val="Arial"/>
      </rPr>
      <t xml:space="preserve">
66,67 = [80 / 1,2]</t>
    </r>
  </si>
  <si>
    <t>13</t>
  </si>
  <si>
    <t>13.1</t>
  </si>
  <si>
    <t>13.2</t>
  </si>
  <si>
    <t>13.3</t>
  </si>
  <si>
    <t>14</t>
  </si>
  <si>
    <t>14.1</t>
  </si>
  <si>
    <t>14.2</t>
  </si>
  <si>
    <t>14.3</t>
  </si>
  <si>
    <t>14.4</t>
  </si>
  <si>
    <r>
      <t xml:space="preserve">Фасонные и соединительные части</t>
    </r>
    <r>
      <rPr>
        <i/>
        <sz val="11"/>
        <rFont val="Arial"/>
      </rPr>
      <t xml:space="preserve">
25,00 = [30 / 1,2]</t>
    </r>
  </si>
  <si>
    <t>15</t>
  </si>
  <si>
    <t xml:space="preserve">ИТОГИ ПО СМЕТЕ</t>
  </si>
  <si>
    <t xml:space="preserve">ВСЕГО строительные работы</t>
  </si>
  <si>
    <t xml:space="preserve">в том числе</t>
  </si>
  <si>
    <t xml:space="preserve">Всего прямые затраты</t>
  </si>
  <si>
    <t xml:space="preserve">  оплата труда (ОТ)</t>
  </si>
  <si>
    <t xml:space="preserve">  эксплуатация машин и механизмов</t>
  </si>
  <si>
    <t xml:space="preserve">  в том числе</t>
  </si>
  <si>
    <t xml:space="preserve">    эксплуатация машин и механизмов без учета доплат к оплате труда машинистов</t>
  </si>
  <si>
    <t xml:space="preserve">    в том числе</t>
  </si>
  <si>
    <t xml:space="preserve">      оплата труда машинистов (ОТм)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</si>
  <si>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</si>
  <si>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</si>
  <si>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</si>
  <si>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</si>
  <si>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</si>
  <si>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 xml:space="preserve">ФОТ (справочно)</t>
  </si>
  <si>
    <t xml:space="preserve">накладные расходы</t>
  </si>
  <si>
    <t xml:space="preserve">сметная прибыль</t>
  </si>
  <si>
    <t xml:space="preserve">ВСЕГО монтажные работы</t>
  </si>
  <si>
    <t xml:space="preserve">ВСЕГО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</si>
  <si>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</si>
  <si>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</si>
  <si>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 xml:space="preserve">ВСЕГО прочие затраты</t>
  </si>
  <si>
    <t xml:space="preserve">   прочие затраты</t>
  </si>
  <si>
    <t xml:space="preserve">   Хозяйственный инвентарь</t>
  </si>
  <si>
    <t xml:space="preserve">Пусконаладочные работы</t>
  </si>
  <si>
    <t xml:space="preserve">ВСЕГО по смете</t>
  </si>
  <si>
    <t xml:space="preserve">Всего ФОТ (справочно)</t>
  </si>
  <si>
    <t xml:space="preserve">Всего накладные расходы</t>
  </si>
  <si>
    <t xml:space="preserve">Всего сметная прибыль</t>
  </si>
  <si>
    <t xml:space="preserve">Всего оборудование</t>
  </si>
  <si>
    <t xml:space="preserve">всего прочие затраты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</si>
  <si>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</si>
  <si>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</si>
  <si>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</si>
  <si>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</si>
  <si>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</si>
  <si>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>Транспорт</t>
  </si>
  <si>
    <t xml:space="preserve">Вывоз мусора</t>
  </si>
  <si>
    <t>Итого</t>
  </si>
  <si>
    <t>НДС</t>
  </si>
  <si>
    <t>ВСЕГО</t>
  </si>
  <si>
    <t xml:space="preserve"> в т ч</t>
  </si>
  <si>
    <t xml:space="preserve"> материал</t>
  </si>
  <si>
    <t xml:space="preserve"> работа</t>
  </si>
  <si>
    <t xml:space="preserve">Составил   </t>
  </si>
  <si>
    <t>[должность,подпись(инициалы,фамилия)]</t>
  </si>
  <si>
    <t xml:space="preserve">Проверил   </t>
  </si>
  <si>
    <t xml:space="preserve">Унифицированная форма № КС-2</t>
  </si>
  <si>
    <t xml:space="preserve">Утверждена постановлением Госкомстата России</t>
  </si>
  <si>
    <t xml:space="preserve">от 11.11.99. № 100</t>
  </si>
  <si>
    <t>Код</t>
  </si>
  <si>
    <t xml:space="preserve">Форма по ОКУД</t>
  </si>
  <si>
    <t>Инвестор</t>
  </si>
  <si>
    <t xml:space="preserve">по ОКПО</t>
  </si>
  <si>
    <t xml:space="preserve">организация, адрес, телефон, факс</t>
  </si>
  <si>
    <t>Заказчик</t>
  </si>
  <si>
    <t>Подрядчик</t>
  </si>
  <si>
    <t>Стройка</t>
  </si>
  <si>
    <t>Астрахань</t>
  </si>
  <si>
    <t xml:space="preserve">наименование, адрес</t>
  </si>
  <si>
    <t>Объект</t>
  </si>
  <si>
    <t>наименование</t>
  </si>
  <si>
    <t xml:space="preserve">Вид деятельности по ОКДП</t>
  </si>
  <si>
    <t xml:space="preserve">Договор подряда</t>
  </si>
  <si>
    <t>номер</t>
  </si>
  <si>
    <t>дата</t>
  </si>
  <si>
    <t xml:space="preserve">Вид операции</t>
  </si>
  <si>
    <t xml:space="preserve">Номер документа</t>
  </si>
  <si>
    <t xml:space="preserve">Дата составления</t>
  </si>
  <si>
    <t xml:space="preserve">Отчетный период</t>
  </si>
  <si>
    <t>с</t>
  </si>
  <si>
    <t>по</t>
  </si>
  <si>
    <t>AKT</t>
  </si>
  <si>
    <t xml:space="preserve">О ПРИЕМКЕ ВЫПОЛНЕННЫХ РАБОТ</t>
  </si>
  <si>
    <t xml:space="preserve">Составлен(а) в ценах 2001 г. с учетом коэффициентов пересчета к базисной стоимости СМР в текущий уровень цен базисно-индексным методом за I квартал 2026 года</t>
  </si>
  <si>
    <t xml:space="preserve">Сметная стоимость в базисном уровне цен (в текущем уровне цен (гр.9) для ресурсов, отсутствующих в ФРСН), руб.</t>
  </si>
  <si>
    <t xml:space="preserve">поз. по сме-те</t>
  </si>
  <si>
    <t xml:space="preserve">на единицу</t>
  </si>
  <si>
    <t xml:space="preserve">Локальная смета: Новая локальная смета</t>
  </si>
  <si>
    <t xml:space="preserve">ФЕРр 65-4-1</t>
  </si>
  <si>
    <t xml:space="preserve">ФЕРр 65-4-2</t>
  </si>
  <si>
    <t xml:space="preserve">ФЕР 10-01-059-01</t>
  </si>
  <si>
    <t xml:space="preserve">ФЕРр 65-3-1</t>
  </si>
  <si>
    <t xml:space="preserve">ФЕРр 65-3-7</t>
  </si>
  <si>
    <t xml:space="preserve">ФЕРр 65-1-1</t>
  </si>
  <si>
    <t xml:space="preserve">ФЕРр 65-2-1</t>
  </si>
  <si>
    <t xml:space="preserve">ФЕРр 65-2-2</t>
  </si>
  <si>
    <t xml:space="preserve">ФЕР 17-01-003-01</t>
  </si>
  <si>
    <t>ТЦ_18.2.01.06_62_6229043118_1</t>
  </si>
  <si>
    <t xml:space="preserve">ФЕР 17-01-005-04</t>
  </si>
  <si>
    <t>ТЦ_18.2.08.06_62_6229043118_1</t>
  </si>
  <si>
    <t>ТЦ_11.2.07.12_62_6229043118_1</t>
  </si>
  <si>
    <t xml:space="preserve">ФЕР 16-04-004-01</t>
  </si>
  <si>
    <t xml:space="preserve">ФССЦ 23.1.02.07-0002</t>
  </si>
  <si>
    <t xml:space="preserve">ФССЦ 24.3.02.02-0003</t>
  </si>
  <si>
    <t>24.3.05.19</t>
  </si>
  <si>
    <t xml:space="preserve">ФЕР 16-04-004-02</t>
  </si>
  <si>
    <t xml:space="preserve">ФССЦ 24.3.02.02-0004</t>
  </si>
  <si>
    <t xml:space="preserve">ФЕР 16-04-005-02</t>
  </si>
  <si>
    <t xml:space="preserve">ФССЦ 18.1.09.06-0023</t>
  </si>
  <si>
    <t xml:space="preserve">ФССЦ 24.1.02.01-0004</t>
  </si>
  <si>
    <t xml:space="preserve">ФССЦ 24.3.02.05-0003</t>
  </si>
  <si>
    <t xml:space="preserve">ФЕР 16-04-006-02</t>
  </si>
  <si>
    <t xml:space="preserve">ИТОГИ ПО АКТУ</t>
  </si>
  <si>
    <t xml:space="preserve">ВСЕГО по акту</t>
  </si>
  <si>
    <t>итого</t>
  </si>
  <si>
    <t xml:space="preserve"> транспорт</t>
  </si>
  <si>
    <t xml:space="preserve">НДС 22%</t>
  </si>
  <si>
    <t xml:space="preserve">Сдал   </t>
  </si>
  <si>
    <t xml:space="preserve">Принял   </t>
  </si>
  <si>
    <t xml:space="preserve">Унифицированная форма № КС-3</t>
  </si>
  <si>
    <t>Коды</t>
  </si>
  <si>
    <t xml:space="preserve">Инвестор </t>
  </si>
  <si>
    <t xml:space="preserve">Заказчик (генподрядчик) </t>
  </si>
  <si>
    <t xml:space="preserve">Подрядчик (субподрядчик) </t>
  </si>
  <si>
    <t xml:space="preserve">Стройка </t>
  </si>
  <si>
    <t xml:space="preserve">Вид деятельности  по ОКДП</t>
  </si>
  <si>
    <t xml:space="preserve">Договор подряда (контракт) </t>
  </si>
  <si>
    <t>СПРАВКА</t>
  </si>
  <si>
    <t xml:space="preserve">СТОИМОСТИ ВЫПОЛНЕННЫХ РАБОТ И ЗАТРАТ</t>
  </si>
  <si>
    <t xml:space="preserve">Наименование пусковых комплексов, объектов, видов работ, оборудования, затрат</t>
  </si>
  <si>
    <t xml:space="preserve">Стоимость выполненных работ и затрат</t>
  </si>
  <si>
    <t xml:space="preserve">с начала проведения работ</t>
  </si>
  <si>
    <t xml:space="preserve">с начала года по отчетный период включительно</t>
  </si>
  <si>
    <t xml:space="preserve">в том числе за отчетный месяц</t>
  </si>
  <si>
    <t xml:space="preserve">Всего работ и затрат, включаемых в стоимость</t>
  </si>
  <si>
    <t xml:space="preserve">В том числе:</t>
  </si>
  <si>
    <t xml:space="preserve">Сумма НДС </t>
  </si>
  <si>
    <t xml:space="preserve">Всего с учетом НДС </t>
  </si>
  <si>
    <t>должность</t>
  </si>
  <si>
    <t>подпись</t>
  </si>
  <si>
    <t xml:space="preserve">расшифровка подпись</t>
  </si>
  <si>
    <t>МП</t>
  </si>
  <si>
    <t xml:space="preserve">Smeta.RU  (495) 974-1589</t>
  </si>
  <si>
    <t>_PS_</t>
  </si>
  <si>
    <t>Smeta.RU</t>
  </si>
  <si>
    <t/>
  </si>
  <si>
    <t xml:space="preserve">Новый объект</t>
  </si>
  <si>
    <t xml:space="preserve">Сметные нормы списания</t>
  </si>
  <si>
    <t xml:space="preserve">Коды ценников</t>
  </si>
  <si>
    <t xml:space="preserve">ФЕР-2020 И9 приказы НР № 812/пр, СП № 774/пр</t>
  </si>
  <si>
    <t xml:space="preserve">Версия 1.7.3 ГСН (ГЭСН, ФЕР) и ТЕР (Методики НР (812/пр, 636/пр, 611/пр) и СП (774/пр и 317/пр) применять с 08.01.2023 г.)</t>
  </si>
  <si>
    <t xml:space="preserve">ФЕР-2020 - изменения И9</t>
  </si>
  <si>
    <t xml:space="preserve">Поправки для ГСН (ФЕР) 2020 от 10.05.2023 г И9 (в ред. 557/пр+648/пр) Строительство</t>
  </si>
  <si>
    <t xml:space="preserve">ГОСУДАРСТВЕННЫЕ СМЕТНЫЕ НОРМАТИВЫ (ФЕР-2020), утвержденные приказами Минстроя России от 26 декабря 2019 г.   № 876/пр (в редакции приказов Минстроя РФ от 30 марта 2020 г. № 172/пр, от 1 июня 2020 г. № 294/пр, от 30 июня 2020 г. № 352/пр,   от 20 октября 2020 г. № 636/пр, от 9 февраля 2021 г. № 51/пр, от 24 мая 2021 г. № 321/пр, от 24 июня 2021 г. № 408/пр,  от 14 октября 2021 № 746/пр, от 20 декабря 2021 № 962/пр)</t>
  </si>
  <si>
    <t>ГСН</t>
  </si>
  <si>
    <t xml:space="preserve">Новая локальная смета</t>
  </si>
  <si>
    <t>65-4-1</t>
  </si>
  <si>
    <t xml:space="preserve">Демонтаж: умывальников и раковин</t>
  </si>
  <si>
    <t xml:space="preserve">100 ШТ</t>
  </si>
  <si>
    <t xml:space="preserve">ФЕРр-2001 доп. 5, 65-4-1, приказ Минстроя России № 51/пр от 09.02.2021</t>
  </si>
  <si>
    <t xml:space="preserve">Прочие объекты№77907-ИФ/09 от 16.12.25;</t>
  </si>
  <si>
    <t xml:space="preserve">Ремонтно-строительные работы</t>
  </si>
  <si>
    <t xml:space="preserve">Внутренние санитарно-технические работы</t>
  </si>
  <si>
    <t xml:space="preserve">Внутренние санитарнотехнические работы: демонтаж и разборка</t>
  </si>
  <si>
    <t>рФЕР-65</t>
  </si>
  <si>
    <t>65-4-2</t>
  </si>
  <si>
    <t xml:space="preserve">Демонтаж: унитазов</t>
  </si>
  <si>
    <t xml:space="preserve">ФЕРр-2001 доп. 5, 65-4-2, приказ Минстроя России № 51/пр от 09.02.2021</t>
  </si>
  <si>
    <t>10-01-059-01</t>
  </si>
  <si>
    <t xml:space="preserve">Демонтаж  тумбы под раковину</t>
  </si>
  <si>
    <t xml:space="preserve">ФЕР-2001, 10-01-059-01, приказ Минстроя России № 876/пр от 26.12.2019</t>
  </si>
  <si>
    <t xml:space="preserve">Поправка: М-ка 648/пр Табл.2, п.2 Наименование: При демонтаже (разборке) сборных деревянных конструкций</t>
  </si>
  <si>
    <t>*0</t>
  </si>
  <si>
    <t>*0,8</t>
  </si>
  <si>
    <t xml:space="preserve">Общестроительные работы</t>
  </si>
  <si>
    <t xml:space="preserve">Деревянные конструкции</t>
  </si>
  <si>
    <t>ФЕР-10</t>
  </si>
  <si>
    <t xml:space="preserve">Поправка: М-ка 648/пр Табл.2, п.2</t>
  </si>
  <si>
    <t>65-3-1</t>
  </si>
  <si>
    <t xml:space="preserve">Снятие кранов водоразборных или туалетных</t>
  </si>
  <si>
    <t xml:space="preserve">ФЕРр-2001 доп. 5, 65-3-1, приказ Минстроя России № 51/пр от 09.02.2021</t>
  </si>
  <si>
    <t>65-3-7</t>
  </si>
  <si>
    <t xml:space="preserve">Снятие смесителя: без душевой сетки</t>
  </si>
  <si>
    <t xml:space="preserve">ФЕРр-2001 доп. 5, 65-3-7, приказ Минстроя России № 51/пр от 09.02.2021</t>
  </si>
  <si>
    <t>65-1-1</t>
  </si>
  <si>
    <t xml:space="preserve">Разборка трубопроводов из водогазопроводных труб диаметром: до 25 мм</t>
  </si>
  <si>
    <t xml:space="preserve">100 м</t>
  </si>
  <si>
    <t xml:space="preserve">ФЕРр-2001 доп. 5, 65-1-1, приказ Минстроя России № 51/пр от 09.02.2021</t>
  </si>
  <si>
    <t>65-2-1</t>
  </si>
  <si>
    <t xml:space="preserve">Разборка трубопроводов  канализационных труб диаметром: 50 мм</t>
  </si>
  <si>
    <t xml:space="preserve">ФЕРр-2001, 65-2-1, приказ Минстроя России № 876/пр от 26.12.2019</t>
  </si>
  <si>
    <t>65-2-2</t>
  </si>
  <si>
    <t xml:space="preserve">Разборка трубопроводов  канализационных труб диаметром: 100 мм</t>
  </si>
  <si>
    <t xml:space="preserve">ФЕРр-2001, 65-2-2, приказ Минстроя России № 876/пр от 26.12.2019</t>
  </si>
  <si>
    <t>17-01-003-01</t>
  </si>
  <si>
    <t xml:space="preserve">Установка унитазов: с бачком непосредственно присоединенным</t>
  </si>
  <si>
    <t xml:space="preserve">10 компл</t>
  </si>
  <si>
    <t xml:space="preserve">ФЕР-2001, 17-01-003-01, приказ Минстроя России № 876/пр от 26.12.2019</t>
  </si>
  <si>
    <t xml:space="preserve">Сантехнические работы: внутренние трубопроводы, внутренние устройства водопровода, канализации, отопления, газоснабжения, вентиляция  кондиционирование воздуха</t>
  </si>
  <si>
    <t xml:space="preserve">Водопровод и канализация - внутренние устройства</t>
  </si>
  <si>
    <t>ФЕР-17</t>
  </si>
  <si>
    <t>9,1</t>
  </si>
  <si>
    <t>Унитазы</t>
  </si>
  <si>
    <t>КОМПЛ</t>
  </si>
  <si>
    <t xml:space="preserve">[10 500 / 1,2]</t>
  </si>
  <si>
    <t>0</t>
  </si>
  <si>
    <t>17-01-005-04</t>
  </si>
  <si>
    <t xml:space="preserve">Установка раковин</t>
  </si>
  <si>
    <t xml:space="preserve">ФЕР-2001, 17-01-005-04, приказ Минстроя России № 876/пр от 26.12.2019</t>
  </si>
  <si>
    <t>10,1</t>
  </si>
  <si>
    <t>Раковины</t>
  </si>
  <si>
    <t xml:space="preserve">[6 500 / 1,2]</t>
  </si>
  <si>
    <t xml:space="preserve">Установка стумбы под раковину</t>
  </si>
  <si>
    <t>11,1</t>
  </si>
  <si>
    <t xml:space="preserve">Тумба под раковину</t>
  </si>
  <si>
    <t>ШТ</t>
  </si>
  <si>
    <t xml:space="preserve">[5 000 / 1,2]</t>
  </si>
  <si>
    <t>16-04-004-01</t>
  </si>
  <si>
    <t xml:space="preserve">Прокладка внутренних трубопроводов канализации из полипропиленовых труб диаметром: 50 мм</t>
  </si>
  <si>
    <t xml:space="preserve">ФЕР-2001, 16-04-004-01, приказ Минстроя России № 876/пр от 26.12.2019</t>
  </si>
  <si>
    <t xml:space="preserve">Трубопроводы внутренние</t>
  </si>
  <si>
    <t>ФЕР-16</t>
  </si>
  <si>
    <t>12,1</t>
  </si>
  <si>
    <t>23.1.02.07-0002</t>
  </si>
  <si>
    <t xml:space="preserve">Крепления для трубопроводов (кронштейны, планки, хомуты)</t>
  </si>
  <si>
    <t>кг</t>
  </si>
  <si>
    <t xml:space="preserve">ФССЦ-2001, 23.1.02.07-0002, приказ Минстроя России № 876/пр от 26.12.2019</t>
  </si>
  <si>
    <t>12,2</t>
  </si>
  <si>
    <t>24.3.02.02-0003</t>
  </si>
  <si>
    <t xml:space="preserve">Трубы полипропиленовые для систем водоотведения, диаметр 50 мм</t>
  </si>
  <si>
    <t>м</t>
  </si>
  <si>
    <t xml:space="preserve">ФССЦ-2001, 24.3.02.02-0003, приказ Минстроя России № 876/пр от 26.12.2019</t>
  </si>
  <si>
    <t>12,3</t>
  </si>
  <si>
    <t xml:space="preserve">Фасонные и соединительные части к полипропиленовым трубам</t>
  </si>
  <si>
    <t xml:space="preserve">[80 / 1,2]</t>
  </si>
  <si>
    <t>16-04-004-02</t>
  </si>
  <si>
    <t xml:space="preserve">Прокладка внутренних трубопроводов канализации из полипропиленовых труб диаметром: 110 мм</t>
  </si>
  <si>
    <t xml:space="preserve">ФЕР-2001, 16-04-004-02, приказ Минстроя России № 876/пр от 26.12.2019</t>
  </si>
  <si>
    <t>13,1</t>
  </si>
  <si>
    <t>13,2</t>
  </si>
  <si>
    <t>24.3.02.02-0004</t>
  </si>
  <si>
    <t xml:space="preserve">Трубы полипропиленовые для систем водоотведения, диаметр 110 мм</t>
  </si>
  <si>
    <t xml:space="preserve">ФССЦ-2001, 24.3.02.02-0004, приказ Минстроя России № 876/пр от 26.12.2019</t>
  </si>
  <si>
    <t>13,3</t>
  </si>
  <si>
    <t>16-04-005-02</t>
  </si>
  <si>
    <t xml:space="preserve"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t>
  </si>
  <si>
    <t xml:space="preserve">ФЕР-2001 доп. 1, 16-04-005-02, приказ Минстроя России № 172/пр от 30.03.2020</t>
  </si>
  <si>
    <t>14,1</t>
  </si>
  <si>
    <t>18.1.09.06-0023</t>
  </si>
  <si>
    <t xml:space="preserve">Кран шаровой 11Б27п1, номинальное давление 1,0 МПа (10 кгс/см2), номинальный диаметр 25 мм, присоединение к трубопроводу муфтовое</t>
  </si>
  <si>
    <t xml:space="preserve">ФССЦ-2001, 18.1.09.06-0023, приказ Минстроя России № 876/пр от 26.12.2019</t>
  </si>
  <si>
    <t>14,2</t>
  </si>
  <si>
    <t>24.1.02.01-0004</t>
  </si>
  <si>
    <t xml:space="preserve">Хомуты с быстродействующим замком для крепления труб размером 25-30 мм</t>
  </si>
  <si>
    <t xml:space="preserve">ФССЦ-2001, 24.1.02.01-0004, приказ Минстроя России № 876/пр от 26.12.2019</t>
  </si>
  <si>
    <t>14,3</t>
  </si>
  <si>
    <t>24.3.02.05-0003</t>
  </si>
  <si>
    <t xml:space="preserve">Трубы полипропиленовые ПП-Р, номинальное давление 1,0 МПа, номинальный наружный диаметр 25 мм</t>
  </si>
  <si>
    <t xml:space="preserve">ФССЦ-2001, 24.3.02.05-0003, приказ Минстроя России № 876/пр от 26.12.2019</t>
  </si>
  <si>
    <t>14,4</t>
  </si>
  <si>
    <t xml:space="preserve">Фасонные и соединительные части</t>
  </si>
  <si>
    <t xml:space="preserve">[30 / 1,2]</t>
  </si>
  <si>
    <t>16-04-006-02</t>
  </si>
  <si>
    <t xml:space="preserve"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25 мм</t>
  </si>
  <si>
    <t xml:space="preserve">100 соединений</t>
  </si>
  <si>
    <t xml:space="preserve">ФЕР-2001 доп. 1, 16-04-006-02, приказ Минстроя России № 172/пр от 30.03.2020</t>
  </si>
  <si>
    <t>ПЗ</t>
  </si>
  <si>
    <t xml:space="preserve">Прямые затраты</t>
  </si>
  <si>
    <t>СтМатОб</t>
  </si>
  <si>
    <t xml:space="preserve">Стоимость материальных ресурсов (всего)</t>
  </si>
  <si>
    <t>СтМатОбЗак</t>
  </si>
  <si>
    <t xml:space="preserve">Стоимость материалов и оборудования заказчика</t>
  </si>
  <si>
    <t>СтМатОбПод</t>
  </si>
  <si>
    <t xml:space="preserve">Стоимость материалов и оборудования подрядчика</t>
  </si>
  <si>
    <t>СтМат</t>
  </si>
  <si>
    <t xml:space="preserve">Стоимость материалов (всего)</t>
  </si>
  <si>
    <t>СтМатЗак</t>
  </si>
  <si>
    <t xml:space="preserve">Стоимость материалов заказчика</t>
  </si>
  <si>
    <t>СтМатПод</t>
  </si>
  <si>
    <t xml:space="preserve">Стоимость материалов подрядчика</t>
  </si>
  <si>
    <t>Оборуд</t>
  </si>
  <si>
    <t xml:space="preserve">Стоимость оборудования (всего)</t>
  </si>
  <si>
    <t>ОборудЗак</t>
  </si>
  <si>
    <t xml:space="preserve">Стоимость оборудования заказчика</t>
  </si>
  <si>
    <t>ОборудПод</t>
  </si>
  <si>
    <t xml:space="preserve">Стоимость оборудования подрядчика</t>
  </si>
  <si>
    <t>ЭММ</t>
  </si>
  <si>
    <t xml:space="preserve">Эксплуатация машин</t>
  </si>
  <si>
    <t>ЭММсНРиСП</t>
  </si>
  <si>
    <t xml:space="preserve">Эксплуатация машин по ТСН-2001.16</t>
  </si>
  <si>
    <t>ЗПМ</t>
  </si>
  <si>
    <t xml:space="preserve">ЗП машинистов</t>
  </si>
  <si>
    <t>ОЗП</t>
  </si>
  <si>
    <t xml:space="preserve">Основная ЗП рабочих</t>
  </si>
  <si>
    <t>ОЗПсНРиСП</t>
  </si>
  <si>
    <t xml:space="preserve">Основная ЗП рабочих по ТСН-2001.16</t>
  </si>
  <si>
    <t>Строит</t>
  </si>
  <si>
    <t xml:space="preserve">Строительные работы с НР и СП</t>
  </si>
  <si>
    <t>Монтаж</t>
  </si>
  <si>
    <t xml:space="preserve">Монтажные работы с НР и СП</t>
  </si>
  <si>
    <t>Прочие</t>
  </si>
  <si>
    <t xml:space="preserve">Прочие работы с НР и СП</t>
  </si>
  <si>
    <t>ПрочиеЗатр</t>
  </si>
  <si>
    <t xml:space="preserve">Прочие затраты по ТСН-2001.16</t>
  </si>
  <si>
    <t>ВозврМат</t>
  </si>
  <si>
    <t xml:space="preserve">Возврат материалов</t>
  </si>
  <si>
    <t>ТрудСтр</t>
  </si>
  <si>
    <t xml:space="preserve">Трудозатраты строителей</t>
  </si>
  <si>
    <t>ТрудМаш</t>
  </si>
  <si>
    <t xml:space="preserve">Трудозатраты машинистов</t>
  </si>
  <si>
    <t>ТранспМат</t>
  </si>
  <si>
    <t xml:space="preserve">Транспорт материалов</t>
  </si>
  <si>
    <t>Перевозка</t>
  </si>
  <si>
    <t xml:space="preserve">Перевозка грузов</t>
  </si>
  <si>
    <t>НР</t>
  </si>
  <si>
    <t xml:space="preserve">Накладные расходы</t>
  </si>
  <si>
    <t>СмПриб</t>
  </si>
  <si>
    <t xml:space="preserve">Сметная прибыль</t>
  </si>
  <si>
    <t>Всего</t>
  </si>
  <si>
    <t xml:space="preserve">Всего с НР и СП</t>
  </si>
  <si>
    <t>СТР_РЕК</t>
  </si>
  <si>
    <t xml:space="preserve">СТРОИТЕЛЬСТВО и РЕКОНСТРУКЦИЯ  зданий и сооружений всех назначений</t>
  </si>
  <si>
    <t xml:space="preserve">Строительство и реконструкция</t>
  </si>
  <si>
    <t>РЕМ_ЖИЛ</t>
  </si>
  <si>
    <t xml:space="preserve">КАП. РЕМ. ЖИЛЫХ И ОБЩЕСТВЕННЫХ ЗДАНИЙ</t>
  </si>
  <si>
    <t xml:space="preserve">Капитальный ремонт жилых и общественных зданий</t>
  </si>
  <si>
    <t>РЕМ_ПР</t>
  </si>
  <si>
    <t xml:space="preserve"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</si>
  <si>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 xml:space="preserve">Капитальный ремонт прозводственных зданий</t>
  </si>
  <si>
    <t>Территория</t>
  </si>
  <si>
    <t xml:space="preserve">для территории Российской Федерации, не относящейся к районам Крайнего Севера и приравненным к ним местностям</t>
  </si>
  <si>
    <t>МПРКС</t>
  </si>
  <si>
    <t xml:space="preserve">для территории Российской Федерации, относящейся к местностям, приравненным к районам Крайнего Севера</t>
  </si>
  <si>
    <t>РКС</t>
  </si>
  <si>
    <t xml:space="preserve">для территории Российской Федерации, относящейся к районам Крайнего Севера</t>
  </si>
  <si>
    <t>СЛЖ</t>
  </si>
  <si>
    <t xml:space="preserve"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</si>
  <si>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 xml:space="preserve"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</si>
  <si>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 xml:space="preserve">Сложные объекты</t>
  </si>
  <si>
    <t>СТНДРТ</t>
  </si>
  <si>
    <t xml:space="preserve">При определении сметной стоимости строительства объектов капитального строительства (за исключением АЭС).</t>
  </si>
  <si>
    <t>АЭС_ПНР</t>
  </si>
  <si>
    <t xml:space="preserve"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</si>
  <si>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АЭС_ПНР_ТЕХ</t>
  </si>
  <si>
    <t xml:space="preserve"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</si>
  <si>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 xml:space="preserve"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</si>
  <si>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</t>
  </si>
  <si>
    <t>ОПТ/В</t>
  </si>
  <si>
    <t xml:space="preserve"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</si>
  <si>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 xml:space="preserve"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</si>
  <si>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 xml:space="preserve">Прокладка междугородных в/опт. кабелей</t>
  </si>
  <si>
    <t>АВИ</t>
  </si>
  <si>
    <t xml:space="preserve">(вкл)   -  При работах по ДИСПЕТЧЕРИЗАЦИИ управления движением АВИАТРАНСПОРТОМ {вкл}  (монтажные работы )</t>
  </si>
  <si>
    <t xml:space="preserve"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</si>
  <si>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 xml:space="preserve">Диспетчеризация авиатранспорта</t>
  </si>
  <si>
    <t>ЗАКР</t>
  </si>
  <si>
    <t xml:space="preserve"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</si>
  <si>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 xml:space="preserve"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</si>
  <si>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 xml:space="preserve">Производство работ закрытым способом (обслуживающие процессы)</t>
  </si>
  <si>
    <t>ГОР</t>
  </si>
  <si>
    <t xml:space="preserve">(вкл) - ФЕРм-08, выполнение работ на горнорудных объектах  (выкл) - ФЕРм-08, выполнение работ на других объектах</t>
  </si>
  <si>
    <t xml:space="preserve">Выполнение работ на горнорудных объектах</t>
  </si>
  <si>
    <t>ОБ_ПР</t>
  </si>
  <si>
    <t xml:space="preserve">Объект производственного назначения</t>
  </si>
  <si>
    <t>ОБ_НПР</t>
  </si>
  <si>
    <t xml:space="preserve">Объект непроизводственного назначения</t>
  </si>
  <si>
    <t>К_НР_РЕМ</t>
  </si>
  <si>
    <t xml:space="preserve">при ремонте жилых и общественных зданий если  ( если {РЕМ_ЖИЛ}= [вкл.]</t>
  </si>
  <si>
    <t xml:space="preserve"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</si>
  <si>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</si>
  <si>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</si>
  <si>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 xml:space="preserve">к нормам СП при капитальном ремонте зданий и сооружений всех назначений ( если или {РЕМ_ЖИЛ}=[вкл] , или (РЕМ_ПР}=[вкл] )</t>
  </si>
  <si>
    <t xml:space="preserve"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</si>
  <si>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</si>
  <si>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</si>
  <si>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 xml:space="preserve"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</si>
  <si>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 xml:space="preserve">п.27 СЛОЖН</t>
  </si>
  <si>
    <t>К_НР_АЭС</t>
  </si>
  <si>
    <t xml:space="preserve"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</si>
  <si>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 xml:space="preserve">п.27 АЭС</t>
  </si>
  <si>
    <t>Р_ОКР</t>
  </si>
  <si>
    <t xml:space="preserve">Разрядность округления результата расчета НР и СП  (с 05.04.2020 - до семи знаков после запятой)</t>
  </si>
  <si>
    <t>Лист_НРиСП</t>
  </si>
  <si>
    <t xml:space="preserve">Уровень цен</t>
  </si>
  <si>
    <t xml:space="preserve">Индексы за итогом</t>
  </si>
  <si>
    <t>_OBSM_</t>
  </si>
  <si>
    <t>1-100-30</t>
  </si>
  <si>
    <t xml:space="preserve">Затраты труда рабочих (Средний разряд - 3)</t>
  </si>
  <si>
    <t>4-100-00</t>
  </si>
  <si>
    <t xml:space="preserve">Затраты труда машинистов</t>
  </si>
  <si>
    <t>91.06.06-048</t>
  </si>
  <si>
    <t xml:space="preserve">ФСЭМ-2001, 91.06.06-048 , приказ Минстроя России № 876/пр от 26.12.2019</t>
  </si>
  <si>
    <t xml:space="preserve">Подъемники одномачтовые, грузоподъемность до 500 кг, высота подъема 45 м</t>
  </si>
  <si>
    <t>маш.-ч.</t>
  </si>
  <si>
    <t>1-100-23</t>
  </si>
  <si>
    <t xml:space="preserve">Затраты труда рабочих (Средний разряд - 2,3)</t>
  </si>
  <si>
    <t>)*0,8</t>
  </si>
  <si>
    <t>91.14.02-001</t>
  </si>
  <si>
    <t xml:space="preserve">ФСЭМ-2001, 91.14.02-001 , приказ Минстроя России № 876/пр от 26.12.2019</t>
  </si>
  <si>
    <t xml:space="preserve">Автомобили бортовые, грузоподъемность до 5 т</t>
  </si>
  <si>
    <t>01.7.15.06-0111</t>
  </si>
  <si>
    <t xml:space="preserve">ФССЦ-2001, 01.7.15.06-0111, приказ Минстроя России № 876/пр от 26.12.2019</t>
  </si>
  <si>
    <t xml:space="preserve">Гвозди строительные</t>
  </si>
  <si>
    <t>т</t>
  </si>
  <si>
    <t>)*0</t>
  </si>
  <si>
    <t>08.1.02.11-0001</t>
  </si>
  <si>
    <t xml:space="preserve">ФССЦ-2001, 08.1.02.11-0001, приказ Минстроя России № 876/пр от 26.12.2019</t>
  </si>
  <si>
    <t xml:space="preserve">Поковки из квадратных заготовок, масса 1,8 кг</t>
  </si>
  <si>
    <t>11.2.07.12-0011</t>
  </si>
  <si>
    <t xml:space="preserve">ФССЦ-2001, 11.2.07.12-0011, приказ Минстроя России № 876/пр от 26.12.2019</t>
  </si>
  <si>
    <t xml:space="preserve">Штапик (раскладка), размер 19x19 мм</t>
  </si>
  <si>
    <t>1-100-26</t>
  </si>
  <si>
    <t xml:space="preserve">Затраты труда рабочих (Средний разряд - 2,6)</t>
  </si>
  <si>
    <t>91.17.04-042</t>
  </si>
  <si>
    <t xml:space="preserve">ФСЭМ-2001, 91.17.04-042 , приказ Минстроя России № 876/пр от 26.12.2019</t>
  </si>
  <si>
    <t xml:space="preserve">Аппараты для газовой сварки и резки</t>
  </si>
  <si>
    <t>01.3.02.03-0001</t>
  </si>
  <si>
    <t xml:space="preserve">ФССЦ-2001, 01.3.02.03-0001, приказ Минстроя России № 876/пр от 26.12.2019</t>
  </si>
  <si>
    <t xml:space="preserve">Ацетилен газообразный технический</t>
  </si>
  <si>
    <t>м3</t>
  </si>
  <si>
    <t>01.3.02.08-0001</t>
  </si>
  <si>
    <t xml:space="preserve">ФССЦ-2001, 01.3.02.08-0001, приказ Минстроя России № 876/пр от 26.12.2019</t>
  </si>
  <si>
    <t xml:space="preserve">Кислород газообразный технический</t>
  </si>
  <si>
    <t>1-100-29</t>
  </si>
  <si>
    <t xml:space="preserve">Затраты труда рабочих (Средний разряд - 2,9)</t>
  </si>
  <si>
    <t>1-100-39</t>
  </si>
  <si>
    <t xml:space="preserve">Затраты труда рабочих (Средний разряд - 3,9)</t>
  </si>
  <si>
    <t>01.7.07.29-0031</t>
  </si>
  <si>
    <t xml:space="preserve">ФССЦ-2001, 01.7.07.29-0031, приказ Минстроя России № 876/пр от 26.12.2019</t>
  </si>
  <si>
    <t>Каболка</t>
  </si>
  <si>
    <t>01.7.07.29-0101</t>
  </si>
  <si>
    <t xml:space="preserve">ФССЦ-2001, 01.7.07.29-0101, приказ Минстроя России № 876/пр от 26.12.2019</t>
  </si>
  <si>
    <t xml:space="preserve">Очес льняной</t>
  </si>
  <si>
    <t>01.7.15.07-0023</t>
  </si>
  <si>
    <t xml:space="preserve">ФССЦ-2001, 01.7.15.07-0023, приказ Минстроя России № 876/пр от 26.12.2019</t>
  </si>
  <si>
    <t xml:space="preserve">Дюбели распорные полиэтиленовые, размер 8x30 мм</t>
  </si>
  <si>
    <t xml:space="preserve">1000 ШТ</t>
  </si>
  <si>
    <t>01.7.15.10-0057</t>
  </si>
  <si>
    <t xml:space="preserve">ФССЦ-2001, 01.7.15.10-0057, приказ Минстроя России № 876/пр от 26.12.2019</t>
  </si>
  <si>
    <t xml:space="preserve">Скобы скрепляющие и для подвеса</t>
  </si>
  <si>
    <t>01.7.15.14-0171</t>
  </si>
  <si>
    <t xml:space="preserve">ФССЦ-2001, 01.7.15.14-0171, приказ Минстроя России № 876/пр от 26.12.2019</t>
  </si>
  <si>
    <t xml:space="preserve">Шурупы с полукруглой головкой 6x60 мм</t>
  </si>
  <si>
    <t>01.7.19.04-0002</t>
  </si>
  <si>
    <t xml:space="preserve">ФССЦ-2001, 01.7.19.04-0002, приказ Минстроя России № 876/пр от 26.12.2019</t>
  </si>
  <si>
    <t xml:space="preserve">Пластина резиновая рулонная вулканизированная</t>
  </si>
  <si>
    <t>14.1.05.03-0012</t>
  </si>
  <si>
    <t xml:space="preserve">ФССЦ-2001, 14.1.05.03-0012, приказ Минстроя России № 876/пр от 26.12.2019</t>
  </si>
  <si>
    <t xml:space="preserve">Клей фенолополивинилацетальный БФ-2, сорт I</t>
  </si>
  <si>
    <t>14.4.02.04-0142</t>
  </si>
  <si>
    <t xml:space="preserve">ФССЦ-2001, 14.4.02.04-0142, приказ Минстроя России № 876/пр от 26.12.2019</t>
  </si>
  <si>
    <t xml:space="preserve">Краска масляная земляная МА-0115, мумия, сурик железный</t>
  </si>
  <si>
    <t>14.5.02.02-0105</t>
  </si>
  <si>
    <t xml:space="preserve">ФССЦ-2001, 14.5.02.02-0105, приказ Минстроя России № 876/пр от 26.12.2019</t>
  </si>
  <si>
    <t xml:space="preserve">Замазка суриковая</t>
  </si>
  <si>
    <t>14.5.05.01-0012</t>
  </si>
  <si>
    <t xml:space="preserve">ФССЦ-2001, 14.5.05.01-0012, приказ Минстроя России № 876/пр от 26.12.2019</t>
  </si>
  <si>
    <t xml:space="preserve">Олифа комбинированная для разведения масляных густотертых красок и для внешних работ по деревянным поверхностям</t>
  </si>
  <si>
    <t>1-100-40</t>
  </si>
  <si>
    <t xml:space="preserve">Затраты труда рабочих (Средний разряд - 4)</t>
  </si>
  <si>
    <t>01.7.15.07-0024</t>
  </si>
  <si>
    <t xml:space="preserve">ФССЦ-2001, 01.7.15.07-0024, приказ Минстроя России № 876/пр от 26.12.2019</t>
  </si>
  <si>
    <t xml:space="preserve">Дюбели распорные полиэтиленовые, размер 8x40 мм</t>
  </si>
  <si>
    <t>01.7.15.14-0173</t>
  </si>
  <si>
    <t xml:space="preserve">ФССЦ-2001, 01.7.15.14-0173, приказ Минстроя России № 876/пр от 26.12.2019</t>
  </si>
  <si>
    <t xml:space="preserve">Шурупы с полукруглой головкой 6-10x100 мм</t>
  </si>
  <si>
    <t>03.2.02.08-0001</t>
  </si>
  <si>
    <t xml:space="preserve">ФССЦ-2001, 03.2.02.08-0001, приказ Минстроя России № 876/пр от 26.12.2019</t>
  </si>
  <si>
    <t xml:space="preserve">Цемент гипсоглиноземистый расширяющийся</t>
  </si>
  <si>
    <t>1-100-38</t>
  </si>
  <si>
    <t xml:space="preserve">Затраты труда рабочих (Средний разряд - 3,8)</t>
  </si>
  <si>
    <t>91.05.01-017</t>
  </si>
  <si>
    <t xml:space="preserve">ФСЭМ-2001, 91.05.01-017 , приказ Минстроя России № 876/пр от 26.12.2019</t>
  </si>
  <si>
    <t xml:space="preserve">Краны башенные, грузоподъемность 8 т</t>
  </si>
  <si>
    <t>91.05.05-015</t>
  </si>
  <si>
    <t xml:space="preserve">ФСЭМ-2001, 91.05.05-015 , приказ Минстроя России № 876/пр от 26.12.2019</t>
  </si>
  <si>
    <t xml:space="preserve">Краны на автомобильном ходу, грузоподъемность 16 т</t>
  </si>
  <si>
    <t>01.7.03.01-0001</t>
  </si>
  <si>
    <t xml:space="preserve">ФССЦ-2001, 01.7.03.01-0001, приказ Минстроя России № 876/пр от 26.12.2019</t>
  </si>
  <si>
    <t>Вода</t>
  </si>
  <si>
    <t>01.7.15.03-0014</t>
  </si>
  <si>
    <t xml:space="preserve">ФССЦ-2001, 01.7.15.03-0014, приказ Минстроя России № 876/пр от 26.12.2019</t>
  </si>
  <si>
    <t xml:space="preserve">Болты с гайками и шайбами для санитарно-технических работ, диаметр 16 мм</t>
  </si>
  <si>
    <t>01.7.19.02-0051</t>
  </si>
  <si>
    <t xml:space="preserve">ФССЦ-2001, 01.7.19.02-0051, приказ Минстроя России № 876/пр от 26.12.2019</t>
  </si>
  <si>
    <t xml:space="preserve">Кольца резиновые уплотнительные для полипропиленовых труб, диаметр 50 мм</t>
  </si>
  <si>
    <t>01.7.19.02-0052</t>
  </si>
  <si>
    <t xml:space="preserve">ФССЦ-2001, 01.7.19.02-0052, приказ Минстроя России № 876/пр от 26.12.2019</t>
  </si>
  <si>
    <t xml:space="preserve">Кольца резиновые уплотнительные для полипропиленовых труб, диаметр 110 мм</t>
  </si>
  <si>
    <t>91.10.09-011</t>
  </si>
  <si>
    <t xml:space="preserve">ФСЭМ-2001, 91.10.09-011 , приказ Минстроя России № 876/пр от 26.12.2019</t>
  </si>
  <si>
    <t xml:space="preserve">Установки для гидравлических испытаний трубопроводов, давление нагнетания низкое 0,1 МПа (1 кгс/см2), высокое 10 МПа (100 кгс/см2)</t>
  </si>
  <si>
    <t>01.7.15.07-0025</t>
  </si>
  <si>
    <t xml:space="preserve">ФССЦ-2001, 01.7.15.07-0025, приказ Минстроя России № 876/пр от 26.12.2019</t>
  </si>
  <si>
    <t xml:space="preserve">Дюбели распорные полиэтиленовые, размер 10x40 мм</t>
  </si>
  <si>
    <t>01.7.15.12-0031</t>
  </si>
  <si>
    <t xml:space="preserve">ФССЦ-2001, 01.7.15.12-0031, приказ Минстроя России № 876/пр от 26.12.2019</t>
  </si>
  <si>
    <t xml:space="preserve">Шпильки оцинкованные стяжные, диаметр 10 мм, длина 100 мм</t>
  </si>
  <si>
    <t>1-100-44</t>
  </si>
  <si>
    <t xml:space="preserve">Затраты труда рабочих (Средний разряд - 4,4)</t>
  </si>
  <si>
    <t>999-9899</t>
  </si>
  <si>
    <t xml:space="preserve">Строительный мусор и масса возвратных материалов</t>
  </si>
  <si>
    <t>11.2.07.12</t>
  </si>
  <si>
    <t xml:space="preserve">Изделия штучные</t>
  </si>
  <si>
    <t>18.2.01.06</t>
  </si>
  <si>
    <t>18.2.02.08</t>
  </si>
  <si>
    <t xml:space="preserve">Раковины и умывальники</t>
  </si>
  <si>
    <t>18.1.02.01</t>
  </si>
  <si>
    <t>Задвижки</t>
  </si>
  <si>
    <t>23.1.02.07</t>
  </si>
  <si>
    <t>Крепления</t>
  </si>
  <si>
    <t>24.3.02.02</t>
  </si>
  <si>
    <t xml:space="preserve">Трубы безнапорные канализационные из полипропилена</t>
  </si>
  <si>
    <t>01.7.17.09</t>
  </si>
  <si>
    <t>Буры</t>
  </si>
  <si>
    <t>18.1.09.06</t>
  </si>
  <si>
    <t xml:space="preserve">Арматура муфтовая</t>
  </si>
  <si>
    <t>24.1.02.01</t>
  </si>
  <si>
    <t xml:space="preserve">Хомуты для крепления труб</t>
  </si>
  <si>
    <t xml:space="preserve">10 ШТ</t>
  </si>
  <si>
    <t>24.3.02.05</t>
  </si>
  <si>
    <t xml:space="preserve">Труба напорная из полипропилена</t>
  </si>
  <si>
    <t xml:space="preserve">При демонтаже (разборке) сборных деревянных конструкций</t>
  </si>
  <si>
    <t xml:space="preserve">Методика ФЕР 648/пр (О.П.)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</si>
</sst>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_-;\-* #,##0.00_-;_-* &quot;-&quot;??_-;_-@_-"/>
    <numFmt numFmtId="161" formatCode="#,##0.00;[Red]\-\ #,##0.00"/>
    <numFmt numFmtId="162" formatCode="0.000"/>
    <numFmt numFmtId="163" formatCode="#,##0.00#####;[Red]\-\ #,##0.00#####"/>
    <numFmt numFmtId="164" formatCode="#,##0.00_ ;[Red]\-#,##0.00\ "/>
    <numFmt numFmtId="165" formatCode="_-* #,##0.00\ _₽_-;\-* #,##0.00\ _₽_-;_-* &quot;-&quot;??\ _₽_-;_-@_-"/>
  </numFmts>
  <fonts count="31">
    <font>
      <sz val="10.000000"/>
      <color theme="1"/>
      <name val="Arial"/>
    </font>
    <font>
      <sz val="10.000000"/>
      <name val="Arial"/>
    </font>
    <font>
      <sz val="9.000000"/>
      <name val="Arial"/>
    </font>
    <font>
      <sz val="10.000000"/>
      <color indexed="64"/>
      <name val="Arial Cyr"/>
    </font>
    <font>
      <b/>
      <sz val="13.000000"/>
      <color indexed="64"/>
      <name val="Arial"/>
    </font>
    <font>
      <b/>
      <sz val="12.000000"/>
      <color indexed="64"/>
      <name val="Arial"/>
    </font>
    <font>
      <sz val="11.000000"/>
      <color indexed="64"/>
      <name val="Arial"/>
    </font>
    <font>
      <sz val="10.000000"/>
      <color indexed="64"/>
      <name val="Arial"/>
    </font>
    <font>
      <i/>
      <sz val="9.000000"/>
      <color indexed="64"/>
      <name val="Arial"/>
    </font>
    <font>
      <b/>
      <sz val="11.000000"/>
      <color indexed="64"/>
      <name val="Arial"/>
    </font>
    <font>
      <b/>
      <sz val="14.000000"/>
      <color indexed="64"/>
      <name val="Arial"/>
    </font>
    <font>
      <b/>
      <sz val="10.000000"/>
      <color indexed="64"/>
      <name val="Arial"/>
    </font>
    <font>
      <i/>
      <sz val="10.000000"/>
      <color indexed="64"/>
      <name val="Arial"/>
    </font>
    <font>
      <sz val="11.000000"/>
      <name val="Arial"/>
    </font>
    <font>
      <i/>
      <sz val="11.000000"/>
      <name val="Arial"/>
    </font>
    <font>
      <b/>
      <sz val="11.000000"/>
      <name val="Arial"/>
    </font>
    <font>
      <i/>
      <sz val="10.000000"/>
      <name val="Arial"/>
    </font>
    <font>
      <b/>
      <sz val="10.000000"/>
      <name val="Arial"/>
    </font>
    <font>
      <b/>
      <sz val="12.000000"/>
      <name val="Arial"/>
    </font>
    <font>
      <sz val="9.000000"/>
      <color indexed="64"/>
      <name val="Arial"/>
    </font>
    <font>
      <b/>
      <sz val="13.000000"/>
      <name val="Arial"/>
    </font>
    <font>
      <sz val="12.000000"/>
      <name val="Arial"/>
    </font>
    <font>
      <b/>
      <sz val="14.000000"/>
      <name val="Arial"/>
    </font>
    <font>
      <b/>
      <sz val="10.000000"/>
      <color indexed="4"/>
      <name val="Arial"/>
    </font>
    <font>
      <b/>
      <sz val="10.000000"/>
      <color indexed="16"/>
      <name val="Arial"/>
    </font>
    <font>
      <b/>
      <sz val="10.000000"/>
      <color indexed="20"/>
      <name val="Arial"/>
    </font>
    <font>
      <b/>
      <sz val="10.000000"/>
      <color indexed="17"/>
      <name val="Arial"/>
    </font>
    <font>
      <sz val="10.000000"/>
      <color indexed="17"/>
      <name val="Arial"/>
    </font>
    <font>
      <sz val="10.000000"/>
      <color indexed="4"/>
      <name val="Arial"/>
    </font>
    <font>
      <sz val="10.000000"/>
      <color indexed="6"/>
      <name val="Arial"/>
    </font>
    <font>
      <b/>
      <sz val="10.000000"/>
      <color indexed="6"/>
      <name val="Arial"/>
    </font>
  </fonts>
  <fills count="2">
    <fill>
      <patternFill patternType="none"/>
    </fill>
    <fill>
      <patternFill patternType="gray125"/>
    </fill>
  </fills>
  <borders count="1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0" applyFill="0" applyBorder="0" applyProtection="0"/>
  </cellStyleXfs>
  <cellXfs count="204">
    <xf fontId="0" fillId="0" borderId="0" numFmtId="0" xfId="0"/>
    <xf fontId="2" fillId="0" borderId="0" numFmtId="0" xfId="0" applyFont="1"/>
    <xf fontId="3" fillId="0" borderId="0" numFmtId="0" xfId="0" applyFont="1"/>
    <xf fontId="4" fillId="0" borderId="0" numFmtId="0" xfId="0" applyFont="1"/>
    <xf fontId="5" fillId="0" borderId="0" numFmtId="0" xfId="0" applyFont="1" applyAlignment="1">
      <alignment horizontal="left"/>
    </xf>
    <xf fontId="6" fillId="0" borderId="0" numFmtId="0" xfId="0" applyFont="1"/>
    <xf fontId="6" fillId="0" borderId="0" numFmtId="0" xfId="0" applyFont="1" applyAlignment="1">
      <alignment horizontal="left"/>
    </xf>
    <xf fontId="6" fillId="0" borderId="0" numFmtId="0" xfId="0" applyFont="1" applyAlignment="1">
      <alignment wrapText="1"/>
    </xf>
    <xf fontId="6" fillId="0" borderId="0" numFmtId="0" xfId="0" applyFont="1" applyAlignment="1">
      <alignment horizontal="left" wrapText="1"/>
    </xf>
    <xf fontId="7" fillId="0" borderId="0" numFmtId="0" xfId="0" applyFont="1" applyAlignment="1">
      <alignment vertical="top" wrapText="1"/>
    </xf>
    <xf fontId="7" fillId="0" borderId="1" numFmtId="0" xfId="0" applyFont="1" applyBorder="1" applyAlignment="1">
      <alignment horizontal="left" vertical="top" wrapText="1"/>
    </xf>
    <xf fontId="7" fillId="0" borderId="2" numFmtId="0" xfId="0" applyFont="1" applyBorder="1" applyAlignment="1">
      <alignment vertical="top"/>
    </xf>
    <xf fontId="7" fillId="0" borderId="0" numFmtId="0" xfId="0" applyFont="1" applyAlignment="1">
      <alignment horizontal="left" vertical="top" wrapText="1"/>
    </xf>
    <xf fontId="7" fillId="0" borderId="2" numFmtId="0" xfId="0" applyFont="1" applyBorder="1" applyAlignment="1">
      <alignment horizontal="left" vertical="top" wrapText="1"/>
    </xf>
    <xf fontId="3" fillId="0" borderId="2" numFmtId="0" xfId="0" applyFont="1" applyBorder="1"/>
    <xf fontId="5" fillId="0" borderId="1" numFmtId="0" xfId="0" applyFont="1" applyBorder="1" applyAlignment="1">
      <alignment horizontal="center" wrapText="1"/>
    </xf>
    <xf fontId="8" fillId="0" borderId="2" numFmtId="0" xfId="0" applyFont="1" applyBorder="1" applyAlignment="1">
      <alignment horizontal="center" vertical="top" wrapText="1"/>
    </xf>
    <xf fontId="5" fillId="0" borderId="0" numFmtId="0" xfId="0" applyFont="1" applyAlignment="1">
      <alignment horizontal="center" wrapText="1"/>
    </xf>
    <xf fontId="9" fillId="0" borderId="0" numFmtId="0" xfId="0" applyFont="1" applyAlignment="1">
      <alignment vertical="center" wrapText="1"/>
    </xf>
    <xf fontId="9" fillId="0" borderId="0" numFmtId="0" xfId="0" applyFont="1" applyAlignment="1">
      <alignment horizontal="center" wrapText="1"/>
    </xf>
    <xf fontId="10" fillId="0" borderId="1" numFmtId="0" xfId="0" applyFont="1" applyBorder="1" applyAlignment="1">
      <alignment horizontal="center" wrapText="1"/>
    </xf>
    <xf fontId="7" fillId="0" borderId="0" numFmtId="0" xfId="0" applyFont="1"/>
    <xf fontId="7" fillId="0" borderId="1" numFmtId="0" xfId="0" applyFont="1" applyBorder="1" applyAlignment="1">
      <alignment horizontal="center"/>
    </xf>
    <xf fontId="7" fillId="0" borderId="2" numFmtId="0" xfId="0" applyFont="1" applyBorder="1"/>
    <xf fontId="7" fillId="0" borderId="1" numFmtId="0" xfId="0" applyFont="1" applyBorder="1" applyAlignment="1">
      <alignment horizontal="left" wrapText="1"/>
    </xf>
    <xf fontId="7" fillId="0" borderId="0" numFmtId="0" xfId="0" applyFont="1" applyAlignment="1">
      <alignment horizontal="left" wrapText="1"/>
    </xf>
    <xf fontId="7" fillId="0" borderId="0" numFmtId="0" xfId="0" applyFont="1" applyAlignment="1">
      <alignment wrapText="1"/>
    </xf>
    <xf fontId="6" fillId="0" borderId="0" numFmtId="14" xfId="0" applyNumberFormat="1" applyFont="1"/>
    <xf fontId="11" fillId="0" borderId="0" numFmtId="0" xfId="0" applyFont="1"/>
    <xf fontId="7" fillId="0" borderId="0" numFmtId="161" xfId="0" applyNumberFormat="1" applyFont="1" applyAlignment="1">
      <alignment horizontal="right"/>
    </xf>
    <xf fontId="7" fillId="0" borderId="0" numFmtId="0" xfId="0" applyFont="1" applyAlignment="1">
      <alignment horizontal="right"/>
    </xf>
    <xf fontId="12" fillId="0" borderId="0" numFmtId="0" xfId="0" applyFont="1"/>
    <xf fontId="7" fillId="0" borderId="0" numFmtId="161" xfId="0" applyNumberFormat="1" applyFont="1"/>
    <xf fontId="6" fillId="0" borderId="0" numFmtId="161" xfId="0" applyNumberFormat="1" applyFont="1"/>
    <xf fontId="6" fillId="0" borderId="0" numFmtId="162" xfId="0" applyNumberFormat="1" applyFont="1"/>
    <xf fontId="7" fillId="0" borderId="0" numFmtId="163" xfId="0" applyNumberFormat="1" applyFont="1" applyAlignment="1">
      <alignment horizontal="right"/>
    </xf>
    <xf fontId="7" fillId="0" borderId="0" numFmtId="2" xfId="0" applyNumberFormat="1" applyFont="1" applyAlignment="1">
      <alignment horizontal="right"/>
    </xf>
    <xf fontId="6" fillId="0" borderId="1" numFmtId="0" xfId="0" applyFont="1" applyBorder="1"/>
    <xf fontId="7" fillId="0" borderId="3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2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7" fillId="0" borderId="6" numFmtId="0" xfId="0" applyFont="1" applyBorder="1" applyAlignment="1">
      <alignment horizontal="center" vertical="center" wrapText="1"/>
    </xf>
    <xf fontId="7" fillId="0" borderId="7" numFmtId="0" xfId="0" applyFont="1" applyBorder="1" applyAlignment="1">
      <alignment horizontal="center" vertical="center" wrapText="1"/>
    </xf>
    <xf fontId="7" fillId="0" borderId="0" numFmtId="0" xfId="0" applyFont="1" applyAlignment="1">
      <alignment horizontal="center" vertical="center" wrapText="1"/>
    </xf>
    <xf fontId="7" fillId="0" borderId="8" numFmtId="0" xfId="0" applyFont="1" applyBorder="1" applyAlignment="1">
      <alignment horizontal="center" vertical="center" wrapText="1"/>
    </xf>
    <xf fontId="7" fillId="0" borderId="9" numFmtId="0" xfId="0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7" fillId="0" borderId="10" numFmtId="0" xfId="0" applyFont="1" applyBorder="1" applyAlignment="1">
      <alignment horizontal="center" vertical="center" wrapText="1"/>
    </xf>
    <xf fontId="7" fillId="0" borderId="11" numFmtId="0" xfId="0" applyFont="1" applyBorder="1" applyAlignment="1">
      <alignment horizontal="center" vertical="center" wrapText="1"/>
    </xf>
    <xf fontId="7" fillId="0" borderId="12" numFmtId="0" xfId="0" applyFont="1" applyBorder="1" applyAlignment="1">
      <alignment horizontal="center" vertical="center" wrapText="1"/>
    </xf>
    <xf fontId="1" fillId="0" borderId="12" numFmtId="0" xfId="0" applyFont="1" applyBorder="1" applyAlignment="1">
      <alignment horizontal="center" vertical="center" wrapText="1"/>
    </xf>
    <xf fontId="7" fillId="0" borderId="12" numFmtId="0" xfId="0" applyFont="1" applyBorder="1" applyAlignment="1">
      <alignment horizontal="center"/>
    </xf>
    <xf fontId="6" fillId="0" borderId="12" numFmtId="0" xfId="0" applyFont="1" applyBorder="1" applyAlignment="1">
      <alignment horizontal="center"/>
    </xf>
    <xf fontId="13" fillId="0" borderId="0" numFmtId="0" xfId="0" applyFont="1" applyAlignment="1" quotePrefix="1">
      <alignment horizontal="left" vertical="top" wrapText="1"/>
    </xf>
    <xf fontId="13" fillId="0" borderId="0" numFmtId="0" xfId="0" applyFont="1" applyAlignment="1">
      <alignment horizontal="left" vertical="top" wrapText="1"/>
    </xf>
    <xf fontId="14" fillId="0" borderId="0" numFmtId="0" xfId="0" applyFont="1" applyAlignment="1">
      <alignment horizontal="right" vertical="top" wrapText="1"/>
    </xf>
    <xf fontId="13" fillId="0" borderId="0" numFmtId="0" xfId="0" applyFont="1" applyAlignment="1">
      <alignment horizontal="right" vertical="top"/>
    </xf>
    <xf fontId="13" fillId="0" borderId="0" numFmtId="161" xfId="0" applyNumberFormat="1" applyFont="1" applyAlignment="1">
      <alignment horizontal="right" vertical="top"/>
    </xf>
    <xf fontId="13" fillId="0" borderId="0" numFmtId="0" xfId="0" applyFont="1" applyAlignment="1">
      <alignment horizontal="right" vertical="top" wrapText="1"/>
    </xf>
    <xf fontId="1" fillId="0" borderId="0" numFmtId="0" xfId="0" applyFont="1" applyAlignment="1">
      <alignment vertical="top" wrapText="1"/>
    </xf>
    <xf fontId="14" fillId="0" borderId="0" numFmtId="161" xfId="0" applyNumberFormat="1" applyFont="1" applyAlignment="1">
      <alignment horizontal="right" vertical="top"/>
    </xf>
    <xf fontId="13" fillId="0" borderId="1" numFmtId="0" xfId="0" applyFont="1" applyBorder="1" applyAlignment="1">
      <alignment horizontal="left" vertical="top" wrapText="1"/>
    </xf>
    <xf fontId="14" fillId="0" borderId="1" numFmtId="0" xfId="0" applyFont="1" applyBorder="1" applyAlignment="1">
      <alignment horizontal="right" vertical="top" wrapText="1"/>
    </xf>
    <xf fontId="13" fillId="0" borderId="1" numFmtId="0" xfId="0" applyFont="1" applyBorder="1" applyAlignment="1">
      <alignment horizontal="right" vertical="top"/>
    </xf>
    <xf fontId="13" fillId="0" borderId="1" numFmtId="161" xfId="0" applyNumberFormat="1" applyFont="1" applyBorder="1" applyAlignment="1">
      <alignment horizontal="right" vertical="top"/>
    </xf>
    <xf fontId="13" fillId="0" borderId="1" numFmtId="0" xfId="0" applyFont="1" applyBorder="1" applyAlignment="1">
      <alignment horizontal="right" vertical="top" wrapText="1"/>
    </xf>
    <xf fontId="15" fillId="0" borderId="0" numFmtId="161" xfId="0" applyNumberFormat="1" applyFont="1" applyAlignment="1">
      <alignment horizontal="left" vertical="top"/>
    </xf>
    <xf fontId="15" fillId="0" borderId="2" numFmtId="161" xfId="0" applyNumberFormat="1" applyFont="1" applyBorder="1" applyAlignment="1">
      <alignment horizontal="right" vertical="top"/>
    </xf>
    <xf fontId="0" fillId="0" borderId="0" numFmtId="161" xfId="0" applyNumberFormat="1"/>
    <xf fontId="16" fillId="0" borderId="0" numFmtId="0" xfId="0" applyFont="1" applyAlignment="1">
      <alignment vertical="top" wrapText="1"/>
    </xf>
    <xf fontId="15" fillId="0" borderId="2" numFmtId="0" xfId="0" applyFont="1" applyBorder="1" applyAlignment="1">
      <alignment vertical="top"/>
    </xf>
    <xf fontId="17" fillId="0" borderId="2" numFmtId="0" xfId="0" applyFont="1" applyBorder="1" applyAlignment="1">
      <alignment horizontal="left" vertical="top" wrapText="1"/>
    </xf>
    <xf fontId="15" fillId="0" borderId="2" numFmtId="0" xfId="0" applyFont="1" applyBorder="1" applyAlignment="1">
      <alignment horizontal="left" vertical="top" wrapText="1"/>
    </xf>
    <xf fontId="15" fillId="0" borderId="2" numFmtId="0" xfId="0" applyFont="1" applyBorder="1" applyAlignment="1">
      <alignment horizontal="right" vertical="top"/>
    </xf>
    <xf fontId="15" fillId="0" borderId="0" numFmtId="0" xfId="0" applyFont="1" applyAlignment="1">
      <alignment vertical="top"/>
    </xf>
    <xf fontId="17" fillId="0" borderId="0" numFmtId="0" xfId="0" applyFont="1" applyAlignment="1">
      <alignment horizontal="left" vertical="top" wrapText="1"/>
    </xf>
    <xf fontId="15" fillId="0" borderId="0" numFmtId="0" xfId="0" applyFont="1" applyAlignment="1">
      <alignment horizontal="left" vertical="top" wrapText="1"/>
    </xf>
    <xf fontId="15" fillId="0" borderId="0" numFmtId="0" xfId="0" applyFont="1" applyAlignment="1">
      <alignment horizontal="right" vertical="top"/>
    </xf>
    <xf fontId="15" fillId="0" borderId="0" numFmtId="161" xfId="0" applyNumberFormat="1" applyFont="1" applyAlignment="1">
      <alignment horizontal="right" vertical="top"/>
    </xf>
    <xf fontId="13" fillId="0" borderId="0" numFmtId="0" xfId="0" applyFont="1" applyAlignment="1">
      <alignment vertical="top"/>
    </xf>
    <xf fontId="1" fillId="0" borderId="0" numFmtId="0" xfId="0" applyFont="1" applyAlignment="1">
      <alignment horizontal="left" vertical="top" wrapText="1"/>
    </xf>
    <xf fontId="14" fillId="0" borderId="0" numFmtId="0" xfId="0" applyFont="1" applyAlignment="1">
      <alignment horizontal="left" vertical="top" wrapText="1"/>
    </xf>
    <xf fontId="13" fillId="0" borderId="0" numFmtId="163" xfId="0" applyNumberFormat="1" applyFont="1" applyAlignment="1">
      <alignment horizontal="right" vertical="top"/>
    </xf>
    <xf fontId="13" fillId="0" borderId="0" numFmtId="160" xfId="1" applyNumberFormat="1" applyFont="1" applyAlignment="1">
      <alignment vertical="top"/>
    </xf>
    <xf fontId="18" fillId="0" borderId="0" numFmtId="0" xfId="0" applyFont="1"/>
    <xf fontId="18" fillId="0" borderId="0" numFmtId="161" xfId="0" applyNumberFormat="1" applyFont="1"/>
    <xf fontId="18" fillId="0" borderId="0" numFmtId="164" xfId="0" applyNumberFormat="1" applyFont="1"/>
    <xf fontId="18" fillId="0" borderId="0" numFmtId="160" xfId="1" applyNumberFormat="1" applyFont="1"/>
    <xf fontId="17" fillId="0" borderId="0" numFmtId="160" xfId="1" applyNumberFormat="1" applyFont="1"/>
    <xf fontId="17" fillId="0" borderId="0" numFmtId="164" xfId="0" applyNumberFormat="1" applyFont="1"/>
    <xf fontId="7" fillId="0" borderId="0" numFmtId="0" xfId="0" applyFont="1" applyAlignment="1">
      <alignment horizontal="right" vertical="center"/>
    </xf>
    <xf fontId="6" fillId="0" borderId="1" numFmtId="0" xfId="0" applyFont="1" applyBorder="1" applyAlignment="1">
      <alignment horizontal="left"/>
    </xf>
    <xf fontId="19" fillId="0" borderId="2" numFmtId="0" xfId="0" applyFont="1" applyBorder="1" applyAlignment="1">
      <alignment horizontal="center"/>
    </xf>
    <xf fontId="7" fillId="0" borderId="0" numFmtId="0" xfId="0" applyFont="1" applyAlignment="1">
      <alignment horizontal="right" vertical="center" wrapText="1"/>
    </xf>
    <xf fontId="6" fillId="0" borderId="1" numFmtId="0" xfId="0" applyFont="1" applyBorder="1" applyAlignment="1">
      <alignment horizontal="center" wrapText="1"/>
    </xf>
    <xf fontId="6" fillId="0" borderId="8" numFmtId="0" xfId="0" applyFont="1" applyBorder="1" applyAlignment="1">
      <alignment horizontal="right" wrapText="1"/>
    </xf>
    <xf fontId="6" fillId="0" borderId="13" numFmtId="0" xfId="0" applyFont="1" applyBorder="1" applyAlignment="1">
      <alignment horizontal="center" wrapText="1"/>
    </xf>
    <xf fontId="6" fillId="0" borderId="14" numFmtId="0" xfId="0" applyFont="1" applyBorder="1" applyAlignment="1">
      <alignment horizontal="center" wrapText="1"/>
    </xf>
    <xf fontId="6" fillId="0" borderId="15" numFmtId="0" xfId="0" applyFont="1" applyBorder="1" applyAlignment="1">
      <alignment horizontal="center" wrapText="1"/>
    </xf>
    <xf fontId="6" fillId="0" borderId="4" numFmtId="0" xfId="0" applyFont="1" applyBorder="1" applyAlignment="1">
      <alignment horizontal="center" wrapText="1"/>
    </xf>
    <xf fontId="6" fillId="0" borderId="2" numFmtId="0" xfId="0" applyFont="1" applyBorder="1" applyAlignment="1">
      <alignment horizontal="center" wrapText="1"/>
    </xf>
    <xf fontId="6" fillId="0" borderId="5" numFmtId="0" xfId="0" applyFont="1" applyBorder="1" applyAlignment="1">
      <alignment horizontal="center" wrapText="1"/>
    </xf>
    <xf fontId="6" fillId="0" borderId="1" numFmtId="0" xfId="0" applyFont="1" applyBorder="1" applyAlignment="1">
      <alignment horizontal="left" wrapText="1"/>
    </xf>
    <xf fontId="6" fillId="0" borderId="9" numFmtId="0" xfId="0" applyFont="1" applyBorder="1" applyAlignment="1">
      <alignment horizontal="center" wrapText="1"/>
    </xf>
    <xf fontId="6" fillId="0" borderId="10" numFmtId="0" xfId="0" applyFont="1" applyBorder="1" applyAlignment="1">
      <alignment horizontal="center" wrapText="1"/>
    </xf>
    <xf fontId="19" fillId="0" borderId="2" numFmtId="0" xfId="0" applyFont="1" applyBorder="1" applyAlignment="1">
      <alignment horizontal="center" vertical="top" wrapText="1"/>
    </xf>
    <xf fontId="7" fillId="0" borderId="8" numFmtId="0" xfId="0" applyFont="1" applyBorder="1" applyAlignment="1">
      <alignment wrapText="1"/>
    </xf>
    <xf fontId="7" fillId="0" borderId="14" numFmtId="0" xfId="0" applyFont="1" applyBorder="1" applyAlignment="1">
      <alignment wrapText="1"/>
    </xf>
    <xf fontId="6" fillId="0" borderId="1" numFmtId="0" xfId="0" applyFont="1" applyBorder="1" applyAlignment="1">
      <alignment horizontal="right" wrapText="1"/>
    </xf>
    <xf fontId="6" fillId="0" borderId="10" numFmtId="0" xfId="0" applyFont="1" applyBorder="1" applyAlignment="1">
      <alignment horizontal="right" wrapText="1"/>
    </xf>
    <xf fontId="6" fillId="0" borderId="2" numFmtId="0" xfId="0" applyFont="1" applyBorder="1" applyAlignment="1">
      <alignment horizontal="right" wrapText="1"/>
    </xf>
    <xf fontId="6" fillId="0" borderId="5" numFmtId="0" xfId="0" applyFont="1" applyBorder="1" applyAlignment="1">
      <alignment horizontal="right" wrapText="1"/>
    </xf>
    <xf fontId="6" fillId="0" borderId="12" numFmtId="0" xfId="0" applyFont="1" applyBorder="1" applyAlignment="1">
      <alignment horizontal="center" wrapText="1"/>
    </xf>
    <xf fontId="6" fillId="0" borderId="13" numFmtId="14" xfId="0" applyNumberFormat="1" applyFont="1" applyBorder="1" applyAlignment="1">
      <alignment horizontal="center" wrapText="1"/>
    </xf>
    <xf fontId="6" fillId="0" borderId="14" numFmtId="14" xfId="0" applyNumberFormat="1" applyFont="1" applyBorder="1" applyAlignment="1">
      <alignment horizontal="center" wrapText="1"/>
    </xf>
    <xf fontId="6" fillId="0" borderId="15" numFmtId="14" xfId="0" applyNumberFormat="1" applyFont="1" applyBorder="1" applyAlignment="1">
      <alignment horizontal="center" wrapText="1"/>
    </xf>
    <xf fontId="7" fillId="0" borderId="1" numFmtId="0" xfId="0" applyFont="1" applyBorder="1" applyAlignment="1">
      <alignment wrapText="1"/>
    </xf>
    <xf fontId="7" fillId="0" borderId="2" numFmtId="0" xfId="0" applyFont="1" applyBorder="1" applyAlignment="1">
      <alignment wrapText="1"/>
    </xf>
    <xf fontId="7" fillId="0" borderId="13" numFmtId="0" xfId="0" applyFont="1" applyBorder="1" applyAlignment="1">
      <alignment horizontal="center" vertical="center" wrapText="1"/>
    </xf>
    <xf fontId="7" fillId="0" borderId="15" numFmtId="0" xfId="0" applyFont="1" applyBorder="1" applyAlignment="1">
      <alignment horizontal="center" vertical="center" wrapText="1"/>
    </xf>
    <xf fontId="7" fillId="0" borderId="7" numFmtId="0" xfId="0" applyFont="1" applyBorder="1" applyAlignment="1">
      <alignment wrapText="1"/>
    </xf>
    <xf fontId="7" fillId="0" borderId="12" numFmtId="0" xfId="0" applyFont="1" applyBorder="1" applyAlignment="1">
      <alignment horizontal="center" vertical="center"/>
    </xf>
    <xf fontId="7" fillId="0" borderId="12" numFmtId="14" xfId="0" applyNumberFormat="1" applyFont="1" applyBorder="1" applyAlignment="1">
      <alignment horizontal="center" wrapText="1"/>
    </xf>
    <xf fontId="10" fillId="0" borderId="0" numFmtId="0" xfId="0" applyFont="1" applyAlignment="1">
      <alignment horizontal="center" wrapText="1"/>
    </xf>
    <xf fontId="6" fillId="0" borderId="1" numFmtId="0" xfId="0" applyFont="1" applyBorder="1" applyAlignment="1">
      <alignment wrapText="1"/>
    </xf>
    <xf fontId="7" fillId="0" borderId="14" numFmtId="0" xfId="0" applyFont="1" applyBorder="1" applyAlignment="1">
      <alignment horizontal="center" vertical="center" wrapText="1"/>
    </xf>
    <xf fontId="7" fillId="0" borderId="12" numFmtId="0" xfId="0" applyFont="1" applyBorder="1" applyAlignment="1">
      <alignment horizontal="center" wrapText="1"/>
    </xf>
    <xf fontId="20" fillId="0" borderId="0" numFmtId="0" xfId="0" applyFont="1" applyAlignment="1">
      <alignment horizontal="left" vertical="top" wrapText="1"/>
    </xf>
    <xf fontId="0" fillId="0" borderId="0" numFmtId="160" xfId="0" applyNumberFormat="1"/>
    <xf fontId="21" fillId="0" borderId="0" numFmtId="0" xfId="0" applyFont="1"/>
    <xf fontId="18" fillId="0" borderId="0" numFmtId="165" xfId="0" applyNumberFormat="1" applyFont="1"/>
    <xf fontId="6" fillId="0" borderId="0" numFmtId="0" xfId="0" applyFont="1" applyAlignment="1">
      <alignment vertical="center" wrapText="1"/>
    </xf>
    <xf fontId="6" fillId="0" borderId="0" numFmtId="0" xfId="0" applyFont="1" applyAlignment="1">
      <alignment horizontal="right" vertical="center"/>
    </xf>
    <xf fontId="6" fillId="0" borderId="0" numFmtId="0" xfId="0" applyFont="1" applyAlignment="1">
      <alignment horizontal="left" vertical="center"/>
    </xf>
    <xf fontId="13" fillId="0" borderId="0" numFmtId="0" xfId="0" applyFont="1"/>
    <xf fontId="2" fillId="0" borderId="0" numFmtId="0" xfId="0" applyFont="1" applyAlignment="1">
      <alignment horizontal="right"/>
    </xf>
    <xf fontId="13" fillId="0" borderId="4" numFmtId="0" xfId="0" applyFont="1" applyBorder="1" applyAlignment="1">
      <alignment horizontal="center"/>
    </xf>
    <xf fontId="13" fillId="0" borderId="5" numFmtId="0" xfId="0" applyFont="1" applyBorder="1" applyAlignment="1">
      <alignment horizontal="center"/>
    </xf>
    <xf fontId="13" fillId="0" borderId="0" numFmtId="0" xfId="0" applyFont="1" applyAlignment="1">
      <alignment horizontal="right"/>
    </xf>
    <xf fontId="13" fillId="0" borderId="1" numFmtId="0" xfId="0" applyFont="1" applyBorder="1"/>
    <xf fontId="2" fillId="0" borderId="2" numFmtId="0" xfId="0" applyFont="1" applyBorder="1" applyAlignment="1">
      <alignment horizontal="center"/>
    </xf>
    <xf fontId="13" fillId="0" borderId="7" numFmtId="0" xfId="0" applyFont="1" applyBorder="1" applyAlignment="1">
      <alignment horizontal="center"/>
    </xf>
    <xf fontId="13" fillId="0" borderId="8" numFmtId="0" xfId="0" applyFont="1" applyBorder="1" applyAlignment="1">
      <alignment horizontal="center"/>
    </xf>
    <xf fontId="13" fillId="0" borderId="8" numFmtId="0" xfId="0" applyFont="1" applyBorder="1" applyAlignment="1">
      <alignment horizontal="right"/>
    </xf>
    <xf fontId="13" fillId="0" borderId="4" numFmtId="0" xfId="0" applyFont="1" applyBorder="1" applyAlignment="1">
      <alignment horizontal="right"/>
    </xf>
    <xf fontId="13" fillId="0" borderId="2" numFmtId="0" xfId="0" applyFont="1" applyBorder="1" applyAlignment="1">
      <alignment horizontal="right"/>
    </xf>
    <xf fontId="13" fillId="0" borderId="13" numFmtId="0" xfId="0" applyFont="1" applyBorder="1" applyAlignment="1">
      <alignment horizontal="right"/>
    </xf>
    <xf fontId="13" fillId="0" borderId="14" numFmtId="0" xfId="0" applyFont="1" applyBorder="1" applyAlignment="1">
      <alignment horizontal="right"/>
    </xf>
    <xf fontId="13" fillId="0" borderId="4" numFmtId="14" xfId="0" applyNumberFormat="1" applyFont="1" applyBorder="1" applyAlignment="1">
      <alignment horizontal="center"/>
    </xf>
    <xf fontId="13" fillId="0" borderId="5" numFmtId="14" xfId="0" applyNumberFormat="1" applyFont="1" applyBorder="1" applyAlignment="1">
      <alignment horizontal="center"/>
    </xf>
    <xf fontId="13" fillId="0" borderId="13" numFmtId="0" xfId="0" applyFont="1" applyBorder="1"/>
    <xf fontId="13" fillId="0" borderId="15" numFmtId="0" xfId="0" applyFont="1" applyBorder="1"/>
    <xf fontId="13" fillId="0" borderId="4" numFmtId="0" xfId="0" applyFont="1" applyBorder="1" applyAlignment="1">
      <alignment horizontal="center" vertical="center" wrapText="1"/>
    </xf>
    <xf fontId="13" fillId="0" borderId="2" numFmtId="0" xfId="0" applyFont="1" applyBorder="1" applyAlignment="1">
      <alignment horizontal="center" vertical="center" wrapText="1"/>
    </xf>
    <xf fontId="13" fillId="0" borderId="5" numFmtId="0" xfId="0" applyFont="1" applyBorder="1" applyAlignment="1">
      <alignment horizontal="center" vertical="center" wrapText="1"/>
    </xf>
    <xf fontId="13" fillId="0" borderId="7" numFmtId="0" xfId="0" applyFont="1" applyBorder="1" applyAlignment="1">
      <alignment horizontal="center" vertical="center" wrapText="1"/>
    </xf>
    <xf fontId="13" fillId="0" borderId="0" numFmtId="0" xfId="0" applyFont="1" applyAlignment="1">
      <alignment horizontal="center" vertical="center" wrapText="1"/>
    </xf>
    <xf fontId="13" fillId="0" borderId="8" numFmtId="0" xfId="0" applyFont="1" applyBorder="1" applyAlignment="1">
      <alignment horizontal="center" vertical="center" wrapText="1"/>
    </xf>
    <xf fontId="13" fillId="0" borderId="4" numFmtId="0" xfId="0" applyFont="1" applyBorder="1" applyAlignment="1">
      <alignment horizontal="center" vertical="center"/>
    </xf>
    <xf fontId="13" fillId="0" borderId="2" numFmtId="0" xfId="0" applyFont="1" applyBorder="1" applyAlignment="1">
      <alignment horizontal="center" vertical="center"/>
    </xf>
    <xf fontId="13" fillId="0" borderId="5" numFmtId="0" xfId="0" applyFont="1" applyBorder="1" applyAlignment="1">
      <alignment horizontal="center" vertical="center"/>
    </xf>
    <xf fontId="13" fillId="0" borderId="13" numFmtId="0" xfId="0" applyFont="1" applyBorder="1" applyAlignment="1">
      <alignment horizontal="center"/>
    </xf>
    <xf fontId="13" fillId="0" borderId="14" numFmtId="0" xfId="0" applyFont="1" applyBorder="1" applyAlignment="1">
      <alignment horizontal="center"/>
    </xf>
    <xf fontId="13" fillId="0" borderId="13" numFmtId="14" xfId="0" applyNumberFormat="1" applyFont="1" applyBorder="1" applyAlignment="1">
      <alignment horizontal="center"/>
    </xf>
    <xf fontId="13" fillId="0" borderId="15" numFmtId="14" xfId="0" applyNumberFormat="1" applyFont="1" applyBorder="1" applyAlignment="1">
      <alignment horizontal="center"/>
    </xf>
    <xf fontId="13" fillId="0" borderId="0" numFmtId="14" xfId="0" applyNumberFormat="1" applyFont="1"/>
    <xf fontId="13" fillId="0" borderId="14" numFmtId="14" xfId="0" applyNumberFormat="1" applyFont="1" applyBorder="1" applyAlignment="1">
      <alignment horizontal="center"/>
    </xf>
    <xf fontId="22" fillId="0" borderId="0" numFmtId="0" xfId="0" applyFont="1" applyAlignment="1">
      <alignment horizontal="center"/>
    </xf>
    <xf fontId="13" fillId="0" borderId="4" numFmtId="0" xfId="0" applyFont="1" applyBorder="1" applyAlignment="1">
      <alignment horizontal="center" shrinkToFit="1" vertical="center" wrapText="1"/>
    </xf>
    <xf fontId="13" fillId="0" borderId="2" numFmtId="0" xfId="0" applyFont="1" applyBorder="1" applyAlignment="1">
      <alignment horizontal="center" shrinkToFit="1" vertical="center" wrapText="1"/>
    </xf>
    <xf fontId="13" fillId="0" borderId="5" numFmtId="0" xfId="0" applyFont="1" applyBorder="1" applyAlignment="1">
      <alignment horizontal="center" shrinkToFit="1" vertical="center" wrapText="1"/>
    </xf>
    <xf fontId="13" fillId="0" borderId="7" numFmtId="0" xfId="0" applyFont="1" applyBorder="1" applyAlignment="1">
      <alignment horizontal="center" shrinkToFit="1" vertical="center" wrapText="1"/>
    </xf>
    <xf fontId="13" fillId="0" borderId="0" numFmtId="0" xfId="0" applyFont="1" applyAlignment="1">
      <alignment horizontal="center" shrinkToFit="1" vertical="center" wrapText="1"/>
    </xf>
    <xf fontId="13" fillId="0" borderId="8" numFmtId="0" xfId="0" applyFont="1" applyBorder="1" applyAlignment="1">
      <alignment horizontal="center" shrinkToFit="1" vertical="center" wrapText="1"/>
    </xf>
    <xf fontId="13" fillId="0" borderId="2" numFmtId="0" xfId="0" applyFont="1" applyBorder="1" applyAlignment="1">
      <alignment horizontal="center"/>
    </xf>
    <xf fontId="13" fillId="0" borderId="4" numFmtId="0" xfId="0" applyFont="1" applyBorder="1" applyAlignment="1">
      <alignment horizontal="justify" shrinkToFit="1" vertical="top" wrapText="1"/>
    </xf>
    <xf fontId="13" fillId="0" borderId="2" numFmtId="0" xfId="0" applyFont="1" applyBorder="1" applyAlignment="1">
      <alignment horizontal="justify" shrinkToFit="1" vertical="top" wrapText="1"/>
    </xf>
    <xf fontId="13" fillId="0" borderId="4" numFmtId="0" xfId="0" applyFont="1" applyBorder="1" applyAlignment="1">
      <alignment horizontal="center" shrinkToFit="1" wrapText="1"/>
    </xf>
    <xf fontId="13" fillId="0" borderId="4" numFmtId="161" xfId="0" applyNumberFormat="1" applyFont="1" applyBorder="1" applyAlignment="1">
      <alignment horizontal="right" shrinkToFit="1" wrapText="1"/>
    </xf>
    <xf fontId="13" fillId="0" borderId="2" numFmtId="0" xfId="0" applyFont="1" applyBorder="1" applyAlignment="1">
      <alignment horizontal="right" shrinkToFit="1" wrapText="1"/>
    </xf>
    <xf fontId="13" fillId="0" borderId="5" numFmtId="0" xfId="0" applyFont="1" applyBorder="1" applyAlignment="1">
      <alignment horizontal="right" shrinkToFit="1" wrapText="1"/>
    </xf>
    <xf fontId="13" fillId="0" borderId="13" numFmtId="0" xfId="0" applyFont="1" applyBorder="1" applyAlignment="1">
      <alignment horizontal="center" shrinkToFit="1" vertical="center" wrapText="1"/>
    </xf>
    <xf fontId="13" fillId="0" borderId="13" numFmtId="0" xfId="0" applyFont="1" applyBorder="1" applyAlignment="1">
      <alignment horizontal="justify" shrinkToFit="1" vertical="top" wrapText="1"/>
    </xf>
    <xf fontId="13" fillId="0" borderId="14" numFmtId="0" xfId="0" applyFont="1" applyBorder="1" applyAlignment="1">
      <alignment horizontal="justify" shrinkToFit="1" vertical="top" wrapText="1"/>
    </xf>
    <xf fontId="13" fillId="0" borderId="5" numFmtId="0" xfId="0" applyFont="1" applyBorder="1" applyAlignment="1">
      <alignment horizontal="justify" shrinkToFit="1" vertical="top" wrapText="1"/>
    </xf>
    <xf fontId="13" fillId="0" borderId="5" numFmtId="0" xfId="0" applyFont="1" applyBorder="1" applyAlignment="1">
      <alignment horizontal="right"/>
    </xf>
    <xf fontId="13" fillId="0" borderId="4" numFmtId="161" xfId="0" applyNumberFormat="1" applyFont="1" applyBorder="1" applyAlignment="1">
      <alignment horizontal="right"/>
    </xf>
    <xf fontId="13" fillId="0" borderId="0" numFmtId="0" xfId="0" applyFont="1" applyAlignment="1">
      <alignment horizontal="right" shrinkToFit="1" vertical="center" wrapText="1"/>
    </xf>
    <xf fontId="13" fillId="0" borderId="4" numFmtId="161" xfId="0" applyNumberFormat="1" applyFont="1" applyBorder="1" applyAlignment="1">
      <alignment horizontal="right" shrinkToFit="1" vertical="center" wrapText="1"/>
    </xf>
    <xf fontId="13" fillId="0" borderId="5" numFmtId="0" xfId="0" applyFont="1" applyBorder="1" applyAlignment="1">
      <alignment horizontal="right" shrinkToFit="1" vertical="center" wrapText="1"/>
    </xf>
    <xf fontId="13" fillId="0" borderId="13" numFmtId="161" xfId="0" applyNumberFormat="1" applyFont="1" applyBorder="1" applyAlignment="1">
      <alignment horizontal="right" shrinkToFit="1" vertical="center" wrapText="1"/>
    </xf>
    <xf fontId="13" fillId="0" borderId="15" numFmtId="0" xfId="0" applyFont="1" applyBorder="1" applyAlignment="1">
      <alignment horizontal="right" shrinkToFit="1" vertical="center" wrapText="1"/>
    </xf>
    <xf fontId="13" fillId="0" borderId="0" numFmtId="0" xfId="0" applyFont="1" applyAlignment="1">
      <alignment horizontal="right" shrinkToFit="1" vertical="center"/>
    </xf>
    <xf fontId="13" fillId="0" borderId="1" numFmtId="0" xfId="0" applyFont="1" applyBorder="1" applyAlignment="1">
      <alignment horizontal="center" shrinkToFit="1" vertical="center"/>
    </xf>
    <xf fontId="2" fillId="0" borderId="2" numFmtId="0" xfId="0" applyFont="1" applyBorder="1" applyAlignment="1">
      <alignment horizontal="center" shrinkToFit="1" vertical="top"/>
    </xf>
    <xf fontId="23" fillId="0" borderId="0" numFmtId="0" xfId="0" applyFont="1"/>
    <xf fontId="24" fillId="0" borderId="0" numFmtId="0" xfId="0" applyFont="1"/>
    <xf fontId="25" fillId="0" borderId="0" numFmtId="0" xfId="0" applyFont="1"/>
    <xf fontId="26" fillId="0" borderId="0" numFmtId="0" xfId="0" applyFont="1"/>
    <xf fontId="27" fillId="0" borderId="0" numFmtId="0" xfId="0" applyFont="1"/>
    <xf fontId="28" fillId="0" borderId="0" numFmtId="0" xfId="0" applyFont="1"/>
    <xf fontId="29" fillId="0" borderId="0" numFmtId="0" xfId="0" applyFont="1"/>
    <xf fontId="30" fillId="0" borderId="0" numFmt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1" Type="http://schemas.openxmlformats.org/officeDocument/2006/relationships/sharedStrings" Target="sharedStrings.xml"/><Relationship  Id="rId10" Type="http://schemas.openxmlformats.org/officeDocument/2006/relationships/theme" Target="theme/theme1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styles" Target="styles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2"/>
    <outlinePr applyStyles="0" summaryBelow="1" summaryRight="1" showOutlineSymbols="1"/>
    <pageSetUpPr autoPageBreaks="1" fitToPage="1"/>
  </sheetPr>
  <sheetViews>
    <sheetView view="pageBreakPreview" topLeftCell="A299" zoomScale="87" workbookViewId="0">
      <selection activeCell="DB391" activeCellId="0" sqref="DB391"/>
    </sheetView>
  </sheetViews>
  <sheetFormatPr defaultRowHeight="12.75"/>
  <cols>
    <col customWidth="1" min="1" max="1" width="5.7109375"/>
    <col customWidth="1" min="2" max="2" width="20.7109375"/>
    <col customWidth="1" min="3" max="3" width="40.7109375"/>
    <col customWidth="1" min="4" max="4" width="10.7109375"/>
    <col customWidth="1" min="5" max="12" width="15.7109375"/>
    <col customWidth="1" min="14" max="14" width="12.5703125"/>
    <col customWidth="1" hidden="1" min="15" max="92" width="0"/>
    <col customWidth="1" hidden="1" min="93" max="93" width="108.7109375"/>
    <col customWidth="1" hidden="1" min="94" max="101" width="0"/>
    <col bestFit="1" customWidth="1" min="102" max="102" width="11"/>
  </cols>
  <sheetData>
    <row r="1">
      <c r="A1" s="1" t="str">
        <f>Source!B1</f>
        <v xml:space="preserve">Smeta.RU  (495) 974-1589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6.5" customHeight="1">
      <c r="A3" s="3"/>
      <c r="B3" s="4" t="s">
        <v>0</v>
      </c>
      <c r="C3" s="4"/>
      <c r="D3" s="4"/>
      <c r="E3" s="4"/>
      <c r="F3" s="5"/>
      <c r="G3" s="5"/>
      <c r="H3" s="4" t="s">
        <v>1</v>
      </c>
      <c r="I3" s="4"/>
      <c r="J3" s="4"/>
      <c r="K3" s="4"/>
      <c r="L3" s="4"/>
    </row>
    <row r="4" ht="14.25" customHeight="1">
      <c r="A4" s="5"/>
      <c r="B4" s="6"/>
      <c r="C4" s="6"/>
      <c r="D4" s="6"/>
      <c r="E4" s="6"/>
      <c r="F4" s="5"/>
      <c r="G4" s="5"/>
      <c r="H4" s="6"/>
      <c r="I4" s="6"/>
      <c r="J4" s="6"/>
      <c r="K4" s="6"/>
      <c r="L4" s="6"/>
    </row>
    <row r="5" ht="14.25" customHeight="1">
      <c r="A5" s="5"/>
      <c r="B5" s="5"/>
      <c r="C5" s="6"/>
      <c r="D5" s="6"/>
      <c r="E5" s="6"/>
      <c r="F5" s="5"/>
      <c r="G5" s="5"/>
      <c r="H5" s="6"/>
      <c r="I5" s="6"/>
      <c r="J5" s="6"/>
      <c r="K5" s="6"/>
      <c r="L5" s="6"/>
    </row>
    <row r="6" ht="14.25" customHeight="1">
      <c r="A6" s="6"/>
      <c r="B6" s="6" t="str">
        <f>CONCATENATE("______________________ ", IF(Source!AL12&lt;&gt;"", Source!AL12, ""))</f>
        <v xml:space="preserve">______________________ </v>
      </c>
      <c r="C6" s="6"/>
      <c r="D6" s="6"/>
      <c r="E6" s="6"/>
      <c r="F6" s="5"/>
      <c r="G6" s="5"/>
      <c r="H6" s="6" t="str">
        <f>CONCATENATE("______________________ ", IF(Source!AH12&lt;&gt;"", Source!AH12, ""))</f>
        <v xml:space="preserve">______________________ </v>
      </c>
      <c r="I6" s="6"/>
      <c r="J6" s="6"/>
      <c r="K6" s="6"/>
      <c r="L6" s="6"/>
    </row>
    <row r="7" ht="14.25" customHeight="1">
      <c r="A7" s="7"/>
      <c r="B7" s="8" t="s">
        <v>2</v>
      </c>
      <c r="C7" s="8"/>
      <c r="D7" s="8"/>
      <c r="E7" s="8"/>
      <c r="F7" s="5"/>
      <c r="G7" s="5"/>
      <c r="H7" s="8" t="s">
        <v>2</v>
      </c>
      <c r="I7" s="8"/>
      <c r="J7" s="8"/>
      <c r="K7" s="8"/>
      <c r="L7" s="8"/>
    </row>
    <row r="10" ht="12.75" customHeight="1">
      <c r="A10" s="9" t="s">
        <v>3</v>
      </c>
      <c r="B10" s="9"/>
      <c r="C10" s="9"/>
      <c r="D10" s="9"/>
      <c r="E10" s="9"/>
      <c r="F10" s="10" t="s">
        <v>4</v>
      </c>
      <c r="G10" s="10"/>
      <c r="H10" s="10"/>
      <c r="I10" s="10"/>
      <c r="J10" s="10"/>
      <c r="K10" s="10"/>
      <c r="L10" s="10"/>
    </row>
    <row r="11" ht="12.75" customHeight="1">
      <c r="A11" s="9"/>
      <c r="B11" s="9"/>
      <c r="C11" s="9"/>
      <c r="D11" s="9"/>
      <c r="E11" s="9"/>
      <c r="F11" s="11"/>
      <c r="G11" s="11"/>
      <c r="H11" s="11"/>
      <c r="I11" s="11"/>
      <c r="J11" s="11"/>
      <c r="K11" s="11"/>
      <c r="L11" s="11"/>
    </row>
    <row r="12" ht="51">
      <c r="A12" s="9" t="s">
        <v>5</v>
      </c>
      <c r="B12" s="9"/>
      <c r="C12" s="9"/>
      <c r="D12" s="9"/>
      <c r="E12" s="9"/>
      <c r="F12" s="10" t="str">
        <f>IF(Source!CQ12 &lt;&gt; "", Source!CQ12, "")</f>
        <v xml:space="preserve">ГОСУДАРСТВЕННЫЕ СМЕТНЫЕ НОРМАТИВЫ (ФЕР-2020), утвержденные приказами Минстроя России от 26 декабря 2019 г.   № 876/пр (в редакции приказов Минстроя РФ от 30 марта 2020 г. № 172/пр, от 1 июня 2020 г. № 294/пр, от 30 июня 2020 г. № 352/пр,   от 20 октября 2020 г. № 636/пр, от 9 февраля 2021 г. № 51/пр, от 24 мая 2021 г. № 321/пр, от 24 июня 2021 г. № 408/пр,  от 14 октября 2021 № 746/пр, от 20 декабря 2021 № 962/пр)</v>
      </c>
      <c r="G12" s="10"/>
      <c r="H12" s="10"/>
      <c r="I12" s="10"/>
      <c r="J12" s="10"/>
      <c r="K12" s="10"/>
      <c r="L12" s="10"/>
      <c r="CO12" s="10" t="str">
        <f>IF(Source!CQ12 &lt;&gt; "", Source!CQ12, "")</f>
        <v xml:space="preserve">ГОСУДАРСТВЕННЫЕ СМЕТНЫЕ НОРМАТИВЫ (ФЕР-2020), утвержденные приказами Минстроя России от 26 декабря 2019 г.   № 876/пр (в редакции приказов Минстроя РФ от 30 марта 2020 г. № 172/пр, от 1 июня 2020 г. № 294/пр, от 30 июня 2020 г. № 352/пр,   от 20 октября 2020 г. № 636/пр, от 9 февраля 2021 г. № 51/пр, от 24 мая 2021 г. № 321/пр, от 24 июня 2021 г. № 408/пр,  от 14 октября 2021 № 746/пр, от 20 декабря 2021 № 962/пр)</v>
      </c>
    </row>
    <row r="13" ht="12.75" customHeight="1">
      <c r="A13" s="9"/>
      <c r="B13" s="9"/>
      <c r="C13" s="9"/>
      <c r="D13" s="9"/>
      <c r="E13" s="9"/>
      <c r="F13" s="11"/>
      <c r="G13" s="11"/>
      <c r="H13" s="11"/>
      <c r="I13" s="11"/>
      <c r="J13" s="11"/>
      <c r="K13" s="11"/>
      <c r="L13" s="11"/>
    </row>
    <row r="14" ht="12.75" customHeight="1">
      <c r="A14" s="12" t="s">
        <v>6</v>
      </c>
      <c r="B14" s="12"/>
      <c r="C14" s="12"/>
      <c r="D14" s="12"/>
      <c r="E14" s="12"/>
      <c r="F14" s="10" t="str">
        <f>IF(Source!CV12 &lt;&gt; "", Source!CV12, "")</f>
        <v/>
      </c>
      <c r="G14" s="10"/>
      <c r="H14" s="10"/>
      <c r="I14" s="10"/>
      <c r="J14" s="10"/>
      <c r="K14" s="10"/>
      <c r="L14" s="10"/>
    </row>
    <row r="15" ht="12.75" customHeight="1">
      <c r="A15" s="9"/>
      <c r="B15" s="9"/>
      <c r="C15" s="9"/>
      <c r="D15" s="9"/>
      <c r="E15" s="9"/>
      <c r="F15" s="11"/>
      <c r="G15" s="11"/>
      <c r="H15" s="11"/>
      <c r="I15" s="11"/>
      <c r="J15" s="11"/>
      <c r="K15" s="11"/>
      <c r="L15" s="11"/>
    </row>
    <row r="16" ht="76.5" customHeight="1">
      <c r="A16" s="9" t="s">
        <v>7</v>
      </c>
      <c r="B16" s="9"/>
      <c r="C16" s="9"/>
      <c r="D16" s="9"/>
      <c r="E16" s="9"/>
      <c r="F16" s="10" t="s">
        <v>8</v>
      </c>
      <c r="G16" s="10"/>
      <c r="H16" s="10"/>
      <c r="I16" s="10"/>
      <c r="J16" s="10"/>
      <c r="K16" s="10"/>
      <c r="L16" s="10"/>
    </row>
    <row r="17" ht="12.75" customHeight="1">
      <c r="A17" s="9"/>
      <c r="B17" s="9"/>
      <c r="C17" s="9"/>
      <c r="D17" s="9"/>
      <c r="E17" s="9"/>
      <c r="F17" s="11"/>
      <c r="G17" s="11"/>
      <c r="H17" s="11"/>
      <c r="I17" s="11"/>
      <c r="J17" s="11"/>
      <c r="K17" s="11"/>
      <c r="L17" s="11"/>
    </row>
    <row r="18" ht="38.25" customHeight="1">
      <c r="A18" s="9" t="s">
        <v>9</v>
      </c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</row>
    <row r="19" ht="12.75" customHeight="1">
      <c r="A19" s="12"/>
      <c r="B19" s="12"/>
      <c r="C19" s="12"/>
      <c r="D19" s="12"/>
      <c r="E19" s="12"/>
      <c r="F19" s="13"/>
      <c r="G19" s="13"/>
      <c r="H19" s="13"/>
      <c r="I19" s="13"/>
      <c r="J19" s="13"/>
      <c r="K19" s="13"/>
      <c r="L19" s="13"/>
    </row>
    <row r="20" ht="12.75" customHeight="1">
      <c r="A20" s="9" t="s">
        <v>10</v>
      </c>
      <c r="B20" s="9"/>
      <c r="C20" s="9"/>
      <c r="D20" s="9"/>
      <c r="E20" s="9"/>
      <c r="F20" s="10" t="str">
        <f>IF(Source!CZ12 &lt;&gt; "", Source!CZ12, "")</f>
        <v/>
      </c>
      <c r="G20" s="10"/>
      <c r="H20" s="10"/>
      <c r="I20" s="10"/>
      <c r="J20" s="10"/>
      <c r="K20" s="10"/>
      <c r="L20" s="10"/>
    </row>
    <row r="21" ht="12.75" customHeight="1">
      <c r="A21" s="12"/>
      <c r="B21" s="12"/>
      <c r="C21" s="12"/>
      <c r="D21" s="12"/>
      <c r="E21" s="12"/>
      <c r="F21" s="13"/>
      <c r="G21" s="13"/>
      <c r="H21" s="13"/>
      <c r="I21" s="13"/>
      <c r="J21" s="13"/>
      <c r="K21" s="13"/>
      <c r="L21" s="11"/>
    </row>
    <row r="22" ht="12.75" customHeight="1">
      <c r="A22" s="9" t="s">
        <v>11</v>
      </c>
      <c r="B22" s="9"/>
      <c r="C22" s="9"/>
      <c r="D22" s="9"/>
      <c r="E22" s="9"/>
      <c r="F22" s="10" t="str">
        <f>IF(Source!DA12 &lt;&gt; "", Source!DA12, "")</f>
        <v/>
      </c>
      <c r="G22" s="10"/>
      <c r="H22" s="10"/>
      <c r="I22" s="10"/>
      <c r="J22" s="10"/>
      <c r="K22" s="10"/>
      <c r="L22" s="10"/>
    </row>
    <row r="23" ht="12.75" customHeight="1">
      <c r="A23" s="2"/>
      <c r="B23" s="2"/>
      <c r="C23" s="2"/>
      <c r="D23" s="2"/>
      <c r="E23" s="2"/>
      <c r="F23" s="14"/>
      <c r="G23" s="14"/>
      <c r="H23" s="14"/>
      <c r="I23" s="14"/>
      <c r="J23" s="14"/>
      <c r="K23" s="14"/>
      <c r="L23" s="14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ht="15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ht="14.25" customHeight="1">
      <c r="A26" s="16" t="s">
        <v>12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ht="15.75" customHeight="1">
      <c r="A28" s="15" t="s">
        <v>13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ht="14.25" customHeight="1">
      <c r="A29" s="16" t="s">
        <v>14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ht="14.25" customHeight="1">
      <c r="A30" s="5"/>
      <c r="B30" s="5"/>
      <c r="C30" s="5"/>
      <c r="D30" s="5"/>
      <c r="E30" s="5"/>
      <c r="F30" s="7"/>
      <c r="G30" s="7"/>
      <c r="H30" s="7"/>
      <c r="I30" s="7"/>
      <c r="J30" s="7"/>
      <c r="K30" s="7"/>
      <c r="L30" s="7"/>
    </row>
    <row r="31" ht="15.75" customHeight="1">
      <c r="A31" s="17" t="s">
        <v>15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ht="15" customHeight="1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8"/>
    </row>
    <row r="33" ht="18" customHeight="1">
      <c r="A33" s="20" t="s">
        <v>16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ht="14.25" customHeight="1">
      <c r="A34" s="16" t="s">
        <v>17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ht="12.75" customHeight="1">
      <c r="A37" s="21" t="s">
        <v>18</v>
      </c>
      <c r="B37" s="21"/>
      <c r="C37" s="22" t="s">
        <v>19</v>
      </c>
      <c r="D37" s="21" t="s">
        <v>20</v>
      </c>
      <c r="E37" s="21"/>
      <c r="F37" s="21"/>
      <c r="G37" s="21"/>
      <c r="H37" s="21"/>
      <c r="I37" s="21"/>
      <c r="J37" s="21"/>
      <c r="K37" s="21"/>
      <c r="L37" s="21"/>
    </row>
    <row r="38" ht="12.75" customHeight="1">
      <c r="A38" s="21"/>
      <c r="B38" s="21"/>
      <c r="C38" s="23"/>
      <c r="D38" s="21"/>
      <c r="E38" s="21"/>
      <c r="F38" s="21"/>
      <c r="G38" s="21"/>
      <c r="H38" s="21"/>
      <c r="I38" s="21"/>
      <c r="J38" s="21"/>
      <c r="K38" s="21"/>
      <c r="L38" s="21"/>
    </row>
    <row r="39" ht="12.75" customHeight="1">
      <c r="A39" s="21" t="s">
        <v>21</v>
      </c>
      <c r="B39" s="21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ht="14.25" customHeight="1">
      <c r="A40" s="25"/>
      <c r="B40" s="26"/>
      <c r="C40" s="16" t="s">
        <v>22</v>
      </c>
      <c r="D40" s="16"/>
      <c r="E40" s="16"/>
      <c r="F40" s="16"/>
      <c r="G40" s="16"/>
      <c r="H40" s="16"/>
      <c r="I40" s="16"/>
      <c r="J40" s="16"/>
      <c r="K40" s="16"/>
      <c r="L40" s="16"/>
    </row>
    <row r="41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ht="14.25" customHeight="1">
      <c r="A42" s="21" t="s">
        <v>23</v>
      </c>
      <c r="B42" s="5"/>
      <c r="C42" s="5"/>
      <c r="D42" s="27"/>
      <c r="E42" s="5"/>
      <c r="F42" s="5"/>
      <c r="G42" s="5"/>
      <c r="H42" s="5"/>
      <c r="I42" s="5"/>
      <c r="J42" s="5"/>
      <c r="K42" s="5"/>
      <c r="L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ht="14.25" customHeight="1">
      <c r="A44" s="28" t="s">
        <v>24</v>
      </c>
      <c r="B44" s="5"/>
      <c r="C44" s="29">
        <f>C47+C48+C49+C50</f>
        <v>161.77000000000001</v>
      </c>
      <c r="D44" s="29">
        <f>D47+D48+D49+D50</f>
        <v>10.710000000000001</v>
      </c>
      <c r="E44" s="30"/>
      <c r="F44" s="21" t="s">
        <v>25</v>
      </c>
      <c r="G44" s="2"/>
      <c r="H44" s="2"/>
      <c r="I44" s="2"/>
      <c r="J44" s="2"/>
      <c r="K44" s="2"/>
      <c r="L44" s="5"/>
    </row>
    <row r="45" ht="14.25" customHeight="1">
      <c r="A45" s="28"/>
      <c r="B45" s="5"/>
      <c r="C45" s="29"/>
      <c r="D45" s="29"/>
      <c r="E45" s="30"/>
      <c r="F45" s="21"/>
      <c r="G45" s="2"/>
      <c r="H45" s="2"/>
      <c r="I45" s="2"/>
      <c r="J45" s="2"/>
      <c r="K45" s="2"/>
      <c r="L45" s="5"/>
    </row>
    <row r="46" ht="14.25" customHeight="1">
      <c r="A46" s="5"/>
      <c r="B46" s="31" t="s">
        <v>26</v>
      </c>
      <c r="C46" s="32"/>
      <c r="D46" s="33"/>
      <c r="E46" s="34"/>
      <c r="F46" s="21"/>
      <c r="G46" s="21" t="s">
        <v>27</v>
      </c>
      <c r="H46" s="5"/>
      <c r="I46" s="32">
        <f>ROUND((SUM(AR58:AR387))/1000, 2)</f>
        <v>26.91</v>
      </c>
      <c r="J46" s="32">
        <f>ROUND((SUM(S58:S387))/1000, 2)</f>
        <v>0.48999999999999999</v>
      </c>
      <c r="K46" s="21" t="s">
        <v>25</v>
      </c>
      <c r="L46" s="5"/>
    </row>
    <row r="47" ht="14.25" customHeight="1">
      <c r="A47" s="5"/>
      <c r="B47" s="28" t="s">
        <v>28</v>
      </c>
      <c r="C47" s="29">
        <f>ROUND((ROUND(SUMIF(CD58:CD387, 1, AA58:AA387)*Source!D140, 2)+ROUND(SUMIF(CD58:CD387, 1, P58:P387)*Source!E140, 2)+ROUND(SUMIF(CD58:CD387, 1, AV58:AV387), 2)+ROUND(SUMIF(CD58:CD387, 1, S58:S387)*Source!G140, 2)+ROUND(SUMIF(CD58:CD387, 1, AG58:AG387)*Source!L140, 2)+ROUND(SUMIF(CD58:CD387, 1, AF58:AF387)*Source!L140, 2)+SUMIF(CD58:CD387, 1, AZ58:AZ387)+SUMIF(CD58:CD387, 1, BA58:BA387))/1000, 2)</f>
        <v>161.77000000000001</v>
      </c>
      <c r="D47" s="29">
        <f>ROUND((SUM(BH58:BH387)+SUMIF(CD58:CD387, 1, AG58:AG387)+SUMIF(CD58:CD387, 1, AF58:AF387))/1000, 2)</f>
        <v>10.710000000000001</v>
      </c>
      <c r="E47" s="30"/>
      <c r="F47" s="21" t="s">
        <v>25</v>
      </c>
      <c r="G47" s="21" t="s">
        <v>29</v>
      </c>
      <c r="H47" s="5"/>
      <c r="I47" s="21"/>
      <c r="J47" s="35">
        <f>Source!F75</f>
        <v>54.994399999999999</v>
      </c>
      <c r="K47" s="21" t="s">
        <v>30</v>
      </c>
      <c r="L47" s="5"/>
    </row>
    <row r="48" ht="14.25" customHeight="1">
      <c r="A48" s="5"/>
      <c r="B48" s="28" t="s">
        <v>31</v>
      </c>
      <c r="C48" s="29">
        <f>ROUND((ROUND(SUMIF(CD58:CD387, 2, AA58:AA387)*Source!D140, 2)+ROUND(SUMIF(CD58:CD387, 2, P58:P387)*Source!E140, 2)+ROUND(SUMIF(CD58:CD387, 2, AV58:AV387), 2)+ROUND(SUMIF(CD58:CD387, 2, S58:S387)*Source!G140, 2)+ROUND(SUMIF(CD58:CD387, 2, AG58:AG387)*Source!L140, 2)+ROUND(SUMIF(CD58:CD387, 2, AF58:AF387)*Source!L140, 2)+SUMIF(CD58:CD387, 2, AZ58:AZ387)+SUMIF(CD58:CD387, 2, BA58:BA387))/1000, 2)</f>
        <v>0</v>
      </c>
      <c r="D48" s="29">
        <f>ROUND((SUM(BI58:BI387)+SUMIF(CD58:CD387, 2, AG58:AG387)+SUMIF(CD58:CD387, 2, AF58:AF387))/1000, 2)</f>
        <v>0</v>
      </c>
      <c r="E48" s="30"/>
      <c r="F48" s="21" t="s">
        <v>25</v>
      </c>
      <c r="G48" s="21" t="s">
        <v>32</v>
      </c>
      <c r="H48" s="5"/>
      <c r="I48" s="21"/>
      <c r="J48" s="35">
        <f>Source!F76</f>
        <v>0.7137</v>
      </c>
      <c r="K48" s="21" t="s">
        <v>30</v>
      </c>
      <c r="L48" s="5"/>
    </row>
    <row r="49" ht="14.25" customHeight="1">
      <c r="A49" s="5"/>
      <c r="B49" s="28" t="s">
        <v>33</v>
      </c>
      <c r="C49" s="29">
        <f>ROUND((ROUND(SUM(BJ58:BJ387)*Source!H140, 2)+ROUND(SUMIF(CD58:CD387, 3, AH58:AH387)*Source!L140, 2)+ROUND(SUMIF(CD58:CD387, 3, AF58:AF387)*Source!L140, 2))/1000, 2)</f>
        <v>0</v>
      </c>
      <c r="D49" s="29">
        <f>ROUND((SUM(BJ58:BJ387)+SUM(AH58:AH387))/1000, 2)</f>
        <v>0</v>
      </c>
      <c r="E49" s="30"/>
      <c r="F49" s="21" t="s">
        <v>25</v>
      </c>
      <c r="G49" s="21"/>
      <c r="H49" s="21"/>
      <c r="I49" s="21"/>
      <c r="J49" s="21"/>
      <c r="K49" s="21"/>
      <c r="L49" s="5"/>
    </row>
    <row r="50" ht="14.25" customHeight="1">
      <c r="A50" s="5"/>
      <c r="B50" s="28" t="s">
        <v>34</v>
      </c>
      <c r="C50" s="29">
        <f>ROUND((ROUND(SUM(BL58:BL387)*Source!I140, 2)+ROUND(SUMIF(CD58:CD387, 4, AG58:AG387)*Source!L140, 2)+SUM(BR58:BR387)+ROUND(SUM(BN58:BN387)*Source!H140, 2)+ROUND(SUMIF(CD58:CD387, 4, AF58:AF387)*Source!L140, 2))/1000, 2)</f>
        <v>0</v>
      </c>
      <c r="D50" s="29">
        <f>ROUND((SUM(BL58:BL387)+SUMIF(CD58:CD387, 4, AG58:AG387)+SUM(BM58:BM387)+SUM(BN58:BN387)+SUMIF(CD58:CD387, 4, AF58:AF387))/1000, 2)</f>
        <v>0</v>
      </c>
      <c r="E50" s="36"/>
      <c r="F50" s="21" t="s">
        <v>25</v>
      </c>
      <c r="G50" s="21"/>
      <c r="H50" s="21"/>
      <c r="I50" s="21"/>
      <c r="J50" s="21"/>
      <c r="K50" s="21"/>
      <c r="L50" s="5"/>
    </row>
    <row r="51" ht="14.2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</row>
    <row r="52" ht="12.75" customHeight="1">
      <c r="A52" s="38" t="s">
        <v>35</v>
      </c>
      <c r="B52" s="38" t="s">
        <v>36</v>
      </c>
      <c r="C52" s="38" t="s">
        <v>37</v>
      </c>
      <c r="D52" s="38" t="s">
        <v>38</v>
      </c>
      <c r="E52" s="39" t="s">
        <v>39</v>
      </c>
      <c r="F52" s="40"/>
      <c r="G52" s="41"/>
      <c r="H52" s="39" t="s">
        <v>40</v>
      </c>
      <c r="I52" s="40"/>
      <c r="J52" s="41"/>
      <c r="K52" s="38" t="s">
        <v>41</v>
      </c>
      <c r="L52" s="38" t="s">
        <v>42</v>
      </c>
    </row>
    <row r="53" ht="12.75" customHeight="1">
      <c r="A53" s="42"/>
      <c r="B53" s="42"/>
      <c r="C53" s="42"/>
      <c r="D53" s="42"/>
      <c r="E53" s="43"/>
      <c r="F53" s="44"/>
      <c r="G53" s="45"/>
      <c r="H53" s="43"/>
      <c r="I53" s="44"/>
      <c r="J53" s="45"/>
      <c r="K53" s="42"/>
      <c r="L53" s="42"/>
    </row>
    <row r="54" ht="12.75" customHeight="1">
      <c r="A54" s="42"/>
      <c r="B54" s="42"/>
      <c r="C54" s="42"/>
      <c r="D54" s="42"/>
      <c r="E54" s="43"/>
      <c r="F54" s="44"/>
      <c r="G54" s="45"/>
      <c r="H54" s="43"/>
      <c r="I54" s="44"/>
      <c r="J54" s="45"/>
      <c r="K54" s="42"/>
      <c r="L54" s="42"/>
    </row>
    <row r="55" ht="12.75" customHeight="1">
      <c r="A55" s="42"/>
      <c r="B55" s="42"/>
      <c r="C55" s="42"/>
      <c r="D55" s="42"/>
      <c r="E55" s="46"/>
      <c r="F55" s="47"/>
      <c r="G55" s="48"/>
      <c r="H55" s="46"/>
      <c r="I55" s="47"/>
      <c r="J55" s="48"/>
      <c r="K55" s="42"/>
      <c r="L55" s="42"/>
    </row>
    <row r="56" ht="25.5" customHeight="1">
      <c r="A56" s="49"/>
      <c r="B56" s="49"/>
      <c r="C56" s="49"/>
      <c r="D56" s="49"/>
      <c r="E56" s="50" t="s">
        <v>43</v>
      </c>
      <c r="F56" s="50" t="s">
        <v>44</v>
      </c>
      <c r="G56" s="51" t="s">
        <v>45</v>
      </c>
      <c r="H56" s="50" t="s">
        <v>43</v>
      </c>
      <c r="I56" s="50" t="s">
        <v>44</v>
      </c>
      <c r="J56" s="50" t="s">
        <v>46</v>
      </c>
      <c r="K56" s="49"/>
      <c r="L56" s="49"/>
    </row>
    <row r="57" ht="14.25" customHeight="1">
      <c r="A57" s="52">
        <v>1</v>
      </c>
      <c r="B57" s="52">
        <v>2</v>
      </c>
      <c r="C57" s="52">
        <v>3</v>
      </c>
      <c r="D57" s="52">
        <v>4</v>
      </c>
      <c r="E57" s="52">
        <v>5</v>
      </c>
      <c r="F57" s="52">
        <v>6</v>
      </c>
      <c r="G57" s="52">
        <v>7</v>
      </c>
      <c r="H57" s="52">
        <v>8</v>
      </c>
      <c r="I57" s="52">
        <v>9</v>
      </c>
      <c r="J57" s="52">
        <v>10</v>
      </c>
      <c r="K57" s="53">
        <v>11</v>
      </c>
      <c r="L57" s="53">
        <v>12</v>
      </c>
    </row>
    <row r="58" ht="14.25">
      <c r="A58" s="54" t="s">
        <v>47</v>
      </c>
      <c r="B58" s="55" t="str">
        <f>Source!F24</f>
        <v>65-4-1</v>
      </c>
      <c r="C58" s="55" t="str">
        <f>Source!G24</f>
        <v xml:space="preserve">Демонтаж: умывальников и раковин</v>
      </c>
      <c r="D58" s="56" t="str">
        <f>Source!H24</f>
        <v xml:space="preserve">100 ШТ</v>
      </c>
      <c r="E58" s="57">
        <f>Source!K24</f>
        <v>0.049999999999999996</v>
      </c>
      <c r="F58" s="57"/>
      <c r="G58" s="57">
        <f>Source!I24</f>
        <v>0.049999999999999996</v>
      </c>
      <c r="H58" s="58"/>
      <c r="I58" s="59"/>
      <c r="J58" s="58"/>
      <c r="K58" s="59"/>
      <c r="L58" s="58"/>
    </row>
    <row r="59">
      <c r="C59" s="60" t="str">
        <f>"Объем: "&amp;Source!I24&amp;"=5/"&amp;"100"</f>
        <v xml:space="preserve">Объем: 0,049999999999999996=5/100</v>
      </c>
    </row>
    <row r="60" ht="14.25">
      <c r="A60" s="55"/>
      <c r="B60" s="59">
        <v>1</v>
      </c>
      <c r="C60" s="55" t="s">
        <v>48</v>
      </c>
      <c r="D60" s="56"/>
      <c r="E60" s="57"/>
      <c r="F60" s="57"/>
      <c r="G60" s="57"/>
      <c r="H60" s="58">
        <f>Source!AO24</f>
        <v>437.58999999999997</v>
      </c>
      <c r="I60" s="59"/>
      <c r="J60" s="58">
        <f>ROUND(Source!AF24*Source!I24, 2)</f>
        <v>21.879999999999999</v>
      </c>
      <c r="K60" s="59">
        <f>IF(Source!BA24&lt;&gt; 0, Source!BA24, 1)</f>
        <v>55.32</v>
      </c>
      <c r="L60" s="58">
        <f>Source!HJ24</f>
        <v>1210.4000000000001</v>
      </c>
    </row>
    <row r="61" ht="14.25">
      <c r="A61" s="55"/>
      <c r="B61" s="59">
        <v>2</v>
      </c>
      <c r="C61" s="55" t="s">
        <v>49</v>
      </c>
      <c r="D61" s="56"/>
      <c r="E61" s="57"/>
      <c r="F61" s="57"/>
      <c r="G61" s="57"/>
      <c r="H61" s="58">
        <f>Source!AM24</f>
        <v>8.1300000000000008</v>
      </c>
      <c r="I61" s="59"/>
      <c r="J61" s="58">
        <f>ROUND((((Source!ET24)-(Source!EU24))+Source!AE24)*Source!I24, 2)</f>
        <v>0.41000000000000003</v>
      </c>
      <c r="K61" s="59"/>
      <c r="L61" s="58"/>
    </row>
    <row r="62" ht="14.25">
      <c r="A62" s="55"/>
      <c r="B62" s="59">
        <v>3</v>
      </c>
      <c r="C62" s="55" t="s">
        <v>50</v>
      </c>
      <c r="D62" s="56"/>
      <c r="E62" s="57"/>
      <c r="F62" s="57"/>
      <c r="G62" s="57"/>
      <c r="H62" s="58">
        <f>Source!AN24</f>
        <v>3.5099999999999998</v>
      </c>
      <c r="I62" s="59"/>
      <c r="J62" s="61">
        <f>ROUND(Source!AE24*Source!I24, 2)</f>
        <v>0.17999999999999999</v>
      </c>
      <c r="K62" s="59">
        <f>IF(Source!BS24&lt;&gt; 0, Source!BS24, 1)</f>
        <v>55.32</v>
      </c>
      <c r="L62" s="61">
        <f>Source!HI24</f>
        <v>9.9600000000000009</v>
      </c>
    </row>
    <row r="63" ht="14.25">
      <c r="A63" s="55"/>
      <c r="B63" s="59">
        <v>4</v>
      </c>
      <c r="C63" s="55" t="s">
        <v>51</v>
      </c>
      <c r="D63" s="56"/>
      <c r="E63" s="57"/>
      <c r="F63" s="57"/>
      <c r="G63" s="57"/>
      <c r="H63" s="58">
        <f>Source!AL24</f>
        <v>0</v>
      </c>
      <c r="I63" s="59"/>
      <c r="J63" s="58">
        <f>ROUND(Source!AC24*Source!I24, 2)</f>
        <v>0</v>
      </c>
      <c r="K63" s="59"/>
      <c r="L63" s="58"/>
    </row>
    <row r="64" ht="14.25">
      <c r="A64" s="55"/>
      <c r="B64" s="55"/>
      <c r="C64" s="55" t="s">
        <v>52</v>
      </c>
      <c r="D64" s="56" t="s">
        <v>30</v>
      </c>
      <c r="E64" s="57">
        <f>Source!AQ24</f>
        <v>51.299999999999997</v>
      </c>
      <c r="F64" s="57"/>
      <c r="G64" s="57">
        <f>ROUND(Source!U24, 7)</f>
        <v>2.5649999999999999</v>
      </c>
      <c r="H64" s="58"/>
      <c r="I64" s="59"/>
      <c r="J64" s="58"/>
      <c r="K64" s="59"/>
      <c r="L64" s="58"/>
    </row>
    <row r="65" ht="14.25">
      <c r="A65" s="55"/>
      <c r="B65" s="55"/>
      <c r="C65" s="62" t="s">
        <v>53</v>
      </c>
      <c r="D65" s="63" t="s">
        <v>30</v>
      </c>
      <c r="E65" s="64">
        <f>Source!AR24</f>
        <v>0.26000000000000001</v>
      </c>
      <c r="F65" s="64"/>
      <c r="G65" s="64">
        <f>ROUND(Source!V24, 7)</f>
        <v>0.012999999999999999</v>
      </c>
      <c r="H65" s="65"/>
      <c r="I65" s="66"/>
      <c r="J65" s="65"/>
      <c r="K65" s="66"/>
      <c r="L65" s="65"/>
    </row>
    <row r="66" ht="14.25">
      <c r="A66" s="55"/>
      <c r="B66" s="55"/>
      <c r="C66" s="55" t="s">
        <v>54</v>
      </c>
      <c r="D66" s="56"/>
      <c r="E66" s="57"/>
      <c r="F66" s="57"/>
      <c r="G66" s="57"/>
      <c r="H66" s="58">
        <f>H60+H61+H63</f>
        <v>445.71999999999997</v>
      </c>
      <c r="I66" s="59"/>
      <c r="J66" s="58">
        <f>J60+J61+J63</f>
        <v>22.289999999999999</v>
      </c>
      <c r="K66" s="59"/>
      <c r="L66" s="58"/>
    </row>
    <row r="67" ht="14.25">
      <c r="A67" s="55"/>
      <c r="B67" s="55"/>
      <c r="C67" s="55" t="s">
        <v>55</v>
      </c>
      <c r="D67" s="56"/>
      <c r="E67" s="57"/>
      <c r="F67" s="57"/>
      <c r="G67" s="57"/>
      <c r="H67" s="58"/>
      <c r="I67" s="59"/>
      <c r="J67" s="58">
        <f>SUM(S58:S70)+SUM(T58:T70)+SUM(X58:X70)+SUM(Y58:Y70)+SUM(Z58:Z70)</f>
        <v>22.059999999999999</v>
      </c>
      <c r="K67" s="59"/>
      <c r="L67" s="58">
        <f>SUM(AR58:AR70)+SUM(AS58:AS70)+SUM(AT58:AT70)+SUM(AU58:AU70)+SUM(AV58:AV70)</f>
        <v>1220.3600000000001</v>
      </c>
    </row>
    <row r="68" ht="28.5">
      <c r="A68" s="55"/>
      <c r="B68" s="55" t="s">
        <v>56</v>
      </c>
      <c r="C68" s="55" t="s">
        <v>57</v>
      </c>
      <c r="D68" s="56" t="s">
        <v>58</v>
      </c>
      <c r="E68" s="57">
        <f>Source!BZ24</f>
        <v>87</v>
      </c>
      <c r="F68" s="57"/>
      <c r="G68" s="57">
        <f>Source!AT24</f>
        <v>87</v>
      </c>
      <c r="H68" s="58"/>
      <c r="I68" s="59"/>
      <c r="J68" s="58">
        <f>SUM(AD58:AD70)</f>
        <v>19.190000000000001</v>
      </c>
      <c r="K68" s="59"/>
      <c r="L68" s="58">
        <f>SUM(AZ58:AZ70)</f>
        <v>1061.71</v>
      </c>
    </row>
    <row r="69" ht="28.5">
      <c r="A69" s="62"/>
      <c r="B69" s="62" t="s">
        <v>59</v>
      </c>
      <c r="C69" s="62" t="s">
        <v>60</v>
      </c>
      <c r="D69" s="63" t="s">
        <v>58</v>
      </c>
      <c r="E69" s="64">
        <f>Source!CA24</f>
        <v>44</v>
      </c>
      <c r="F69" s="64"/>
      <c r="G69" s="64">
        <f>Source!AU24</f>
        <v>44</v>
      </c>
      <c r="H69" s="65"/>
      <c r="I69" s="66"/>
      <c r="J69" s="65">
        <f>SUM(AE58:AE70)</f>
        <v>9.7100000000000009</v>
      </c>
      <c r="K69" s="66"/>
      <c r="L69" s="65">
        <f>SUM(BA58:BA70)</f>
        <v>536.96000000000004</v>
      </c>
    </row>
    <row r="70" ht="15">
      <c r="C70" s="67" t="s">
        <v>61</v>
      </c>
      <c r="D70" s="67"/>
      <c r="E70" s="67"/>
      <c r="F70" s="67"/>
      <c r="G70" s="67"/>
      <c r="H70" s="67"/>
      <c r="I70" s="68">
        <f>J60+J61+J63+J68+J69</f>
        <v>51.190000000000005</v>
      </c>
      <c r="J70" s="68"/>
      <c r="O70" s="69">
        <f>J60+J61+J63+J68+J69</f>
        <v>51.190000000000005</v>
      </c>
      <c r="P70" s="69">
        <f>J61</f>
        <v>0.41000000000000003</v>
      </c>
      <c r="R70" t="s">
        <v>62</v>
      </c>
      <c r="S70" s="69">
        <f>J60</f>
        <v>21.879999999999999</v>
      </c>
      <c r="U70" s="69">
        <f>J60</f>
        <v>21.879999999999999</v>
      </c>
      <c r="X70" s="69">
        <f>J62</f>
        <v>0.17999999999999999</v>
      </c>
      <c r="Z70" t="s">
        <v>62</v>
      </c>
      <c r="AA70" s="69">
        <f>J63</f>
        <v>0</v>
      </c>
      <c r="AD70">
        <f>Source!X24</f>
        <v>19.190000000000001</v>
      </c>
      <c r="AE70">
        <f>Source!Y24</f>
        <v>9.7100000000000009</v>
      </c>
      <c r="AN70" s="69">
        <f>L60+L61+L63+L68+L69</f>
        <v>2809.0700000000002</v>
      </c>
      <c r="AO70" s="69">
        <f>L61</f>
        <v>0</v>
      </c>
      <c r="AQ70" t="s">
        <v>62</v>
      </c>
      <c r="AR70" s="69">
        <f>L60</f>
        <v>1210.4000000000001</v>
      </c>
      <c r="AT70" s="69">
        <f>L62</f>
        <v>9.9600000000000009</v>
      </c>
      <c r="AV70" t="s">
        <v>62</v>
      </c>
      <c r="AW70" s="69">
        <f>L63</f>
        <v>0</v>
      </c>
      <c r="AZ70">
        <f>Source!HK24</f>
        <v>1061.71</v>
      </c>
      <c r="BA70">
        <f>Source!HL24</f>
        <v>536.96000000000004</v>
      </c>
      <c r="BH70" s="69">
        <f>J60+J61+J63+J68+J69</f>
        <v>51.190000000000005</v>
      </c>
      <c r="CD70">
        <v>1</v>
      </c>
    </row>
    <row r="71" ht="14.25">
      <c r="A71" s="54" t="s">
        <v>63</v>
      </c>
      <c r="B71" s="55" t="str">
        <f>Source!F25</f>
        <v>65-4-2</v>
      </c>
      <c r="C71" s="55" t="str">
        <f>Source!G25</f>
        <v xml:space="preserve">Демонтаж: унитазов</v>
      </c>
      <c r="D71" s="56" t="str">
        <f>Source!H25</f>
        <v xml:space="preserve">100 ШТ</v>
      </c>
      <c r="E71" s="57">
        <f>Source!K25</f>
        <v>0.029999999999999999</v>
      </c>
      <c r="F71" s="57"/>
      <c r="G71" s="57">
        <f>Source!I25</f>
        <v>0.029999999999999999</v>
      </c>
      <c r="H71" s="58"/>
      <c r="I71" s="59"/>
      <c r="J71" s="58"/>
      <c r="K71" s="59"/>
      <c r="L71" s="58"/>
    </row>
    <row r="72">
      <c r="C72" s="60" t="str">
        <f>"Объем: "&amp;Source!I25&amp;"=3/"&amp;"100"</f>
        <v xml:space="preserve">Объем: 0,03=3/100</v>
      </c>
    </row>
    <row r="73" ht="14.25">
      <c r="A73" s="55"/>
      <c r="B73" s="59">
        <v>1</v>
      </c>
      <c r="C73" s="55" t="s">
        <v>48</v>
      </c>
      <c r="D73" s="56"/>
      <c r="E73" s="57"/>
      <c r="F73" s="57"/>
      <c r="G73" s="57"/>
      <c r="H73" s="58">
        <f>Source!AO25</f>
        <v>544.55999999999995</v>
      </c>
      <c r="I73" s="59"/>
      <c r="J73" s="58">
        <f>ROUND(Source!AF25*Source!I25, 2)</f>
        <v>16.34</v>
      </c>
      <c r="K73" s="59">
        <f>IF(Source!BA25&lt;&gt; 0, Source!BA25, 1)</f>
        <v>55.32</v>
      </c>
      <c r="L73" s="58">
        <f>Source!HJ25</f>
        <v>903.93000000000006</v>
      </c>
    </row>
    <row r="74" ht="14.25">
      <c r="A74" s="55"/>
      <c r="B74" s="59">
        <v>2</v>
      </c>
      <c r="C74" s="55" t="s">
        <v>49</v>
      </c>
      <c r="D74" s="56"/>
      <c r="E74" s="57"/>
      <c r="F74" s="57"/>
      <c r="G74" s="57"/>
      <c r="H74" s="58">
        <f>Source!AM25</f>
        <v>9.0700000000000003</v>
      </c>
      <c r="I74" s="59"/>
      <c r="J74" s="58">
        <f>ROUND((((Source!ET25)-(Source!EU25))+Source!AE25)*Source!I25, 2)</f>
        <v>0.27000000000000002</v>
      </c>
      <c r="K74" s="59"/>
      <c r="L74" s="58"/>
    </row>
    <row r="75" ht="14.25">
      <c r="A75" s="55"/>
      <c r="B75" s="59">
        <v>3</v>
      </c>
      <c r="C75" s="55" t="s">
        <v>50</v>
      </c>
      <c r="D75" s="56"/>
      <c r="E75" s="57"/>
      <c r="F75" s="57"/>
      <c r="G75" s="57"/>
      <c r="H75" s="58">
        <f>Source!AN25</f>
        <v>3.9199999999999999</v>
      </c>
      <c r="I75" s="59"/>
      <c r="J75" s="61">
        <f>ROUND(Source!AE25*Source!I25, 2)</f>
        <v>0.12</v>
      </c>
      <c r="K75" s="59">
        <f>IF(Source!BS25&lt;&gt; 0, Source!BS25, 1)</f>
        <v>55.32</v>
      </c>
      <c r="L75" s="61">
        <f>Source!HI25</f>
        <v>6.6400000000000006</v>
      </c>
    </row>
    <row r="76" ht="14.25">
      <c r="A76" s="55"/>
      <c r="B76" s="59">
        <v>4</v>
      </c>
      <c r="C76" s="55" t="s">
        <v>51</v>
      </c>
      <c r="D76" s="56"/>
      <c r="E76" s="57"/>
      <c r="F76" s="57"/>
      <c r="G76" s="57"/>
      <c r="H76" s="58">
        <f>Source!AL25</f>
        <v>0</v>
      </c>
      <c r="I76" s="59"/>
      <c r="J76" s="58">
        <f>ROUND(Source!AC25*Source!I25, 2)</f>
        <v>0</v>
      </c>
      <c r="K76" s="59"/>
      <c r="L76" s="58"/>
    </row>
    <row r="77" ht="14.25">
      <c r="A77" s="55"/>
      <c r="B77" s="55"/>
      <c r="C77" s="55" t="s">
        <v>52</v>
      </c>
      <c r="D77" s="56" t="s">
        <v>30</v>
      </c>
      <c r="E77" s="57">
        <f>Source!AQ25</f>
        <v>63.840000000000003</v>
      </c>
      <c r="F77" s="57"/>
      <c r="G77" s="57">
        <f>ROUND(Source!U25, 7)</f>
        <v>1.9152</v>
      </c>
      <c r="H77" s="58"/>
      <c r="I77" s="59"/>
      <c r="J77" s="58"/>
      <c r="K77" s="59"/>
      <c r="L77" s="58"/>
    </row>
    <row r="78" ht="14.25">
      <c r="A78" s="55"/>
      <c r="B78" s="55"/>
      <c r="C78" s="62" t="s">
        <v>53</v>
      </c>
      <c r="D78" s="63" t="s">
        <v>30</v>
      </c>
      <c r="E78" s="64">
        <f>Source!AR25</f>
        <v>0.28999999999999998</v>
      </c>
      <c r="F78" s="64"/>
      <c r="G78" s="64">
        <f>ROUND(Source!V25, 7)</f>
        <v>0.0086999999999999994</v>
      </c>
      <c r="H78" s="65"/>
      <c r="I78" s="66"/>
      <c r="J78" s="65"/>
      <c r="K78" s="66"/>
      <c r="L78" s="65"/>
    </row>
    <row r="79" ht="14.25">
      <c r="A79" s="55"/>
      <c r="B79" s="55"/>
      <c r="C79" s="55" t="s">
        <v>54</v>
      </c>
      <c r="D79" s="56"/>
      <c r="E79" s="57"/>
      <c r="F79" s="57"/>
      <c r="G79" s="57"/>
      <c r="H79" s="58">
        <f>H73+H74+H76</f>
        <v>553.63</v>
      </c>
      <c r="I79" s="59"/>
      <c r="J79" s="58">
        <f>J73+J74+J76</f>
        <v>16.609999999999999</v>
      </c>
      <c r="K79" s="59"/>
      <c r="L79" s="58"/>
    </row>
    <row r="80" ht="14.25">
      <c r="A80" s="55"/>
      <c r="B80" s="55"/>
      <c r="C80" s="55" t="s">
        <v>55</v>
      </c>
      <c r="D80" s="56"/>
      <c r="E80" s="57"/>
      <c r="F80" s="57"/>
      <c r="G80" s="57"/>
      <c r="H80" s="58"/>
      <c r="I80" s="59"/>
      <c r="J80" s="58">
        <f>SUM(S71:S83)+SUM(T71:T83)+SUM(X71:X83)+SUM(Y71:Y83)+SUM(Z71:Z83)</f>
        <v>16.460000000000001</v>
      </c>
      <c r="K80" s="59"/>
      <c r="L80" s="58">
        <f>SUM(AR71:AR83)+SUM(AS71:AS83)+SUM(AT71:AT83)+SUM(AU71:AU83)+SUM(AV71:AV83)</f>
        <v>910.57000000000005</v>
      </c>
    </row>
    <row r="81" ht="28.5">
      <c r="A81" s="55"/>
      <c r="B81" s="55" t="s">
        <v>56</v>
      </c>
      <c r="C81" s="55" t="s">
        <v>57</v>
      </c>
      <c r="D81" s="56" t="s">
        <v>58</v>
      </c>
      <c r="E81" s="57">
        <f>Source!BZ25</f>
        <v>87</v>
      </c>
      <c r="F81" s="57"/>
      <c r="G81" s="57">
        <f>Source!AT25</f>
        <v>87</v>
      </c>
      <c r="H81" s="58"/>
      <c r="I81" s="59"/>
      <c r="J81" s="58">
        <f>SUM(AD71:AD83)</f>
        <v>14.32</v>
      </c>
      <c r="K81" s="59"/>
      <c r="L81" s="58">
        <f>SUM(AZ71:AZ83)</f>
        <v>792.20000000000005</v>
      </c>
    </row>
    <row r="82" ht="28.5">
      <c r="A82" s="62"/>
      <c r="B82" s="62" t="s">
        <v>59</v>
      </c>
      <c r="C82" s="62" t="s">
        <v>60</v>
      </c>
      <c r="D82" s="63" t="s">
        <v>58</v>
      </c>
      <c r="E82" s="64">
        <f>Source!CA25</f>
        <v>44</v>
      </c>
      <c r="F82" s="64"/>
      <c r="G82" s="64">
        <f>Source!AU25</f>
        <v>44</v>
      </c>
      <c r="H82" s="65"/>
      <c r="I82" s="66"/>
      <c r="J82" s="65">
        <f>SUM(AE71:AE83)</f>
        <v>7.2400000000000002</v>
      </c>
      <c r="K82" s="66"/>
      <c r="L82" s="65">
        <f>SUM(BA71:BA83)</f>
        <v>400.65000000000003</v>
      </c>
    </row>
    <row r="83" ht="15">
      <c r="C83" s="67" t="s">
        <v>61</v>
      </c>
      <c r="D83" s="67"/>
      <c r="E83" s="67"/>
      <c r="F83" s="67"/>
      <c r="G83" s="67"/>
      <c r="H83" s="67"/>
      <c r="I83" s="68">
        <f>J73+J74+J76+J81+J82</f>
        <v>38.170000000000002</v>
      </c>
      <c r="J83" s="68"/>
      <c r="O83" s="69">
        <f>J73+J74+J76+J81+J82</f>
        <v>38.170000000000002</v>
      </c>
      <c r="P83" s="69">
        <f>J74</f>
        <v>0.27000000000000002</v>
      </c>
      <c r="R83" t="s">
        <v>62</v>
      </c>
      <c r="S83" s="69">
        <f>J73</f>
        <v>16.34</v>
      </c>
      <c r="U83" s="69">
        <f>J73</f>
        <v>16.34</v>
      </c>
      <c r="X83" s="69">
        <f>J75</f>
        <v>0.12</v>
      </c>
      <c r="Z83" t="s">
        <v>62</v>
      </c>
      <c r="AA83" s="69">
        <f>J76</f>
        <v>0</v>
      </c>
      <c r="AD83">
        <f>Source!X25</f>
        <v>14.32</v>
      </c>
      <c r="AE83">
        <f>Source!Y25</f>
        <v>7.2400000000000002</v>
      </c>
      <c r="AN83" s="69">
        <f>L73+L74+L76+L81+L82</f>
        <v>2096.7800000000002</v>
      </c>
      <c r="AO83" s="69">
        <f>L74</f>
        <v>0</v>
      </c>
      <c r="AQ83" t="s">
        <v>62</v>
      </c>
      <c r="AR83" s="69">
        <f>L73</f>
        <v>903.93000000000006</v>
      </c>
      <c r="AT83" s="69">
        <f>L75</f>
        <v>6.6400000000000006</v>
      </c>
      <c r="AV83" t="s">
        <v>62</v>
      </c>
      <c r="AW83" s="69">
        <f>L76</f>
        <v>0</v>
      </c>
      <c r="AZ83">
        <f>Source!HK25</f>
        <v>792.20000000000005</v>
      </c>
      <c r="BA83">
        <f>Source!HL25</f>
        <v>400.65000000000003</v>
      </c>
      <c r="BH83" s="69">
        <f>J73+J74+J76+J81+J82</f>
        <v>38.170000000000002</v>
      </c>
      <c r="CD83">
        <v>1</v>
      </c>
    </row>
    <row r="84" ht="14.25">
      <c r="A84" s="54" t="s">
        <v>64</v>
      </c>
      <c r="B84" s="55" t="str">
        <f>Source!F26</f>
        <v>10-01-059-01</v>
      </c>
      <c r="C84" s="55" t="str">
        <f>Source!G26</f>
        <v xml:space="preserve">Демонтаж  тумбы под раковину</v>
      </c>
      <c r="D84" s="56" t="str">
        <f>Source!H26</f>
        <v xml:space="preserve">100 ШТ</v>
      </c>
      <c r="E84" s="57">
        <f>Source!K26</f>
        <v>0.02</v>
      </c>
      <c r="F84" s="57"/>
      <c r="G84" s="57">
        <f>Source!I26</f>
        <v>0.02</v>
      </c>
      <c r="H84" s="58"/>
      <c r="I84" s="59"/>
      <c r="J84" s="58"/>
      <c r="K84" s="59"/>
      <c r="L84" s="58"/>
    </row>
    <row r="85" ht="25.5">
      <c r="B85" s="70" t="s">
        <v>65</v>
      </c>
      <c r="C85" s="70" t="s">
        <v>66</v>
      </c>
      <c r="D85" s="70"/>
      <c r="E85" s="70"/>
      <c r="F85" s="70"/>
      <c r="G85" s="70"/>
      <c r="H85" s="70"/>
      <c r="I85" s="70"/>
      <c r="J85" s="70"/>
      <c r="K85" s="70"/>
      <c r="L85" s="70"/>
    </row>
    <row r="86">
      <c r="C86" s="60" t="str">
        <f>"Объем: "&amp;Source!I26&amp;"=2/"&amp;"100"</f>
        <v xml:space="preserve">Объем: 0,02=2/100</v>
      </c>
    </row>
    <row r="87" ht="14.25">
      <c r="A87" s="55"/>
      <c r="B87" s="59">
        <v>1</v>
      </c>
      <c r="C87" s="55" t="s">
        <v>48</v>
      </c>
      <c r="D87" s="56"/>
      <c r="E87" s="57"/>
      <c r="F87" s="57"/>
      <c r="G87" s="57"/>
      <c r="H87" s="58">
        <f>Source!AO26</f>
        <v>542.95000000000005</v>
      </c>
      <c r="I87" s="59">
        <f t="shared" ref="I87:I89" si="0">ROUND(0.8,7)</f>
        <v>0.79999999999999993</v>
      </c>
      <c r="J87" s="58">
        <f>ROUND(Source!AF26*Source!I26, 2)</f>
        <v>8.6899999999999995</v>
      </c>
      <c r="K87" s="59">
        <f>IF(Source!BA26&lt;&gt; 0, Source!BA26, 1)</f>
        <v>55.32</v>
      </c>
      <c r="L87" s="58">
        <f>Source!HJ26</f>
        <v>480.73000000000002</v>
      </c>
    </row>
    <row r="88" ht="14.25">
      <c r="A88" s="55"/>
      <c r="B88" s="59">
        <v>2</v>
      </c>
      <c r="C88" s="55" t="s">
        <v>49</v>
      </c>
      <c r="D88" s="56"/>
      <c r="E88" s="57"/>
      <c r="F88" s="57"/>
      <c r="G88" s="57"/>
      <c r="H88" s="58">
        <f>Source!AM26</f>
        <v>216.38</v>
      </c>
      <c r="I88" s="59">
        <f t="shared" si="0"/>
        <v>0.79999999999999993</v>
      </c>
      <c r="J88" s="58">
        <f>ROUND(((((Source!ET26*ROUND(0.8,7)))-((Source!EU26*ROUND(0.8,7))))+Source!AE26)*Source!I26, 2)</f>
        <v>3.46</v>
      </c>
      <c r="K88" s="59"/>
      <c r="L88" s="58"/>
    </row>
    <row r="89" ht="14.25">
      <c r="A89" s="55"/>
      <c r="B89" s="59">
        <v>3</v>
      </c>
      <c r="C89" s="55" t="s">
        <v>50</v>
      </c>
      <c r="D89" s="56"/>
      <c r="E89" s="57"/>
      <c r="F89" s="57"/>
      <c r="G89" s="57"/>
      <c r="H89" s="58">
        <f>Source!AN26</f>
        <v>52.009999999999998</v>
      </c>
      <c r="I89" s="59">
        <f t="shared" si="0"/>
        <v>0.79999999999999993</v>
      </c>
      <c r="J89" s="61">
        <f>ROUND(Source!AE26*Source!I26, 2)</f>
        <v>0.83000000000000007</v>
      </c>
      <c r="K89" s="59">
        <f>IF(Source!BS26&lt;&gt; 0, Source!BS26, 1)</f>
        <v>55.32</v>
      </c>
      <c r="L89" s="61">
        <f>Source!HI26</f>
        <v>45.920000000000002</v>
      </c>
    </row>
    <row r="90" ht="14.25">
      <c r="A90" s="55"/>
      <c r="B90" s="59">
        <v>4</v>
      </c>
      <c r="C90" s="55" t="s">
        <v>51</v>
      </c>
      <c r="D90" s="56"/>
      <c r="E90" s="57"/>
      <c r="F90" s="57"/>
      <c r="G90" s="57"/>
      <c r="H90" s="58">
        <f>Source!AL26</f>
        <v>1633.3599999999999</v>
      </c>
      <c r="I90" s="59">
        <f>ROUND(0,7)</f>
        <v>0</v>
      </c>
      <c r="J90" s="58">
        <f>ROUND(Source!AC26*Source!I26, 2)</f>
        <v>0</v>
      </c>
      <c r="K90" s="59"/>
      <c r="L90" s="58"/>
    </row>
    <row r="91" ht="14.25">
      <c r="A91" s="55"/>
      <c r="B91" s="55" t="str">
        <f>EtalonRes!I15</f>
        <v>11.2.07.12</v>
      </c>
      <c r="C91" s="55" t="str">
        <f>EtalonRes!K15</f>
        <v xml:space="preserve">Изделия штучные</v>
      </c>
      <c r="D91" s="56" t="str">
        <f>EtalonRes!O15</f>
        <v>ШТ</v>
      </c>
      <c r="E91" s="57">
        <f>EtalonRes!X15</f>
        <v>100</v>
      </c>
      <c r="F91" s="57">
        <f>ROUND(0,7)</f>
        <v>0</v>
      </c>
      <c r="G91" s="57">
        <f>ROUND(EtalonRes!AG15*Source!I26, 7)</f>
        <v>0</v>
      </c>
      <c r="H91" s="58"/>
      <c r="I91" s="59"/>
      <c r="J91" s="58"/>
      <c r="K91" s="59"/>
      <c r="L91" s="58"/>
    </row>
    <row r="92" ht="14.25">
      <c r="A92" s="55"/>
      <c r="B92" s="55"/>
      <c r="C92" s="55" t="s">
        <v>52</v>
      </c>
      <c r="D92" s="56" t="s">
        <v>30</v>
      </c>
      <c r="E92" s="57">
        <f>Source!AQ26</f>
        <v>67.700000000000003</v>
      </c>
      <c r="F92" s="57">
        <f t="shared" ref="F92:F93" si="1">ROUND(0.8,7)</f>
        <v>0.79999999999999993</v>
      </c>
      <c r="G92" s="57">
        <f>ROUND(Source!U26, 7)</f>
        <v>1.0831999999999999</v>
      </c>
      <c r="H92" s="58"/>
      <c r="I92" s="59"/>
      <c r="J92" s="58"/>
      <c r="K92" s="59"/>
      <c r="L92" s="58"/>
    </row>
    <row r="93" ht="14.25">
      <c r="A93" s="55"/>
      <c r="B93" s="55"/>
      <c r="C93" s="62" t="s">
        <v>53</v>
      </c>
      <c r="D93" s="63" t="s">
        <v>30</v>
      </c>
      <c r="E93" s="64">
        <f>Source!AR26</f>
        <v>4.2000000000000002</v>
      </c>
      <c r="F93" s="64">
        <f t="shared" si="1"/>
        <v>0.79999999999999993</v>
      </c>
      <c r="G93" s="64">
        <f>ROUND(Source!V26, 7)</f>
        <v>0.067199999999999996</v>
      </c>
      <c r="H93" s="65"/>
      <c r="I93" s="66"/>
      <c r="J93" s="65"/>
      <c r="K93" s="66"/>
      <c r="L93" s="65"/>
    </row>
    <row r="94" ht="14.25">
      <c r="A94" s="55"/>
      <c r="B94" s="55"/>
      <c r="C94" s="55" t="s">
        <v>54</v>
      </c>
      <c r="D94" s="56"/>
      <c r="E94" s="57"/>
      <c r="F94" s="57"/>
      <c r="G94" s="57"/>
      <c r="H94" s="58">
        <f>H87+H88+H90</f>
        <v>2392.6900000000001</v>
      </c>
      <c r="I94" s="59"/>
      <c r="J94" s="58">
        <f>J87+J88+J90</f>
        <v>12.149999999999999</v>
      </c>
      <c r="K94" s="59"/>
      <c r="L94" s="58"/>
    </row>
    <row r="95" ht="14.25">
      <c r="A95" s="55"/>
      <c r="B95" s="55"/>
      <c r="C95" s="55" t="s">
        <v>55</v>
      </c>
      <c r="D95" s="56"/>
      <c r="E95" s="57"/>
      <c r="F95" s="57"/>
      <c r="G95" s="57"/>
      <c r="H95" s="58"/>
      <c r="I95" s="59"/>
      <c r="J95" s="58">
        <f>SUM(S84:S98)+SUM(T84:T98)+SUM(X84:X98)+SUM(Y84:Y98)+SUM(Z84:Z98)</f>
        <v>9.5199999999999996</v>
      </c>
      <c r="K95" s="59"/>
      <c r="L95" s="58">
        <f>SUM(AR84:AR98)+SUM(AS84:AS98)+SUM(AT84:AT98)+SUM(AU84:AU98)+SUM(AV84:AV98)</f>
        <v>526.64999999999998</v>
      </c>
    </row>
    <row r="96" ht="14.25">
      <c r="A96" s="55"/>
      <c r="B96" s="55" t="s">
        <v>67</v>
      </c>
      <c r="C96" s="55" t="s">
        <v>68</v>
      </c>
      <c r="D96" s="56" t="s">
        <v>58</v>
      </c>
      <c r="E96" s="57">
        <f>Source!BZ26</f>
        <v>108</v>
      </c>
      <c r="F96" s="57"/>
      <c r="G96" s="57">
        <f>Source!AT26</f>
        <v>108</v>
      </c>
      <c r="H96" s="58"/>
      <c r="I96" s="59"/>
      <c r="J96" s="58">
        <f>SUM(AD84:AD98)</f>
        <v>10.279999999999999</v>
      </c>
      <c r="K96" s="59"/>
      <c r="L96" s="58">
        <f>SUM(AZ84:AZ98)</f>
        <v>568.77999999999997</v>
      </c>
    </row>
    <row r="97" ht="14.25">
      <c r="A97" s="62"/>
      <c r="B97" s="62" t="s">
        <v>69</v>
      </c>
      <c r="C97" s="62" t="s">
        <v>70</v>
      </c>
      <c r="D97" s="63" t="s">
        <v>58</v>
      </c>
      <c r="E97" s="64">
        <f>Source!CA26</f>
        <v>55</v>
      </c>
      <c r="F97" s="64"/>
      <c r="G97" s="64">
        <f>Source!AU26</f>
        <v>55</v>
      </c>
      <c r="H97" s="65"/>
      <c r="I97" s="66"/>
      <c r="J97" s="65">
        <f>SUM(AE84:AE98)</f>
        <v>5.2400000000000002</v>
      </c>
      <c r="K97" s="66"/>
      <c r="L97" s="65">
        <f>SUM(BA84:BA98)</f>
        <v>289.66000000000003</v>
      </c>
    </row>
    <row r="98" ht="15">
      <c r="C98" s="67" t="s">
        <v>61</v>
      </c>
      <c r="D98" s="67"/>
      <c r="E98" s="67"/>
      <c r="F98" s="67"/>
      <c r="G98" s="67"/>
      <c r="H98" s="67"/>
      <c r="I98" s="68">
        <f>J87+J88+J90+J96+J97</f>
        <v>27.670000000000002</v>
      </c>
      <c r="J98" s="68"/>
      <c r="O98" s="69">
        <f>J87+J88+J90+J96+J97</f>
        <v>27.670000000000002</v>
      </c>
      <c r="P98" s="69">
        <f>J88</f>
        <v>3.46</v>
      </c>
      <c r="R98" t="s">
        <v>62</v>
      </c>
      <c r="S98" s="69">
        <f>J87</f>
        <v>8.6899999999999995</v>
      </c>
      <c r="U98" s="69">
        <f>J87</f>
        <v>8.6899999999999995</v>
      </c>
      <c r="X98" s="69">
        <f>J89</f>
        <v>0.83000000000000007</v>
      </c>
      <c r="Z98" t="s">
        <v>62</v>
      </c>
      <c r="AA98" s="69">
        <f>J90</f>
        <v>0</v>
      </c>
      <c r="AD98">
        <f>Source!X26</f>
        <v>10.279999999999999</v>
      </c>
      <c r="AE98">
        <f>Source!Y26</f>
        <v>5.2400000000000002</v>
      </c>
      <c r="AN98" s="69">
        <f>L87+L88+L90+L96+L97</f>
        <v>1339.1700000000001</v>
      </c>
      <c r="AO98" s="69">
        <f>L88</f>
        <v>0</v>
      </c>
      <c r="AQ98" t="s">
        <v>62</v>
      </c>
      <c r="AR98" s="69">
        <f>L87</f>
        <v>480.73000000000002</v>
      </c>
      <c r="AT98" s="69">
        <f>L89</f>
        <v>45.920000000000002</v>
      </c>
      <c r="AV98" t="s">
        <v>62</v>
      </c>
      <c r="AW98" s="69">
        <f>L90</f>
        <v>0</v>
      </c>
      <c r="AZ98">
        <f>Source!HK26</f>
        <v>568.77999999999997</v>
      </c>
      <c r="BA98">
        <f>Source!HL26</f>
        <v>289.66000000000003</v>
      </c>
      <c r="BH98" s="69">
        <f>J87+J88+J90+J96+J97</f>
        <v>27.670000000000002</v>
      </c>
      <c r="CD98">
        <v>1</v>
      </c>
    </row>
    <row r="99" ht="28.5">
      <c r="A99" s="54" t="s">
        <v>71</v>
      </c>
      <c r="B99" s="55" t="str">
        <f>Source!F27</f>
        <v>65-3-1</v>
      </c>
      <c r="C99" s="55" t="str">
        <f>Source!G27</f>
        <v xml:space="preserve">Снятие кранов водоразборных или туалетных</v>
      </c>
      <c r="D99" s="56" t="str">
        <f>Source!H27</f>
        <v xml:space="preserve">100 ШТ</v>
      </c>
      <c r="E99" s="57">
        <f>Source!K27</f>
        <v>0.13</v>
      </c>
      <c r="F99" s="57"/>
      <c r="G99" s="57">
        <f>Source!I27</f>
        <v>0.13</v>
      </c>
      <c r="H99" s="58"/>
      <c r="I99" s="59"/>
      <c r="J99" s="58"/>
      <c r="K99" s="59"/>
      <c r="L99" s="58"/>
    </row>
    <row r="100">
      <c r="C100" s="60" t="str">
        <f>"Объем: "&amp;Source!I27&amp;"=13/"&amp;"100"</f>
        <v xml:space="preserve">Объем: 0,13=13/100</v>
      </c>
    </row>
    <row r="101" ht="14.25">
      <c r="A101" s="55"/>
      <c r="B101" s="59">
        <v>1</v>
      </c>
      <c r="C101" s="55" t="s">
        <v>48</v>
      </c>
      <c r="D101" s="56"/>
      <c r="E101" s="57"/>
      <c r="F101" s="57"/>
      <c r="G101" s="57"/>
      <c r="H101" s="58">
        <f>Source!AO27</f>
        <v>48.619999999999997</v>
      </c>
      <c r="I101" s="59"/>
      <c r="J101" s="58">
        <f>ROUND(Source!AF27*Source!I27, 2)</f>
        <v>6.3200000000000003</v>
      </c>
      <c r="K101" s="59">
        <f>IF(Source!BA27&lt;&gt; 0, Source!BA27, 1)</f>
        <v>55.32</v>
      </c>
      <c r="L101" s="58">
        <f>Source!HJ27</f>
        <v>349.62</v>
      </c>
    </row>
    <row r="102" ht="14.25">
      <c r="A102" s="55"/>
      <c r="B102" s="59">
        <v>2</v>
      </c>
      <c r="C102" s="55" t="s">
        <v>49</v>
      </c>
      <c r="D102" s="56"/>
      <c r="E102" s="57"/>
      <c r="F102" s="57"/>
      <c r="G102" s="57"/>
      <c r="H102" s="58">
        <f>Source!AM27</f>
        <v>0.31</v>
      </c>
      <c r="I102" s="59"/>
      <c r="J102" s="58">
        <f>ROUND((((Source!ET27)-(Source!EU27))+Source!AE27)*Source!I27, 2)</f>
        <v>0.040000000000000001</v>
      </c>
      <c r="K102" s="59"/>
      <c r="L102" s="58"/>
    </row>
    <row r="103" ht="14.25">
      <c r="A103" s="55"/>
      <c r="B103" s="59">
        <v>3</v>
      </c>
      <c r="C103" s="55" t="s">
        <v>50</v>
      </c>
      <c r="D103" s="56"/>
      <c r="E103" s="57"/>
      <c r="F103" s="57"/>
      <c r="G103" s="57"/>
      <c r="H103" s="58">
        <f>Source!AN27</f>
        <v>0.14000000000000001</v>
      </c>
      <c r="I103" s="59"/>
      <c r="J103" s="61">
        <f>ROUND(Source!AE27*Source!I27, 2)</f>
        <v>0.02</v>
      </c>
      <c r="K103" s="59">
        <f>IF(Source!BS27&lt;&gt; 0, Source!BS27, 1)</f>
        <v>55.32</v>
      </c>
      <c r="L103" s="61">
        <f>Source!HI27</f>
        <v>1.1100000000000001</v>
      </c>
    </row>
    <row r="104" ht="14.25">
      <c r="A104" s="55"/>
      <c r="B104" s="59">
        <v>4</v>
      </c>
      <c r="C104" s="55" t="s">
        <v>51</v>
      </c>
      <c r="D104" s="56"/>
      <c r="E104" s="57"/>
      <c r="F104" s="57"/>
      <c r="G104" s="57"/>
      <c r="H104" s="58">
        <f>Source!AL27</f>
        <v>0</v>
      </c>
      <c r="I104" s="59"/>
      <c r="J104" s="58">
        <f>ROUND(Source!AC27*Source!I27, 2)</f>
        <v>0</v>
      </c>
      <c r="K104" s="59"/>
      <c r="L104" s="58"/>
    </row>
    <row r="105" ht="14.25">
      <c r="A105" s="55"/>
      <c r="B105" s="55"/>
      <c r="C105" s="55" t="s">
        <v>52</v>
      </c>
      <c r="D105" s="56" t="s">
        <v>30</v>
      </c>
      <c r="E105" s="57">
        <f>Source!AQ27</f>
        <v>5.7000000000000002</v>
      </c>
      <c r="F105" s="57"/>
      <c r="G105" s="57">
        <f>ROUND(Source!U27, 7)</f>
        <v>0.74099999999999999</v>
      </c>
      <c r="H105" s="58"/>
      <c r="I105" s="59"/>
      <c r="J105" s="58"/>
      <c r="K105" s="59"/>
      <c r="L105" s="58"/>
    </row>
    <row r="106" ht="14.25">
      <c r="A106" s="55"/>
      <c r="B106" s="55"/>
      <c r="C106" s="62" t="s">
        <v>53</v>
      </c>
      <c r="D106" s="63" t="s">
        <v>30</v>
      </c>
      <c r="E106" s="64">
        <f>Source!AR27</f>
        <v>0.01</v>
      </c>
      <c r="F106" s="64"/>
      <c r="G106" s="64">
        <f>ROUND(Source!V27, 7)</f>
        <v>0.0012999999999999999</v>
      </c>
      <c r="H106" s="65"/>
      <c r="I106" s="66"/>
      <c r="J106" s="65"/>
      <c r="K106" s="66"/>
      <c r="L106" s="65"/>
    </row>
    <row r="107" ht="14.25">
      <c r="A107" s="55"/>
      <c r="B107" s="55"/>
      <c r="C107" s="55" t="s">
        <v>54</v>
      </c>
      <c r="D107" s="56"/>
      <c r="E107" s="57"/>
      <c r="F107" s="57"/>
      <c r="G107" s="57"/>
      <c r="H107" s="58">
        <f>H101+H102+H104</f>
        <v>48.93</v>
      </c>
      <c r="I107" s="59"/>
      <c r="J107" s="58">
        <f>J101+J102+J104</f>
        <v>6.3600000000000003</v>
      </c>
      <c r="K107" s="59"/>
      <c r="L107" s="58"/>
    </row>
    <row r="108" ht="14.25">
      <c r="A108" s="55"/>
      <c r="B108" s="55"/>
      <c r="C108" s="55" t="s">
        <v>55</v>
      </c>
      <c r="D108" s="56"/>
      <c r="E108" s="57"/>
      <c r="F108" s="57"/>
      <c r="G108" s="57"/>
      <c r="H108" s="58"/>
      <c r="I108" s="59"/>
      <c r="J108" s="58">
        <f>SUM(S99:S111)+SUM(T99:T111)+SUM(X99:X111)+SUM(Y99:Y111)+SUM(Z99:Z111)</f>
        <v>6.3399999999999999</v>
      </c>
      <c r="K108" s="59"/>
      <c r="L108" s="58">
        <f>SUM(AR99:AR111)+SUM(AS99:AS111)+SUM(AT99:AT111)+SUM(AU99:AU111)+SUM(AV99:AV111)</f>
        <v>350.73000000000002</v>
      </c>
    </row>
    <row r="109" ht="28.5">
      <c r="A109" s="55"/>
      <c r="B109" s="55" t="s">
        <v>56</v>
      </c>
      <c r="C109" s="55" t="s">
        <v>57</v>
      </c>
      <c r="D109" s="56" t="s">
        <v>58</v>
      </c>
      <c r="E109" s="57">
        <f>Source!BZ27</f>
        <v>87</v>
      </c>
      <c r="F109" s="57"/>
      <c r="G109" s="57">
        <f>Source!AT27</f>
        <v>87</v>
      </c>
      <c r="H109" s="58"/>
      <c r="I109" s="59"/>
      <c r="J109" s="58">
        <f>SUM(AD99:AD111)</f>
        <v>5.5200000000000005</v>
      </c>
      <c r="K109" s="59"/>
      <c r="L109" s="58">
        <f>SUM(AZ99:AZ111)</f>
        <v>305.13999999999999</v>
      </c>
    </row>
    <row r="110" ht="28.5">
      <c r="A110" s="62"/>
      <c r="B110" s="62" t="s">
        <v>59</v>
      </c>
      <c r="C110" s="62" t="s">
        <v>60</v>
      </c>
      <c r="D110" s="63" t="s">
        <v>58</v>
      </c>
      <c r="E110" s="64">
        <f>Source!CA27</f>
        <v>44</v>
      </c>
      <c r="F110" s="64"/>
      <c r="G110" s="64">
        <f>Source!AU27</f>
        <v>44</v>
      </c>
      <c r="H110" s="65"/>
      <c r="I110" s="66"/>
      <c r="J110" s="65">
        <f>SUM(AE99:AE111)</f>
        <v>2.79</v>
      </c>
      <c r="K110" s="66"/>
      <c r="L110" s="65">
        <f>SUM(BA99:BA111)</f>
        <v>154.31999999999999</v>
      </c>
    </row>
    <row r="111" ht="15">
      <c r="C111" s="67" t="s">
        <v>61</v>
      </c>
      <c r="D111" s="67"/>
      <c r="E111" s="67"/>
      <c r="F111" s="67"/>
      <c r="G111" s="67"/>
      <c r="H111" s="67"/>
      <c r="I111" s="68">
        <f>J101+J102+J104+J109+J110</f>
        <v>14.670000000000002</v>
      </c>
      <c r="J111" s="68"/>
      <c r="O111" s="69">
        <f>J101+J102+J104+J109+J110</f>
        <v>14.670000000000002</v>
      </c>
      <c r="P111" s="69">
        <f>J102</f>
        <v>0.040000000000000001</v>
      </c>
      <c r="R111" t="s">
        <v>62</v>
      </c>
      <c r="S111" s="69">
        <f>J101</f>
        <v>6.3200000000000003</v>
      </c>
      <c r="U111" s="69">
        <f>J101</f>
        <v>6.3200000000000003</v>
      </c>
      <c r="X111" s="69">
        <f>J103</f>
        <v>0.02</v>
      </c>
      <c r="Z111" t="s">
        <v>62</v>
      </c>
      <c r="AA111" s="69">
        <f>J104</f>
        <v>0</v>
      </c>
      <c r="AD111">
        <f>Source!X27</f>
        <v>5.5200000000000005</v>
      </c>
      <c r="AE111">
        <f>Source!Y27</f>
        <v>2.79</v>
      </c>
      <c r="AN111" s="69">
        <f>L101+L102+L104+L109+L110</f>
        <v>809.07999999999993</v>
      </c>
      <c r="AO111" s="69">
        <f>L102</f>
        <v>0</v>
      </c>
      <c r="AQ111" t="s">
        <v>62</v>
      </c>
      <c r="AR111" s="69">
        <f>L101</f>
        <v>349.62</v>
      </c>
      <c r="AT111" s="69">
        <f>L103</f>
        <v>1.1100000000000001</v>
      </c>
      <c r="AV111" t="s">
        <v>62</v>
      </c>
      <c r="AW111" s="69">
        <f>L104</f>
        <v>0</v>
      </c>
      <c r="AZ111">
        <f>Source!HK27</f>
        <v>305.13999999999999</v>
      </c>
      <c r="BA111">
        <f>Source!HL27</f>
        <v>154.31999999999999</v>
      </c>
      <c r="BH111" s="69">
        <f>J101+J102+J104+J109+J110</f>
        <v>14.670000000000002</v>
      </c>
      <c r="CD111">
        <v>1</v>
      </c>
    </row>
    <row r="112" ht="14.25">
      <c r="A112" s="54" t="s">
        <v>72</v>
      </c>
      <c r="B112" s="55" t="str">
        <f>Source!F28</f>
        <v>65-3-7</v>
      </c>
      <c r="C112" s="55" t="str">
        <f>Source!G28</f>
        <v xml:space="preserve">Снятие смесителя: без душевой сетки</v>
      </c>
      <c r="D112" s="56" t="str">
        <f>Source!H28</f>
        <v xml:space="preserve">100 ШТ</v>
      </c>
      <c r="E112" s="57">
        <f>Source!K28</f>
        <v>0.049999999999999996</v>
      </c>
      <c r="F112" s="57"/>
      <c r="G112" s="57">
        <f>Source!I28</f>
        <v>0.049999999999999996</v>
      </c>
      <c r="H112" s="58"/>
      <c r="I112" s="59"/>
      <c r="J112" s="58"/>
      <c r="K112" s="59"/>
      <c r="L112" s="58"/>
    </row>
    <row r="113">
      <c r="C113" s="60" t="str">
        <f>"Объем: "&amp;Source!I28&amp;"=5/"&amp;"100"</f>
        <v xml:space="preserve">Объем: 0,049999999999999996=5/100</v>
      </c>
    </row>
    <row r="114" ht="14.25">
      <c r="A114" s="55"/>
      <c r="B114" s="59">
        <v>1</v>
      </c>
      <c r="C114" s="55" t="s">
        <v>48</v>
      </c>
      <c r="D114" s="56"/>
      <c r="E114" s="57"/>
      <c r="F114" s="57"/>
      <c r="G114" s="57"/>
      <c r="H114" s="58">
        <f>Source!AO28</f>
        <v>313.13999999999999</v>
      </c>
      <c r="I114" s="59"/>
      <c r="J114" s="58">
        <f>ROUND(Source!AF28*Source!I28, 2)</f>
        <v>15.66</v>
      </c>
      <c r="K114" s="59">
        <f>IF(Source!BA28&lt;&gt; 0, Source!BA28, 1)</f>
        <v>55.32</v>
      </c>
      <c r="L114" s="58">
        <f>Source!HJ28</f>
        <v>866.31000000000006</v>
      </c>
    </row>
    <row r="115" ht="14.25">
      <c r="A115" s="55"/>
      <c r="B115" s="59">
        <v>2</v>
      </c>
      <c r="C115" s="55" t="s">
        <v>49</v>
      </c>
      <c r="D115" s="56"/>
      <c r="E115" s="57"/>
      <c r="F115" s="57"/>
      <c r="G115" s="57"/>
      <c r="H115" s="58">
        <f>Source!AM28</f>
        <v>2.1899999999999999</v>
      </c>
      <c r="I115" s="59"/>
      <c r="J115" s="58">
        <f>ROUND((((Source!ET28)-(Source!EU28))+Source!AE28)*Source!I28, 2)</f>
        <v>0.11</v>
      </c>
      <c r="K115" s="59"/>
      <c r="L115" s="58"/>
    </row>
    <row r="116" ht="14.25">
      <c r="A116" s="55"/>
      <c r="B116" s="59">
        <v>3</v>
      </c>
      <c r="C116" s="55" t="s">
        <v>50</v>
      </c>
      <c r="D116" s="56"/>
      <c r="E116" s="57"/>
      <c r="F116" s="57"/>
      <c r="G116" s="57"/>
      <c r="H116" s="58">
        <f>Source!AN28</f>
        <v>0.94999999999999996</v>
      </c>
      <c r="I116" s="59"/>
      <c r="J116" s="61">
        <f>ROUND(Source!AE28*Source!I28, 2)</f>
        <v>0.050000000000000003</v>
      </c>
      <c r="K116" s="59">
        <f>IF(Source!BS28&lt;&gt; 0, Source!BS28, 1)</f>
        <v>55.32</v>
      </c>
      <c r="L116" s="61">
        <f>Source!HI28</f>
        <v>2.77</v>
      </c>
    </row>
    <row r="117" ht="14.25">
      <c r="A117" s="55"/>
      <c r="B117" s="59">
        <v>4</v>
      </c>
      <c r="C117" s="55" t="s">
        <v>51</v>
      </c>
      <c r="D117" s="56"/>
      <c r="E117" s="57"/>
      <c r="F117" s="57"/>
      <c r="G117" s="57"/>
      <c r="H117" s="58">
        <f>Source!AL28</f>
        <v>0</v>
      </c>
      <c r="I117" s="59"/>
      <c r="J117" s="58">
        <f>ROUND(Source!AC28*Source!I28, 2)</f>
        <v>0</v>
      </c>
      <c r="K117" s="59"/>
      <c r="L117" s="58"/>
    </row>
    <row r="118" ht="14.25">
      <c r="A118" s="55"/>
      <c r="B118" s="55"/>
      <c r="C118" s="55" t="s">
        <v>52</v>
      </c>
      <c r="D118" s="56" t="s">
        <v>30</v>
      </c>
      <c r="E118" s="57">
        <f>Source!AQ28</f>
        <v>36.710000000000001</v>
      </c>
      <c r="F118" s="57"/>
      <c r="G118" s="57">
        <f>ROUND(Source!U28, 7)</f>
        <v>1.8354999999999999</v>
      </c>
      <c r="H118" s="58"/>
      <c r="I118" s="59"/>
      <c r="J118" s="58"/>
      <c r="K118" s="59"/>
      <c r="L118" s="58"/>
    </row>
    <row r="119" ht="14.25">
      <c r="A119" s="55"/>
      <c r="B119" s="55"/>
      <c r="C119" s="62" t="s">
        <v>53</v>
      </c>
      <c r="D119" s="63" t="s">
        <v>30</v>
      </c>
      <c r="E119" s="64">
        <f>Source!AR28</f>
        <v>0.070000000000000007</v>
      </c>
      <c r="F119" s="64"/>
      <c r="G119" s="64">
        <f>ROUND(Source!V28, 7)</f>
        <v>0.0034999999999999996</v>
      </c>
      <c r="H119" s="65"/>
      <c r="I119" s="66"/>
      <c r="J119" s="65"/>
      <c r="K119" s="66"/>
      <c r="L119" s="65"/>
    </row>
    <row r="120" ht="14.25">
      <c r="A120" s="55"/>
      <c r="B120" s="55"/>
      <c r="C120" s="55" t="s">
        <v>54</v>
      </c>
      <c r="D120" s="56"/>
      <c r="E120" s="57"/>
      <c r="F120" s="57"/>
      <c r="G120" s="57"/>
      <c r="H120" s="58">
        <f>H114+H115+H117</f>
        <v>315.32999999999998</v>
      </c>
      <c r="I120" s="59"/>
      <c r="J120" s="58">
        <f>J114+J115+J117</f>
        <v>15.77</v>
      </c>
      <c r="K120" s="59"/>
      <c r="L120" s="58"/>
    </row>
    <row r="121" ht="14.25">
      <c r="A121" s="55"/>
      <c r="B121" s="55"/>
      <c r="C121" s="55" t="s">
        <v>55</v>
      </c>
      <c r="D121" s="56"/>
      <c r="E121" s="57"/>
      <c r="F121" s="57"/>
      <c r="G121" s="57"/>
      <c r="H121" s="58"/>
      <c r="I121" s="59"/>
      <c r="J121" s="58">
        <f>SUM(S112:S124)+SUM(T112:T124)+SUM(X112:X124)+SUM(Y112:Y124)+SUM(Z112:Z124)</f>
        <v>15.710000000000001</v>
      </c>
      <c r="K121" s="59"/>
      <c r="L121" s="58">
        <f>SUM(AR112:AR124)+SUM(AS112:AS124)+SUM(AT112:AT124)+SUM(AU112:AU124)+SUM(AV112:AV124)</f>
        <v>869.08000000000004</v>
      </c>
    </row>
    <row r="122" ht="28.5">
      <c r="A122" s="55"/>
      <c r="B122" s="55" t="s">
        <v>56</v>
      </c>
      <c r="C122" s="55" t="s">
        <v>57</v>
      </c>
      <c r="D122" s="56" t="s">
        <v>58</v>
      </c>
      <c r="E122" s="57">
        <f>Source!BZ28</f>
        <v>87</v>
      </c>
      <c r="F122" s="57"/>
      <c r="G122" s="57">
        <f>Source!AT28</f>
        <v>87</v>
      </c>
      <c r="H122" s="58"/>
      <c r="I122" s="59"/>
      <c r="J122" s="58">
        <f>SUM(AD112:AD124)</f>
        <v>13.67</v>
      </c>
      <c r="K122" s="59"/>
      <c r="L122" s="58">
        <f>SUM(AZ112:AZ124)</f>
        <v>756.10000000000002</v>
      </c>
    </row>
    <row r="123" ht="28.5">
      <c r="A123" s="62"/>
      <c r="B123" s="62" t="s">
        <v>59</v>
      </c>
      <c r="C123" s="62" t="s">
        <v>60</v>
      </c>
      <c r="D123" s="63" t="s">
        <v>58</v>
      </c>
      <c r="E123" s="64">
        <f>Source!CA28</f>
        <v>44</v>
      </c>
      <c r="F123" s="64"/>
      <c r="G123" s="64">
        <f>Source!AU28</f>
        <v>44</v>
      </c>
      <c r="H123" s="65"/>
      <c r="I123" s="66"/>
      <c r="J123" s="65">
        <f>SUM(AE112:AE124)</f>
        <v>6.9100000000000001</v>
      </c>
      <c r="K123" s="66"/>
      <c r="L123" s="65">
        <f>SUM(BA112:BA124)</f>
        <v>382.40000000000003</v>
      </c>
    </row>
    <row r="124" ht="15">
      <c r="C124" s="67" t="s">
        <v>61</v>
      </c>
      <c r="D124" s="67"/>
      <c r="E124" s="67"/>
      <c r="F124" s="67"/>
      <c r="G124" s="67"/>
      <c r="H124" s="67"/>
      <c r="I124" s="68">
        <f>J114+J115+J117+J122+J123</f>
        <v>36.349999999999994</v>
      </c>
      <c r="J124" s="68"/>
      <c r="O124" s="69">
        <f>J114+J115+J117+J122+J123</f>
        <v>36.349999999999994</v>
      </c>
      <c r="P124" s="69">
        <f>J115</f>
        <v>0.11</v>
      </c>
      <c r="R124" t="s">
        <v>62</v>
      </c>
      <c r="S124" s="69">
        <f>J114</f>
        <v>15.66</v>
      </c>
      <c r="U124" s="69">
        <f>J114</f>
        <v>15.66</v>
      </c>
      <c r="X124" s="69">
        <f>J116</f>
        <v>0.050000000000000003</v>
      </c>
      <c r="Z124" t="s">
        <v>62</v>
      </c>
      <c r="AA124" s="69">
        <f>J117</f>
        <v>0</v>
      </c>
      <c r="AD124">
        <f>Source!X28</f>
        <v>13.67</v>
      </c>
      <c r="AE124">
        <f>Source!Y28</f>
        <v>6.9100000000000001</v>
      </c>
      <c r="AN124" s="69">
        <f>L114+L115+L117+L122+L123</f>
        <v>2004.8100000000002</v>
      </c>
      <c r="AO124" s="69">
        <f>L115</f>
        <v>0</v>
      </c>
      <c r="AQ124" t="s">
        <v>62</v>
      </c>
      <c r="AR124" s="69">
        <f>L114</f>
        <v>866.31000000000006</v>
      </c>
      <c r="AT124" s="69">
        <f>L116</f>
        <v>2.77</v>
      </c>
      <c r="AV124" t="s">
        <v>62</v>
      </c>
      <c r="AW124" s="69">
        <f>L117</f>
        <v>0</v>
      </c>
      <c r="AZ124">
        <f>Source!HK28</f>
        <v>756.10000000000002</v>
      </c>
      <c r="BA124">
        <f>Source!HL28</f>
        <v>382.40000000000003</v>
      </c>
      <c r="BH124" s="69">
        <f>J114+J115+J117+J122+J123</f>
        <v>36.349999999999994</v>
      </c>
      <c r="CD124">
        <v>1</v>
      </c>
    </row>
    <row r="125" ht="42.75">
      <c r="A125" s="54" t="s">
        <v>73</v>
      </c>
      <c r="B125" s="55" t="str">
        <f>Source!F29</f>
        <v>65-1-1</v>
      </c>
      <c r="C125" s="55" t="str">
        <f>Source!G29</f>
        <v xml:space="preserve">Разборка трубопроводов из водогазопроводных труб диаметром: до 25 мм</v>
      </c>
      <c r="D125" s="56" t="str">
        <f>Source!H29</f>
        <v xml:space="preserve">100 м</v>
      </c>
      <c r="E125" s="57">
        <f>Source!K29</f>
        <v>0.29999999999999999</v>
      </c>
      <c r="F125" s="57"/>
      <c r="G125" s="57">
        <f>Source!I29</f>
        <v>0.29999999999999999</v>
      </c>
      <c r="H125" s="58"/>
      <c r="I125" s="59"/>
      <c r="J125" s="58"/>
      <c r="K125" s="59"/>
      <c r="L125" s="58"/>
    </row>
    <row r="126">
      <c r="C126" s="60" t="str">
        <f>"Объем: "&amp;Source!I29&amp;"=30/"&amp;"100"</f>
        <v xml:space="preserve">Объем: 0,3=30/100</v>
      </c>
    </row>
    <row r="127" ht="14.25">
      <c r="A127" s="55"/>
      <c r="B127" s="59">
        <v>1</v>
      </c>
      <c r="C127" s="55" t="s">
        <v>48</v>
      </c>
      <c r="D127" s="56"/>
      <c r="E127" s="57"/>
      <c r="F127" s="57"/>
      <c r="G127" s="57"/>
      <c r="H127" s="58">
        <f>Source!AO29</f>
        <v>230.97</v>
      </c>
      <c r="I127" s="59"/>
      <c r="J127" s="58">
        <f>ROUND(Source!AF29*Source!I29, 2)</f>
        <v>69.290000000000006</v>
      </c>
      <c r="K127" s="59">
        <f>IF(Source!BA29&lt;&gt; 0, Source!BA29, 1)</f>
        <v>55.32</v>
      </c>
      <c r="L127" s="58">
        <f>Source!HJ29</f>
        <v>3833.1199999999999</v>
      </c>
    </row>
    <row r="128" ht="14.25">
      <c r="A128" s="55"/>
      <c r="B128" s="59">
        <v>2</v>
      </c>
      <c r="C128" s="55" t="s">
        <v>49</v>
      </c>
      <c r="D128" s="56"/>
      <c r="E128" s="57"/>
      <c r="F128" s="57"/>
      <c r="G128" s="57"/>
      <c r="H128" s="58">
        <f>Source!AM29</f>
        <v>4.5599999999999996</v>
      </c>
      <c r="I128" s="59"/>
      <c r="J128" s="58">
        <f>ROUND((((Source!ET29)-(Source!EU29))+Source!AE29)*Source!I29, 2)</f>
        <v>1.3700000000000001</v>
      </c>
      <c r="K128" s="59"/>
      <c r="L128" s="58"/>
    </row>
    <row r="129" ht="14.25">
      <c r="A129" s="55"/>
      <c r="B129" s="59">
        <v>3</v>
      </c>
      <c r="C129" s="55" t="s">
        <v>50</v>
      </c>
      <c r="D129" s="56"/>
      <c r="E129" s="57"/>
      <c r="F129" s="57"/>
      <c r="G129" s="57"/>
      <c r="H129" s="58">
        <f>Source!AN29</f>
        <v>0.68000000000000005</v>
      </c>
      <c r="I129" s="59"/>
      <c r="J129" s="61">
        <f>ROUND(Source!AE29*Source!I29, 2)</f>
        <v>0.20000000000000001</v>
      </c>
      <c r="K129" s="59">
        <f>IF(Source!BS29&lt;&gt; 0, Source!BS29, 1)</f>
        <v>55.32</v>
      </c>
      <c r="L129" s="61">
        <f>Source!HI29</f>
        <v>11.06</v>
      </c>
    </row>
    <row r="130" ht="14.25">
      <c r="A130" s="55"/>
      <c r="B130" s="59">
        <v>4</v>
      </c>
      <c r="C130" s="55" t="s">
        <v>51</v>
      </c>
      <c r="D130" s="56"/>
      <c r="E130" s="57"/>
      <c r="F130" s="57"/>
      <c r="G130" s="57"/>
      <c r="H130" s="58">
        <f>Source!AL29</f>
        <v>28.100000000000001</v>
      </c>
      <c r="I130" s="59"/>
      <c r="J130" s="58">
        <f>ROUND(Source!AC29*Source!I29, 2)</f>
        <v>8.4299999999999997</v>
      </c>
      <c r="K130" s="59"/>
      <c r="L130" s="58"/>
    </row>
    <row r="131" ht="14.25">
      <c r="A131" s="55"/>
      <c r="B131" s="55"/>
      <c r="C131" s="55" t="s">
        <v>52</v>
      </c>
      <c r="D131" s="56" t="s">
        <v>30</v>
      </c>
      <c r="E131" s="57">
        <f>Source!AQ29</f>
        <v>28.030000000000001</v>
      </c>
      <c r="F131" s="57"/>
      <c r="G131" s="57">
        <f>ROUND(Source!U29, 7)</f>
        <v>8.4089999999999989</v>
      </c>
      <c r="H131" s="58"/>
      <c r="I131" s="59"/>
      <c r="J131" s="58"/>
      <c r="K131" s="59"/>
      <c r="L131" s="58"/>
    </row>
    <row r="132" ht="14.25">
      <c r="A132" s="55"/>
      <c r="B132" s="55"/>
      <c r="C132" s="62" t="s">
        <v>53</v>
      </c>
      <c r="D132" s="63" t="s">
        <v>30</v>
      </c>
      <c r="E132" s="64">
        <f>Source!AR29</f>
        <v>0.050000000000000003</v>
      </c>
      <c r="F132" s="64"/>
      <c r="G132" s="64">
        <f>ROUND(Source!V29, 7)</f>
        <v>0.014999999999999999</v>
      </c>
      <c r="H132" s="65"/>
      <c r="I132" s="66"/>
      <c r="J132" s="65"/>
      <c r="K132" s="66"/>
      <c r="L132" s="65"/>
    </row>
    <row r="133" ht="14.25">
      <c r="A133" s="55"/>
      <c r="B133" s="55"/>
      <c r="C133" s="55" t="s">
        <v>54</v>
      </c>
      <c r="D133" s="56"/>
      <c r="E133" s="57"/>
      <c r="F133" s="57"/>
      <c r="G133" s="57"/>
      <c r="H133" s="58">
        <f>H127+H128+H130</f>
        <v>263.63</v>
      </c>
      <c r="I133" s="59"/>
      <c r="J133" s="58">
        <f>J127+J128+J130</f>
        <v>79.090000000000003</v>
      </c>
      <c r="K133" s="59"/>
      <c r="L133" s="58"/>
    </row>
    <row r="134" ht="14.25">
      <c r="A134" s="55"/>
      <c r="B134" s="55"/>
      <c r="C134" s="55" t="s">
        <v>55</v>
      </c>
      <c r="D134" s="56"/>
      <c r="E134" s="57"/>
      <c r="F134" s="57"/>
      <c r="G134" s="57"/>
      <c r="H134" s="58"/>
      <c r="I134" s="59"/>
      <c r="J134" s="58">
        <f>SUM(S125:S137)+SUM(T125:T137)+SUM(X125:X137)+SUM(Y125:Y137)+SUM(Z125:Z137)</f>
        <v>69.490000000000009</v>
      </c>
      <c r="K134" s="59"/>
      <c r="L134" s="58">
        <f>SUM(AR125:AR137)+SUM(AS125:AS137)+SUM(AT125:AT137)+SUM(AU125:AU137)+SUM(AV125:AV137)</f>
        <v>3844.1799999999998</v>
      </c>
    </row>
    <row r="135" ht="28.5">
      <c r="A135" s="55"/>
      <c r="B135" s="55" t="s">
        <v>56</v>
      </c>
      <c r="C135" s="55" t="s">
        <v>57</v>
      </c>
      <c r="D135" s="56" t="s">
        <v>58</v>
      </c>
      <c r="E135" s="57">
        <f>Source!BZ29</f>
        <v>87</v>
      </c>
      <c r="F135" s="57"/>
      <c r="G135" s="57">
        <f>Source!AT29</f>
        <v>87</v>
      </c>
      <c r="H135" s="58"/>
      <c r="I135" s="59"/>
      <c r="J135" s="58">
        <f>SUM(AD125:AD137)</f>
        <v>60.460000000000001</v>
      </c>
      <c r="K135" s="59"/>
      <c r="L135" s="58">
        <f>SUM(AZ125:AZ137)</f>
        <v>3344.4400000000001</v>
      </c>
    </row>
    <row r="136" ht="28.5">
      <c r="A136" s="62"/>
      <c r="B136" s="62" t="s">
        <v>59</v>
      </c>
      <c r="C136" s="62" t="s">
        <v>60</v>
      </c>
      <c r="D136" s="63" t="s">
        <v>58</v>
      </c>
      <c r="E136" s="64">
        <f>Source!CA29</f>
        <v>44</v>
      </c>
      <c r="F136" s="64"/>
      <c r="G136" s="64">
        <f>Source!AU29</f>
        <v>44</v>
      </c>
      <c r="H136" s="65"/>
      <c r="I136" s="66"/>
      <c r="J136" s="65">
        <f>SUM(AE125:AE137)</f>
        <v>30.580000000000002</v>
      </c>
      <c r="K136" s="66"/>
      <c r="L136" s="65">
        <f>SUM(BA125:BA137)</f>
        <v>1691.4400000000001</v>
      </c>
    </row>
    <row r="137" ht="15">
      <c r="C137" s="67" t="s">
        <v>61</v>
      </c>
      <c r="D137" s="67"/>
      <c r="E137" s="67"/>
      <c r="F137" s="67"/>
      <c r="G137" s="67"/>
      <c r="H137" s="67"/>
      <c r="I137" s="68">
        <f>J127+J128+J130+J135+J136</f>
        <v>170.13000000000002</v>
      </c>
      <c r="J137" s="68"/>
      <c r="O137" s="69">
        <f>J127+J128+J130+J135+J136</f>
        <v>170.13000000000002</v>
      </c>
      <c r="P137" s="69">
        <f>J128</f>
        <v>1.3700000000000001</v>
      </c>
      <c r="R137" t="s">
        <v>62</v>
      </c>
      <c r="S137" s="69">
        <f>J127</f>
        <v>69.290000000000006</v>
      </c>
      <c r="U137" s="69">
        <f>J127</f>
        <v>69.290000000000006</v>
      </c>
      <c r="X137" s="69">
        <f>J129</f>
        <v>0.20000000000000001</v>
      </c>
      <c r="Z137" t="s">
        <v>62</v>
      </c>
      <c r="AA137" s="69">
        <f>J130</f>
        <v>8.4299999999999997</v>
      </c>
      <c r="AD137">
        <f>Source!X29</f>
        <v>60.460000000000001</v>
      </c>
      <c r="AE137">
        <f>Source!Y29</f>
        <v>30.580000000000002</v>
      </c>
      <c r="AN137" s="69">
        <f>L127+L128+L130+L135+L136</f>
        <v>8869</v>
      </c>
      <c r="AO137" s="69">
        <f>L128</f>
        <v>0</v>
      </c>
      <c r="AQ137" t="s">
        <v>62</v>
      </c>
      <c r="AR137" s="69">
        <f>L127</f>
        <v>3833.1199999999999</v>
      </c>
      <c r="AT137" s="69">
        <f>L129</f>
        <v>11.06</v>
      </c>
      <c r="AV137" t="s">
        <v>62</v>
      </c>
      <c r="AW137" s="69">
        <f>L130</f>
        <v>0</v>
      </c>
      <c r="AZ137">
        <f>Source!HK29</f>
        <v>3344.4400000000001</v>
      </c>
      <c r="BA137">
        <f>Source!HL29</f>
        <v>1691.4400000000001</v>
      </c>
      <c r="BH137" s="69">
        <f>J127+J128+J130+J135+J136</f>
        <v>170.13000000000002</v>
      </c>
      <c r="CD137">
        <v>1</v>
      </c>
    </row>
    <row r="138" ht="42.75">
      <c r="A138" s="54" t="s">
        <v>74</v>
      </c>
      <c r="B138" s="55" t="str">
        <f>Source!F30</f>
        <v>65-2-1</v>
      </c>
      <c r="C138" s="55" t="str">
        <f>Source!G30</f>
        <v xml:space="preserve">Разборка трубопроводов  канализационных труб диаметром: 50 мм</v>
      </c>
      <c r="D138" s="56" t="str">
        <f>Source!H30</f>
        <v xml:space="preserve">100 м</v>
      </c>
      <c r="E138" s="57">
        <f>Source!K30</f>
        <v>0.099999999999999992</v>
      </c>
      <c r="F138" s="57"/>
      <c r="G138" s="57">
        <f>Source!I30</f>
        <v>0.099999999999999992</v>
      </c>
      <c r="H138" s="58"/>
      <c r="I138" s="59"/>
      <c r="J138" s="58"/>
      <c r="K138" s="59"/>
      <c r="L138" s="58"/>
    </row>
    <row r="139">
      <c r="C139" s="60" t="str">
        <f>"Объем: "&amp;Source!I30&amp;"=10/"&amp;"100"</f>
        <v xml:space="preserve">Объем: 0,09999999999999999=10/100</v>
      </c>
    </row>
    <row r="140" ht="14.25">
      <c r="A140" s="55"/>
      <c r="B140" s="59">
        <v>1</v>
      </c>
      <c r="C140" s="55" t="s">
        <v>48</v>
      </c>
      <c r="D140" s="56"/>
      <c r="E140" s="57"/>
      <c r="F140" s="57"/>
      <c r="G140" s="57"/>
      <c r="H140" s="58">
        <f>Source!AO30</f>
        <v>582.04999999999995</v>
      </c>
      <c r="I140" s="59"/>
      <c r="J140" s="58">
        <f>ROUND(Source!AF30*Source!I30, 2)</f>
        <v>58.210000000000001</v>
      </c>
      <c r="K140" s="59">
        <f>IF(Source!BA30&lt;&gt; 0, Source!BA30, 1)</f>
        <v>55.32</v>
      </c>
      <c r="L140" s="58">
        <f>Source!HJ30</f>
        <v>3220.1800000000003</v>
      </c>
    </row>
    <row r="141" ht="14.25">
      <c r="A141" s="55"/>
      <c r="B141" s="59">
        <v>2</v>
      </c>
      <c r="C141" s="55" t="s">
        <v>49</v>
      </c>
      <c r="D141" s="56"/>
      <c r="E141" s="57"/>
      <c r="F141" s="57"/>
      <c r="G141" s="57"/>
      <c r="H141" s="58">
        <f>Source!AM30</f>
        <v>5</v>
      </c>
      <c r="I141" s="59"/>
      <c r="J141" s="58">
        <f>ROUND((((Source!ET30)-(Source!EU30))+Source!AE30)*Source!I30, 2)</f>
        <v>0.5</v>
      </c>
      <c r="K141" s="59"/>
      <c r="L141" s="58"/>
    </row>
    <row r="142" ht="14.25">
      <c r="A142" s="55"/>
      <c r="B142" s="59">
        <v>3</v>
      </c>
      <c r="C142" s="55" t="s">
        <v>50</v>
      </c>
      <c r="D142" s="56"/>
      <c r="E142" s="57"/>
      <c r="F142" s="57"/>
      <c r="G142" s="57"/>
      <c r="H142" s="58">
        <f>Source!AN30</f>
        <v>2.1600000000000001</v>
      </c>
      <c r="I142" s="59"/>
      <c r="J142" s="61">
        <f>ROUND(Source!AE30*Source!I30, 2)</f>
        <v>0.22</v>
      </c>
      <c r="K142" s="59">
        <f>IF(Source!BS30&lt;&gt; 0, Source!BS30, 1)</f>
        <v>55.32</v>
      </c>
      <c r="L142" s="61">
        <f>Source!HI30</f>
        <v>12.17</v>
      </c>
    </row>
    <row r="143" ht="14.25">
      <c r="A143" s="55"/>
      <c r="B143" s="59">
        <v>4</v>
      </c>
      <c r="C143" s="55" t="s">
        <v>51</v>
      </c>
      <c r="D143" s="56"/>
      <c r="E143" s="57"/>
      <c r="F143" s="57"/>
      <c r="G143" s="57"/>
      <c r="H143" s="58">
        <f>Source!AL30</f>
        <v>0</v>
      </c>
      <c r="I143" s="59"/>
      <c r="J143" s="58">
        <f>ROUND(Source!AC30*Source!I30, 2)</f>
        <v>0</v>
      </c>
      <c r="K143" s="59"/>
      <c r="L143" s="58"/>
    </row>
    <row r="144" ht="14.25">
      <c r="A144" s="55"/>
      <c r="B144" s="55"/>
      <c r="C144" s="55" t="s">
        <v>52</v>
      </c>
      <c r="D144" s="56" t="s">
        <v>30</v>
      </c>
      <c r="E144" s="57">
        <f>Source!AQ30</f>
        <v>68.799999999999997</v>
      </c>
      <c r="F144" s="57"/>
      <c r="G144" s="57">
        <f>ROUND(Source!U30, 7)</f>
        <v>6.8799999999999999</v>
      </c>
      <c r="H144" s="58"/>
      <c r="I144" s="59"/>
      <c r="J144" s="58"/>
      <c r="K144" s="59"/>
      <c r="L144" s="58"/>
    </row>
    <row r="145" ht="14.25">
      <c r="A145" s="55"/>
      <c r="B145" s="55"/>
      <c r="C145" s="62" t="s">
        <v>53</v>
      </c>
      <c r="D145" s="63" t="s">
        <v>30</v>
      </c>
      <c r="E145" s="64">
        <f>Source!AR30</f>
        <v>0.16</v>
      </c>
      <c r="F145" s="64"/>
      <c r="G145" s="64">
        <f>ROUND(Source!V30, 7)</f>
        <v>0.016</v>
      </c>
      <c r="H145" s="65"/>
      <c r="I145" s="66"/>
      <c r="J145" s="65"/>
      <c r="K145" s="66"/>
      <c r="L145" s="65"/>
    </row>
    <row r="146" ht="14.25">
      <c r="A146" s="55"/>
      <c r="B146" s="55"/>
      <c r="C146" s="55" t="s">
        <v>54</v>
      </c>
      <c r="D146" s="56"/>
      <c r="E146" s="57"/>
      <c r="F146" s="57"/>
      <c r="G146" s="57"/>
      <c r="H146" s="58">
        <f>H140+H141+H143</f>
        <v>587.04999999999995</v>
      </c>
      <c r="I146" s="59"/>
      <c r="J146" s="58">
        <f>J140+J141+J143</f>
        <v>58.710000000000001</v>
      </c>
      <c r="K146" s="59"/>
      <c r="L146" s="58"/>
    </row>
    <row r="147" ht="14.25">
      <c r="A147" s="55"/>
      <c r="B147" s="55"/>
      <c r="C147" s="55" t="s">
        <v>55</v>
      </c>
      <c r="D147" s="56"/>
      <c r="E147" s="57"/>
      <c r="F147" s="57"/>
      <c r="G147" s="57"/>
      <c r="H147" s="58"/>
      <c r="I147" s="59"/>
      <c r="J147" s="58">
        <f>SUM(S138:S150)+SUM(T138:T150)+SUM(X138:X150)+SUM(Y138:Y150)+SUM(Z138:Z150)</f>
        <v>58.43</v>
      </c>
      <c r="K147" s="59"/>
      <c r="L147" s="58">
        <f>SUM(AR138:AR150)+SUM(AS138:AS150)+SUM(AT138:AT150)+SUM(AU138:AU150)+SUM(AV138:AV150)</f>
        <v>3232.3500000000004</v>
      </c>
    </row>
    <row r="148" ht="28.5">
      <c r="A148" s="55"/>
      <c r="B148" s="55" t="s">
        <v>56</v>
      </c>
      <c r="C148" s="55" t="s">
        <v>57</v>
      </c>
      <c r="D148" s="56" t="s">
        <v>58</v>
      </c>
      <c r="E148" s="57">
        <f>Source!BZ30</f>
        <v>87</v>
      </c>
      <c r="F148" s="57"/>
      <c r="G148" s="57">
        <f>Source!AT30</f>
        <v>87</v>
      </c>
      <c r="H148" s="58"/>
      <c r="I148" s="59"/>
      <c r="J148" s="58">
        <f>SUM(AD138:AD150)</f>
        <v>50.829999999999998</v>
      </c>
      <c r="K148" s="59"/>
      <c r="L148" s="58">
        <f>SUM(AZ138:AZ150)</f>
        <v>2812.1399999999999</v>
      </c>
    </row>
    <row r="149" ht="28.5">
      <c r="A149" s="62"/>
      <c r="B149" s="62" t="s">
        <v>59</v>
      </c>
      <c r="C149" s="62" t="s">
        <v>60</v>
      </c>
      <c r="D149" s="63" t="s">
        <v>58</v>
      </c>
      <c r="E149" s="64">
        <f>Source!CA30</f>
        <v>44</v>
      </c>
      <c r="F149" s="64"/>
      <c r="G149" s="64">
        <f>Source!AU30</f>
        <v>44</v>
      </c>
      <c r="H149" s="65"/>
      <c r="I149" s="66"/>
      <c r="J149" s="65">
        <f>SUM(AE138:AE150)</f>
        <v>25.710000000000001</v>
      </c>
      <c r="K149" s="66"/>
      <c r="L149" s="65">
        <f>SUM(BA138:BA150)</f>
        <v>1422.23</v>
      </c>
    </row>
    <row r="150" ht="15">
      <c r="C150" s="67" t="s">
        <v>61</v>
      </c>
      <c r="D150" s="67"/>
      <c r="E150" s="67"/>
      <c r="F150" s="67"/>
      <c r="G150" s="67"/>
      <c r="H150" s="67"/>
      <c r="I150" s="68">
        <f>J140+J141+J143+J148+J149</f>
        <v>135.25</v>
      </c>
      <c r="J150" s="68"/>
      <c r="O150" s="69">
        <f>J140+J141+J143+J148+J149</f>
        <v>135.25</v>
      </c>
      <c r="P150" s="69">
        <f>J141</f>
        <v>0.5</v>
      </c>
      <c r="R150" t="s">
        <v>62</v>
      </c>
      <c r="S150" s="69">
        <f>J140</f>
        <v>58.210000000000001</v>
      </c>
      <c r="U150" s="69">
        <f>J140</f>
        <v>58.210000000000001</v>
      </c>
      <c r="X150" s="69">
        <f>J142</f>
        <v>0.22</v>
      </c>
      <c r="Z150" t="s">
        <v>62</v>
      </c>
      <c r="AA150" s="69">
        <f>J143</f>
        <v>0</v>
      </c>
      <c r="AD150">
        <f>Source!X30</f>
        <v>50.829999999999998</v>
      </c>
      <c r="AE150">
        <f>Source!Y30</f>
        <v>25.710000000000001</v>
      </c>
      <c r="AN150" s="69">
        <f>L140+L141+L143+L148+L149</f>
        <v>7454.5499999999993</v>
      </c>
      <c r="AO150" s="69">
        <f>L141</f>
        <v>0</v>
      </c>
      <c r="AQ150" t="s">
        <v>62</v>
      </c>
      <c r="AR150" s="69">
        <f>L140</f>
        <v>3220.1800000000003</v>
      </c>
      <c r="AT150" s="69">
        <f>L142</f>
        <v>12.17</v>
      </c>
      <c r="AV150" t="s">
        <v>62</v>
      </c>
      <c r="AW150" s="69">
        <f>L143</f>
        <v>0</v>
      </c>
      <c r="AZ150">
        <f>Source!HK30</f>
        <v>2812.1399999999999</v>
      </c>
      <c r="BA150">
        <f>Source!HL30</f>
        <v>1422.23</v>
      </c>
      <c r="BH150" s="69">
        <f>J140+J141+J143+J148+J149</f>
        <v>135.25</v>
      </c>
      <c r="CD150">
        <v>1</v>
      </c>
    </row>
    <row r="151" ht="42.75">
      <c r="A151" s="54" t="s">
        <v>75</v>
      </c>
      <c r="B151" s="55" t="str">
        <f>Source!F31</f>
        <v>65-2-2</v>
      </c>
      <c r="C151" s="55" t="str">
        <f>Source!G31</f>
        <v xml:space="preserve">Разборка трубопроводов  канализационных труб диаметром: 100 мм</v>
      </c>
      <c r="D151" s="56" t="str">
        <f>Source!H31</f>
        <v xml:space="preserve">100 м</v>
      </c>
      <c r="E151" s="57">
        <f>Source!K31</f>
        <v>0.049999999999999996</v>
      </c>
      <c r="F151" s="57"/>
      <c r="G151" s="57">
        <f>Source!I31</f>
        <v>0.049999999999999996</v>
      </c>
      <c r="H151" s="58"/>
      <c r="I151" s="59"/>
      <c r="J151" s="58"/>
      <c r="K151" s="59"/>
      <c r="L151" s="58"/>
    </row>
    <row r="152">
      <c r="C152" s="60" t="str">
        <f>"Объем: "&amp;Source!I31&amp;"=5/"&amp;"100"</f>
        <v xml:space="preserve">Объем: 0,049999999999999996=5/100</v>
      </c>
    </row>
    <row r="153" ht="14.25">
      <c r="A153" s="55"/>
      <c r="B153" s="59">
        <v>1</v>
      </c>
      <c r="C153" s="55" t="s">
        <v>48</v>
      </c>
      <c r="D153" s="56"/>
      <c r="E153" s="57"/>
      <c r="F153" s="57"/>
      <c r="G153" s="57"/>
      <c r="H153" s="58">
        <f>Source!AO31</f>
        <v>721.63999999999999</v>
      </c>
      <c r="I153" s="59"/>
      <c r="J153" s="58">
        <f>ROUND(Source!AF31*Source!I31, 2)</f>
        <v>36.079999999999998</v>
      </c>
      <c r="K153" s="59">
        <f>IF(Source!BA31&lt;&gt; 0, Source!BA31, 1)</f>
        <v>55.32</v>
      </c>
      <c r="L153" s="58">
        <f>Source!HJ31</f>
        <v>1995.95</v>
      </c>
    </row>
    <row r="154" ht="14.25">
      <c r="A154" s="55"/>
      <c r="B154" s="59">
        <v>2</v>
      </c>
      <c r="C154" s="55" t="s">
        <v>49</v>
      </c>
      <c r="D154" s="56"/>
      <c r="E154" s="57"/>
      <c r="F154" s="57"/>
      <c r="G154" s="57"/>
      <c r="H154" s="58">
        <f>Source!AM31</f>
        <v>10</v>
      </c>
      <c r="I154" s="59"/>
      <c r="J154" s="58">
        <f>ROUND((((Source!ET31)-(Source!EU31))+Source!AE31)*Source!I31, 2)</f>
        <v>0.5</v>
      </c>
      <c r="K154" s="59"/>
      <c r="L154" s="58"/>
    </row>
    <row r="155" ht="14.25">
      <c r="A155" s="55"/>
      <c r="B155" s="59">
        <v>3</v>
      </c>
      <c r="C155" s="55" t="s">
        <v>50</v>
      </c>
      <c r="D155" s="56"/>
      <c r="E155" s="57"/>
      <c r="F155" s="57"/>
      <c r="G155" s="57"/>
      <c r="H155" s="58">
        <f>Source!AN31</f>
        <v>4.3200000000000003</v>
      </c>
      <c r="I155" s="59"/>
      <c r="J155" s="61">
        <f>ROUND(Source!AE31*Source!I31, 2)</f>
        <v>0.22</v>
      </c>
      <c r="K155" s="59">
        <f>IF(Source!BS31&lt;&gt; 0, Source!BS31, 1)</f>
        <v>55.32</v>
      </c>
      <c r="L155" s="61">
        <f>Source!HI31</f>
        <v>12.17</v>
      </c>
    </row>
    <row r="156" ht="14.25">
      <c r="A156" s="55"/>
      <c r="B156" s="59">
        <v>4</v>
      </c>
      <c r="C156" s="55" t="s">
        <v>51</v>
      </c>
      <c r="D156" s="56"/>
      <c r="E156" s="57"/>
      <c r="F156" s="57"/>
      <c r="G156" s="57"/>
      <c r="H156" s="58">
        <f>Source!AL31</f>
        <v>0</v>
      </c>
      <c r="I156" s="59"/>
      <c r="J156" s="58">
        <f>ROUND(Source!AC31*Source!I31, 2)</f>
        <v>0</v>
      </c>
      <c r="K156" s="59"/>
      <c r="L156" s="58"/>
    </row>
    <row r="157" ht="14.25">
      <c r="A157" s="55"/>
      <c r="B157" s="55"/>
      <c r="C157" s="55" t="s">
        <v>52</v>
      </c>
      <c r="D157" s="56" t="s">
        <v>30</v>
      </c>
      <c r="E157" s="57">
        <f>Source!AQ31</f>
        <v>85.299999999999997</v>
      </c>
      <c r="F157" s="57"/>
      <c r="G157" s="57">
        <f>ROUND(Source!U31, 7)</f>
        <v>4.2649999999999997</v>
      </c>
      <c r="H157" s="58"/>
      <c r="I157" s="59"/>
      <c r="J157" s="58"/>
      <c r="K157" s="59"/>
      <c r="L157" s="58"/>
    </row>
    <row r="158" ht="14.25">
      <c r="A158" s="55"/>
      <c r="B158" s="55"/>
      <c r="C158" s="62" t="s">
        <v>53</v>
      </c>
      <c r="D158" s="63" t="s">
        <v>30</v>
      </c>
      <c r="E158" s="64">
        <f>Source!AR31</f>
        <v>0.32000000000000001</v>
      </c>
      <c r="F158" s="64"/>
      <c r="G158" s="64">
        <f>ROUND(Source!V31, 7)</f>
        <v>0.016</v>
      </c>
      <c r="H158" s="65"/>
      <c r="I158" s="66"/>
      <c r="J158" s="65"/>
      <c r="K158" s="66"/>
      <c r="L158" s="65"/>
    </row>
    <row r="159" ht="14.25">
      <c r="A159" s="55"/>
      <c r="B159" s="55"/>
      <c r="C159" s="55" t="s">
        <v>54</v>
      </c>
      <c r="D159" s="56"/>
      <c r="E159" s="57"/>
      <c r="F159" s="57"/>
      <c r="G159" s="57"/>
      <c r="H159" s="58">
        <f>H153+H154+H156</f>
        <v>731.63999999999999</v>
      </c>
      <c r="I159" s="59"/>
      <c r="J159" s="58">
        <f>J153+J154+J156</f>
        <v>36.579999999999998</v>
      </c>
      <c r="K159" s="59"/>
      <c r="L159" s="58"/>
    </row>
    <row r="160" ht="14.25">
      <c r="A160" s="55"/>
      <c r="B160" s="55"/>
      <c r="C160" s="55" t="s">
        <v>55</v>
      </c>
      <c r="D160" s="56"/>
      <c r="E160" s="57"/>
      <c r="F160" s="57"/>
      <c r="G160" s="57"/>
      <c r="H160" s="58"/>
      <c r="I160" s="59"/>
      <c r="J160" s="58">
        <f>SUM(S151:S163)+SUM(T151:T163)+SUM(X151:X163)+SUM(Y151:Y163)+SUM(Z151:Z163)</f>
        <v>36.299999999999997</v>
      </c>
      <c r="K160" s="59"/>
      <c r="L160" s="58">
        <f>SUM(AR151:AR163)+SUM(AS151:AS163)+SUM(AT151:AT163)+SUM(AU151:AU163)+SUM(AV151:AV163)</f>
        <v>2008.1200000000001</v>
      </c>
    </row>
    <row r="161" ht="28.5">
      <c r="A161" s="55"/>
      <c r="B161" s="55" t="s">
        <v>56</v>
      </c>
      <c r="C161" s="55" t="s">
        <v>57</v>
      </c>
      <c r="D161" s="56" t="s">
        <v>58</v>
      </c>
      <c r="E161" s="57">
        <f>Source!BZ31</f>
        <v>87</v>
      </c>
      <c r="F161" s="57"/>
      <c r="G161" s="57">
        <f>Source!AT31</f>
        <v>87</v>
      </c>
      <c r="H161" s="58"/>
      <c r="I161" s="59"/>
      <c r="J161" s="58">
        <f>SUM(AD151:AD163)</f>
        <v>31.580000000000002</v>
      </c>
      <c r="K161" s="59"/>
      <c r="L161" s="58">
        <f>SUM(AZ151:AZ163)</f>
        <v>1747.0599999999999</v>
      </c>
    </row>
    <row r="162" ht="28.5">
      <c r="A162" s="62"/>
      <c r="B162" s="62" t="s">
        <v>59</v>
      </c>
      <c r="C162" s="62" t="s">
        <v>60</v>
      </c>
      <c r="D162" s="63" t="s">
        <v>58</v>
      </c>
      <c r="E162" s="64">
        <f>Source!CA31</f>
        <v>44</v>
      </c>
      <c r="F162" s="64"/>
      <c r="G162" s="64">
        <f>Source!AU31</f>
        <v>44</v>
      </c>
      <c r="H162" s="65"/>
      <c r="I162" s="66"/>
      <c r="J162" s="65">
        <f>SUM(AE151:AE163)</f>
        <v>15.970000000000001</v>
      </c>
      <c r="K162" s="66"/>
      <c r="L162" s="65">
        <f>SUM(BA151:BA163)</f>
        <v>883.57000000000005</v>
      </c>
    </row>
    <row r="163" ht="15">
      <c r="C163" s="67" t="s">
        <v>61</v>
      </c>
      <c r="D163" s="67"/>
      <c r="E163" s="67"/>
      <c r="F163" s="67"/>
      <c r="G163" s="67"/>
      <c r="H163" s="67"/>
      <c r="I163" s="68">
        <f>J153+J154+J156+J161+J162</f>
        <v>84.129999999999995</v>
      </c>
      <c r="J163" s="68"/>
      <c r="O163" s="69">
        <f>J153+J154+J156+J161+J162</f>
        <v>84.129999999999995</v>
      </c>
      <c r="P163" s="69">
        <f>J154</f>
        <v>0.5</v>
      </c>
      <c r="R163" t="s">
        <v>62</v>
      </c>
      <c r="S163" s="69">
        <f>J153</f>
        <v>36.079999999999998</v>
      </c>
      <c r="U163" s="69">
        <f>J153</f>
        <v>36.079999999999998</v>
      </c>
      <c r="X163" s="69">
        <f>J155</f>
        <v>0.22</v>
      </c>
      <c r="Z163" t="s">
        <v>62</v>
      </c>
      <c r="AA163" s="69">
        <f>J156</f>
        <v>0</v>
      </c>
      <c r="AD163">
        <f>Source!X31</f>
        <v>31.580000000000002</v>
      </c>
      <c r="AE163">
        <f>Source!Y31</f>
        <v>15.970000000000001</v>
      </c>
      <c r="AN163" s="69">
        <f>L153+L154+L156+L161+L162</f>
        <v>4626.5799999999999</v>
      </c>
      <c r="AO163" s="69">
        <f>L154</f>
        <v>0</v>
      </c>
      <c r="AQ163" t="s">
        <v>62</v>
      </c>
      <c r="AR163" s="69">
        <f>L153</f>
        <v>1995.95</v>
      </c>
      <c r="AT163" s="69">
        <f>L155</f>
        <v>12.17</v>
      </c>
      <c r="AV163" t="s">
        <v>62</v>
      </c>
      <c r="AW163" s="69">
        <f>L156</f>
        <v>0</v>
      </c>
      <c r="AZ163">
        <f>Source!HK31</f>
        <v>1747.0599999999999</v>
      </c>
      <c r="BA163">
        <f>Source!HL31</f>
        <v>883.57000000000005</v>
      </c>
      <c r="BH163" s="69">
        <f>J153+J154+J156+J161+J162</f>
        <v>84.129999999999995</v>
      </c>
      <c r="CD163">
        <v>1</v>
      </c>
    </row>
    <row r="164" ht="28.5">
      <c r="A164" s="54" t="s">
        <v>76</v>
      </c>
      <c r="B164" s="55" t="str">
        <f>Source!F32</f>
        <v>17-01-003-01</v>
      </c>
      <c r="C164" s="55" t="str">
        <f>Source!G32</f>
        <v xml:space="preserve">Установка унитазов: с бачком непосредственно присоединенным</v>
      </c>
      <c r="D164" s="56" t="str">
        <f>Source!H32</f>
        <v xml:space="preserve">10 компл</v>
      </c>
      <c r="E164" s="57">
        <f>Source!K32</f>
        <v>0.29999999999999999</v>
      </c>
      <c r="F164" s="57"/>
      <c r="G164" s="57">
        <f>Source!I32</f>
        <v>0.29999999999999999</v>
      </c>
      <c r="H164" s="58"/>
      <c r="I164" s="59"/>
      <c r="J164" s="58"/>
      <c r="K164" s="59"/>
      <c r="L164" s="58"/>
    </row>
    <row r="165">
      <c r="C165" s="60" t="str">
        <f>"Объем: "&amp;Source!I32&amp;"=3/"&amp;"10"</f>
        <v xml:space="preserve">Объем: 0,3=3/10</v>
      </c>
    </row>
    <row r="166" ht="14.25">
      <c r="A166" s="55"/>
      <c r="B166" s="59">
        <v>1</v>
      </c>
      <c r="C166" s="55" t="s">
        <v>48</v>
      </c>
      <c r="D166" s="56"/>
      <c r="E166" s="57"/>
      <c r="F166" s="57"/>
      <c r="G166" s="57"/>
      <c r="H166" s="58">
        <f>Source!AO32</f>
        <v>211.12</v>
      </c>
      <c r="I166" s="59"/>
      <c r="J166" s="58">
        <f>ROUND(Source!AF32*Source!I32, 2)</f>
        <v>63.340000000000003</v>
      </c>
      <c r="K166" s="59">
        <f>IF(Source!BA32&lt;&gt; 0, Source!BA32, 1)</f>
        <v>55.32</v>
      </c>
      <c r="L166" s="58">
        <f>Source!HJ32</f>
        <v>3503.9700000000003</v>
      </c>
    </row>
    <row r="167" ht="14.25">
      <c r="A167" s="55"/>
      <c r="B167" s="59">
        <v>2</v>
      </c>
      <c r="C167" s="55" t="s">
        <v>49</v>
      </c>
      <c r="D167" s="56"/>
      <c r="E167" s="57"/>
      <c r="F167" s="57"/>
      <c r="G167" s="57"/>
      <c r="H167" s="58">
        <f>Source!AM32</f>
        <v>35.630000000000003</v>
      </c>
      <c r="I167" s="59"/>
      <c r="J167" s="58">
        <f>ROUND((((Source!ET32)-(Source!EU32))+Source!AE32)*Source!I32, 2)</f>
        <v>10.69</v>
      </c>
      <c r="K167" s="59"/>
      <c r="L167" s="58"/>
    </row>
    <row r="168" ht="14.25">
      <c r="A168" s="55"/>
      <c r="B168" s="59">
        <v>3</v>
      </c>
      <c r="C168" s="55" t="s">
        <v>50</v>
      </c>
      <c r="D168" s="56"/>
      <c r="E168" s="57"/>
      <c r="F168" s="57"/>
      <c r="G168" s="57"/>
      <c r="H168" s="58">
        <f>Source!AN32</f>
        <v>8.8399999999999999</v>
      </c>
      <c r="I168" s="59"/>
      <c r="J168" s="61">
        <f>ROUND(Source!AE32*Source!I32, 2)</f>
        <v>2.6499999999999999</v>
      </c>
      <c r="K168" s="59">
        <f>IF(Source!BS32&lt;&gt; 0, Source!BS32, 1)</f>
        <v>55.32</v>
      </c>
      <c r="L168" s="61">
        <f>Source!HI32</f>
        <v>146.59999999999999</v>
      </c>
    </row>
    <row r="169" ht="14.25">
      <c r="A169" s="55"/>
      <c r="B169" s="59">
        <v>4</v>
      </c>
      <c r="C169" s="55" t="s">
        <v>51</v>
      </c>
      <c r="D169" s="56"/>
      <c r="E169" s="57"/>
      <c r="F169" s="57"/>
      <c r="G169" s="57"/>
      <c r="H169" s="58">
        <f>Source!AL32</f>
        <v>283.52999999999997</v>
      </c>
      <c r="I169" s="59"/>
      <c r="J169" s="58">
        <f>ROUND(Source!AC32*Source!I32, 2)</f>
        <v>85.060000000000002</v>
      </c>
      <c r="K169" s="59"/>
      <c r="L169" s="58"/>
    </row>
    <row r="170" ht="14.25">
      <c r="A170" s="55"/>
      <c r="B170" s="55" t="str">
        <f>EtalonRes!I54</f>
        <v>18.2.01.06</v>
      </c>
      <c r="C170" s="55" t="str">
        <f>EtalonRes!K54</f>
        <v>Унитазы</v>
      </c>
      <c r="D170" s="56" t="str">
        <f>EtalonRes!O54</f>
        <v>КОМПЛ</v>
      </c>
      <c r="E170" s="57">
        <f>EtalonRes!X54</f>
        <v>10</v>
      </c>
      <c r="F170" s="57"/>
      <c r="G170" s="57">
        <f>ROUND(EtalonRes!AG54*Source!I32, 7)</f>
        <v>3</v>
      </c>
      <c r="H170" s="58"/>
      <c r="I170" s="59"/>
      <c r="J170" s="58"/>
      <c r="K170" s="59"/>
      <c r="L170" s="58"/>
    </row>
    <row r="171" ht="14.25">
      <c r="A171" s="55"/>
      <c r="B171" s="55"/>
      <c r="C171" s="55" t="s">
        <v>52</v>
      </c>
      <c r="D171" s="56" t="s">
        <v>30</v>
      </c>
      <c r="E171" s="57">
        <f>Source!AQ32</f>
        <v>22.199999999999999</v>
      </c>
      <c r="F171" s="57"/>
      <c r="G171" s="57">
        <f>ROUND(Source!U32, 7)</f>
        <v>6.6600000000000001</v>
      </c>
      <c r="H171" s="58"/>
      <c r="I171" s="59"/>
      <c r="J171" s="58"/>
      <c r="K171" s="59"/>
      <c r="L171" s="58"/>
    </row>
    <row r="172" ht="14.25">
      <c r="A172" s="55"/>
      <c r="B172" s="55"/>
      <c r="C172" s="62" t="s">
        <v>53</v>
      </c>
      <c r="D172" s="63" t="s">
        <v>30</v>
      </c>
      <c r="E172" s="64">
        <f>Source!AR32</f>
        <v>0.70999999999999996</v>
      </c>
      <c r="F172" s="64"/>
      <c r="G172" s="64">
        <f>ROUND(Source!V32, 7)</f>
        <v>0.21299999999999999</v>
      </c>
      <c r="H172" s="65"/>
      <c r="I172" s="66"/>
      <c r="J172" s="65"/>
      <c r="K172" s="66"/>
      <c r="L172" s="65"/>
    </row>
    <row r="173" ht="14.25">
      <c r="A173" s="55"/>
      <c r="B173" s="55"/>
      <c r="C173" s="55" t="s">
        <v>54</v>
      </c>
      <c r="D173" s="56"/>
      <c r="E173" s="57"/>
      <c r="F173" s="57"/>
      <c r="G173" s="57"/>
      <c r="H173" s="58">
        <f>H166+H167+H169</f>
        <v>530.27999999999997</v>
      </c>
      <c r="I173" s="59"/>
      <c r="J173" s="58">
        <f>J166+J167+J169</f>
        <v>159.09</v>
      </c>
      <c r="K173" s="59"/>
      <c r="L173" s="58"/>
    </row>
    <row r="174" ht="28.5">
      <c r="A174" s="54" t="s">
        <v>77</v>
      </c>
      <c r="B174" s="55" t="str">
        <f>Source!F33</f>
        <v>ТЦ_18.2.01.06_62_6229043118_1</v>
      </c>
      <c r="C174" s="55" t="s">
        <v>78</v>
      </c>
      <c r="D174" s="56" t="str">
        <f>Source!H33</f>
        <v>КОМПЛ</v>
      </c>
      <c r="E174" s="57">
        <f>SmtRes!AT46</f>
        <v>10</v>
      </c>
      <c r="F174" s="57"/>
      <c r="G174" s="57">
        <f>Source!I33</f>
        <v>3</v>
      </c>
      <c r="H174" s="58">
        <f>Source!AL33+Source!AO33+Source!AM33</f>
        <v>8750</v>
      </c>
      <c r="I174" s="59"/>
      <c r="J174" s="58">
        <f>Source!P33</f>
        <v>2748.6900000000001</v>
      </c>
      <c r="K174" s="59">
        <f>IF(Source!BC33&lt;&gt; 0, Source!BC33, 1)</f>
        <v>9.5500000000000007</v>
      </c>
      <c r="L174" s="58">
        <f>Source!HG33</f>
        <v>26250</v>
      </c>
      <c r="O174">
        <f>J174</f>
        <v>2748.6900000000001</v>
      </c>
      <c r="AA174">
        <f>J174</f>
        <v>2748.6900000000001</v>
      </c>
      <c r="AB174">
        <f>J174</f>
        <v>2748.6900000000001</v>
      </c>
      <c r="AD174">
        <f>Source!X33</f>
        <v>0</v>
      </c>
      <c r="AE174">
        <f>Source!Y33</f>
        <v>0</v>
      </c>
      <c r="AN174">
        <f>L174</f>
        <v>26250</v>
      </c>
      <c r="AW174">
        <f>L174</f>
        <v>26250</v>
      </c>
      <c r="AX174">
        <f>L174</f>
        <v>26250</v>
      </c>
      <c r="AZ174">
        <f>Source!HK33</f>
        <v>0</v>
      </c>
      <c r="BA174">
        <f>Source!HL33</f>
        <v>0</v>
      </c>
      <c r="BH174">
        <f>J174</f>
        <v>2748.6900000000001</v>
      </c>
      <c r="CD174">
        <v>1</v>
      </c>
    </row>
    <row r="175" ht="14.25">
      <c r="A175" s="55"/>
      <c r="B175" s="55"/>
      <c r="C175" s="55" t="s">
        <v>55</v>
      </c>
      <c r="D175" s="56"/>
      <c r="E175" s="57"/>
      <c r="F175" s="57"/>
      <c r="G175" s="57"/>
      <c r="H175" s="58"/>
      <c r="I175" s="59"/>
      <c r="J175" s="58">
        <f>SUM(S164:S178)+SUM(T164:T178)+SUM(X164:X178)+SUM(Y164:Y178)+SUM(Z164:Z178)</f>
        <v>65.990000000000009</v>
      </c>
      <c r="K175" s="59"/>
      <c r="L175" s="58">
        <f>SUM(AR164:AR178)+SUM(AS164:AS178)+SUM(AT164:AT178)+SUM(AU164:AU178)+SUM(AV164:AV178)</f>
        <v>3650.5700000000002</v>
      </c>
    </row>
    <row r="176" ht="71.25">
      <c r="A176" s="55"/>
      <c r="B176" s="55" t="s">
        <v>79</v>
      </c>
      <c r="C176" s="55" t="s">
        <v>80</v>
      </c>
      <c r="D176" s="56" t="s">
        <v>58</v>
      </c>
      <c r="E176" s="57">
        <f>Source!BZ32</f>
        <v>121</v>
      </c>
      <c r="F176" s="57"/>
      <c r="G176" s="57">
        <f>Source!AT32</f>
        <v>121</v>
      </c>
      <c r="H176" s="58"/>
      <c r="I176" s="59"/>
      <c r="J176" s="58">
        <f>SUM(AD164:AD178)</f>
        <v>79.850000000000009</v>
      </c>
      <c r="K176" s="59"/>
      <c r="L176" s="58">
        <f>SUM(AZ164:AZ178)</f>
        <v>4417.1900000000005</v>
      </c>
    </row>
    <row r="177" ht="71.25">
      <c r="A177" s="62"/>
      <c r="B177" s="62" t="s">
        <v>81</v>
      </c>
      <c r="C177" s="62" t="s">
        <v>82</v>
      </c>
      <c r="D177" s="63" t="s">
        <v>58</v>
      </c>
      <c r="E177" s="64">
        <f>Source!CA32</f>
        <v>72</v>
      </c>
      <c r="F177" s="64"/>
      <c r="G177" s="64">
        <f>Source!AU32</f>
        <v>72</v>
      </c>
      <c r="H177" s="65"/>
      <c r="I177" s="66"/>
      <c r="J177" s="65">
        <f>SUM(AE164:AE178)</f>
        <v>47.509999999999998</v>
      </c>
      <c r="K177" s="66"/>
      <c r="L177" s="65">
        <f>SUM(BA164:BA178)</f>
        <v>2628.4099999999999</v>
      </c>
    </row>
    <row r="178" ht="15">
      <c r="C178" s="67" t="s">
        <v>61</v>
      </c>
      <c r="D178" s="67"/>
      <c r="E178" s="67"/>
      <c r="F178" s="67"/>
      <c r="G178" s="67"/>
      <c r="H178" s="67"/>
      <c r="I178" s="68">
        <f>J166+J167+J169+J176+J177+SUM(J174:J174)-SUMIF(CE174:CE174, 1, J174:J174)</f>
        <v>3035.1399999999999</v>
      </c>
      <c r="J178" s="68"/>
      <c r="O178" s="69">
        <f>J166+J167+J169+J176+J177</f>
        <v>286.44999999999999</v>
      </c>
      <c r="P178" s="69">
        <f>J167</f>
        <v>10.69</v>
      </c>
      <c r="R178" t="s">
        <v>62</v>
      </c>
      <c r="S178" s="69">
        <f>J166</f>
        <v>63.340000000000003</v>
      </c>
      <c r="U178" s="69">
        <f>J166</f>
        <v>63.340000000000003</v>
      </c>
      <c r="X178" s="69">
        <f>J168</f>
        <v>2.6499999999999999</v>
      </c>
      <c r="Z178" t="s">
        <v>62</v>
      </c>
      <c r="AA178" s="69">
        <f>J169</f>
        <v>85.060000000000002</v>
      </c>
      <c r="AD178">
        <f>Source!X32</f>
        <v>79.850000000000009</v>
      </c>
      <c r="AE178">
        <f>Source!Y32</f>
        <v>47.509999999999998</v>
      </c>
      <c r="AN178" s="69">
        <f>L166+L167+L169+L176+L177</f>
        <v>10549.57</v>
      </c>
      <c r="AO178" s="69">
        <f>L167</f>
        <v>0</v>
      </c>
      <c r="AQ178" t="s">
        <v>62</v>
      </c>
      <c r="AR178" s="69">
        <f>L166</f>
        <v>3503.9700000000003</v>
      </c>
      <c r="AT178" s="69">
        <f>L168</f>
        <v>146.59999999999999</v>
      </c>
      <c r="AV178" t="s">
        <v>62</v>
      </c>
      <c r="AW178" s="69">
        <f>L169</f>
        <v>0</v>
      </c>
      <c r="AZ178">
        <f>Source!HK32</f>
        <v>4417.1900000000005</v>
      </c>
      <c r="BA178">
        <f>Source!HL32</f>
        <v>2628.4099999999999</v>
      </c>
      <c r="BH178" s="69">
        <f>J166+J167+J169+J176+J177</f>
        <v>286.44999999999999</v>
      </c>
      <c r="CD178">
        <v>1</v>
      </c>
    </row>
    <row r="179" ht="14.25">
      <c r="A179" s="54" t="s">
        <v>83</v>
      </c>
      <c r="B179" s="55" t="str">
        <f>Source!F34</f>
        <v>17-01-005-04</v>
      </c>
      <c r="C179" s="55" t="str">
        <f>Source!G34</f>
        <v xml:space="preserve">Установка раковин</v>
      </c>
      <c r="D179" s="56" t="str">
        <f>Source!H34</f>
        <v xml:space="preserve">10 компл</v>
      </c>
      <c r="E179" s="57">
        <f>Source!K34</f>
        <v>0.5</v>
      </c>
      <c r="F179" s="57"/>
      <c r="G179" s="57">
        <f>Source!I34</f>
        <v>0.5</v>
      </c>
      <c r="H179" s="58"/>
      <c r="I179" s="59"/>
      <c r="J179" s="58"/>
      <c r="K179" s="59"/>
      <c r="L179" s="58"/>
    </row>
    <row r="180">
      <c r="C180" s="60" t="str">
        <f>"Объем: "&amp;Source!I34&amp;"=5/"&amp;"10"</f>
        <v xml:space="preserve">Объем: 0,5=5/10</v>
      </c>
    </row>
    <row r="181" ht="14.25">
      <c r="A181" s="55"/>
      <c r="B181" s="59">
        <v>1</v>
      </c>
      <c r="C181" s="55" t="s">
        <v>48</v>
      </c>
      <c r="D181" s="56"/>
      <c r="E181" s="57"/>
      <c r="F181" s="57"/>
      <c r="G181" s="57"/>
      <c r="H181" s="58">
        <f>Source!AO34</f>
        <v>77.920000000000002</v>
      </c>
      <c r="I181" s="59"/>
      <c r="J181" s="58">
        <f>ROUND(Source!AF34*Source!I34, 2)</f>
        <v>38.960000000000001</v>
      </c>
      <c r="K181" s="59">
        <f>IF(Source!BA34&lt;&gt; 0, Source!BA34, 1)</f>
        <v>55.32</v>
      </c>
      <c r="L181" s="58">
        <f>Source!HJ34</f>
        <v>2155.27</v>
      </c>
    </row>
    <row r="182" ht="14.25">
      <c r="A182" s="55"/>
      <c r="B182" s="59">
        <v>2</v>
      </c>
      <c r="C182" s="55" t="s">
        <v>49</v>
      </c>
      <c r="D182" s="56"/>
      <c r="E182" s="57"/>
      <c r="F182" s="57"/>
      <c r="G182" s="57"/>
      <c r="H182" s="58">
        <f>Source!AM34</f>
        <v>11.390000000000001</v>
      </c>
      <c r="I182" s="59"/>
      <c r="J182" s="58">
        <f>ROUND((((Source!ET34)-(Source!EU34))+Source!AE34)*Source!I34, 2)</f>
        <v>5.7000000000000002</v>
      </c>
      <c r="K182" s="59"/>
      <c r="L182" s="58"/>
    </row>
    <row r="183" ht="14.25">
      <c r="A183" s="55"/>
      <c r="B183" s="59">
        <v>3</v>
      </c>
      <c r="C183" s="55" t="s">
        <v>50</v>
      </c>
      <c r="D183" s="56"/>
      <c r="E183" s="57"/>
      <c r="F183" s="57"/>
      <c r="G183" s="57"/>
      <c r="H183" s="58">
        <f>Source!AN34</f>
        <v>2.5699999999999998</v>
      </c>
      <c r="I183" s="59"/>
      <c r="J183" s="61">
        <f>ROUND(Source!AE34*Source!I34, 2)</f>
        <v>1.29</v>
      </c>
      <c r="K183" s="59">
        <f>IF(Source!BS34&lt;&gt; 0, Source!BS34, 1)</f>
        <v>55.32</v>
      </c>
      <c r="L183" s="61">
        <f>Source!HI34</f>
        <v>71.359999999999999</v>
      </c>
    </row>
    <row r="184" ht="14.25">
      <c r="A184" s="55"/>
      <c r="B184" s="59">
        <v>4</v>
      </c>
      <c r="C184" s="55" t="s">
        <v>51</v>
      </c>
      <c r="D184" s="56"/>
      <c r="E184" s="57"/>
      <c r="F184" s="57"/>
      <c r="G184" s="57"/>
      <c r="H184" s="58">
        <f>Source!AL34</f>
        <v>111.06999999999999</v>
      </c>
      <c r="I184" s="59"/>
      <c r="J184" s="58">
        <f>ROUND(Source!AC34*Source!I34, 2)</f>
        <v>55.539999999999999</v>
      </c>
      <c r="K184" s="59"/>
      <c r="L184" s="58"/>
    </row>
    <row r="185" ht="14.25">
      <c r="A185" s="55"/>
      <c r="B185" s="55" t="str">
        <f>EtalonRes!I67</f>
        <v>18.2.02.08</v>
      </c>
      <c r="C185" s="55" t="str">
        <f>EtalonRes!K67</f>
        <v xml:space="preserve">Раковины и умывальники</v>
      </c>
      <c r="D185" s="56" t="str">
        <f>EtalonRes!O67</f>
        <v>КОМПЛ</v>
      </c>
      <c r="E185" s="57">
        <f>EtalonRes!X67</f>
        <v>10</v>
      </c>
      <c r="F185" s="57"/>
      <c r="G185" s="57">
        <f>ROUND(EtalonRes!AG67*Source!I34, 7)</f>
        <v>5</v>
      </c>
      <c r="H185" s="58"/>
      <c r="I185" s="59"/>
      <c r="J185" s="58"/>
      <c r="K185" s="59"/>
      <c r="L185" s="58"/>
    </row>
    <row r="186" ht="14.25">
      <c r="A186" s="55"/>
      <c r="B186" s="55"/>
      <c r="C186" s="55" t="s">
        <v>52</v>
      </c>
      <c r="D186" s="56" t="s">
        <v>30</v>
      </c>
      <c r="E186" s="57">
        <f>Source!AQ34</f>
        <v>8.0999999999999996</v>
      </c>
      <c r="F186" s="57"/>
      <c r="G186" s="57">
        <f>ROUND(Source!U34, 7)</f>
        <v>4.0499999999999998</v>
      </c>
      <c r="H186" s="58"/>
      <c r="I186" s="59"/>
      <c r="J186" s="58"/>
      <c r="K186" s="59"/>
      <c r="L186" s="58"/>
    </row>
    <row r="187" ht="14.25">
      <c r="A187" s="55"/>
      <c r="B187" s="55"/>
      <c r="C187" s="62" t="s">
        <v>53</v>
      </c>
      <c r="D187" s="63" t="s">
        <v>30</v>
      </c>
      <c r="E187" s="64">
        <f>Source!AR34</f>
        <v>0.20999999999999999</v>
      </c>
      <c r="F187" s="64"/>
      <c r="G187" s="64">
        <f>ROUND(Source!V34, 7)</f>
        <v>0.105</v>
      </c>
      <c r="H187" s="65"/>
      <c r="I187" s="66"/>
      <c r="J187" s="65"/>
      <c r="K187" s="66"/>
      <c r="L187" s="65"/>
    </row>
    <row r="188" ht="14.25">
      <c r="A188" s="55"/>
      <c r="B188" s="55"/>
      <c r="C188" s="55" t="s">
        <v>54</v>
      </c>
      <c r="D188" s="56"/>
      <c r="E188" s="57"/>
      <c r="F188" s="57"/>
      <c r="G188" s="57"/>
      <c r="H188" s="58">
        <f>H181+H182+H184</f>
        <v>200.38</v>
      </c>
      <c r="I188" s="59"/>
      <c r="J188" s="58">
        <f>J181+J182+J184</f>
        <v>100.2</v>
      </c>
      <c r="K188" s="59"/>
      <c r="L188" s="58"/>
    </row>
    <row r="189" ht="28.5">
      <c r="A189" s="54" t="s">
        <v>84</v>
      </c>
      <c r="B189" s="55" t="str">
        <f>Source!F35</f>
        <v>ТЦ_18.2.08.06_62_6229043118_1</v>
      </c>
      <c r="C189" s="55" t="s">
        <v>85</v>
      </c>
      <c r="D189" s="56" t="str">
        <f>Source!H35</f>
        <v>КОМПЛ</v>
      </c>
      <c r="E189" s="57">
        <f>SmtRes!AT59</f>
        <v>10</v>
      </c>
      <c r="F189" s="57"/>
      <c r="G189" s="57">
        <f>Source!I35</f>
        <v>5</v>
      </c>
      <c r="H189" s="58">
        <f>Source!AL35+Source!AO35+Source!AM35</f>
        <v>5416.6700000000001</v>
      </c>
      <c r="I189" s="59"/>
      <c r="J189" s="58">
        <f>Source!P35</f>
        <v>2835.9500000000003</v>
      </c>
      <c r="K189" s="59">
        <f>IF(Source!BC35&lt;&gt; 0, Source!BC35, 1)</f>
        <v>9.5500000000000007</v>
      </c>
      <c r="L189" s="58">
        <f>Source!HG35</f>
        <v>27083.350000000002</v>
      </c>
      <c r="O189">
        <f>J189</f>
        <v>2835.9500000000003</v>
      </c>
      <c r="AA189">
        <f>J189</f>
        <v>2835.9500000000003</v>
      </c>
      <c r="AB189">
        <f>J189</f>
        <v>2835.9500000000003</v>
      </c>
      <c r="AD189">
        <f>Source!X35</f>
        <v>0</v>
      </c>
      <c r="AE189">
        <f>Source!Y35</f>
        <v>0</v>
      </c>
      <c r="AN189">
        <f>L189</f>
        <v>27083.350000000002</v>
      </c>
      <c r="AW189">
        <f>L189</f>
        <v>27083.350000000002</v>
      </c>
      <c r="AX189">
        <f>L189</f>
        <v>27083.350000000002</v>
      </c>
      <c r="AZ189">
        <f>Source!HK35</f>
        <v>0</v>
      </c>
      <c r="BA189">
        <f>Source!HL35</f>
        <v>0</v>
      </c>
      <c r="BH189">
        <f>J189</f>
        <v>2835.9500000000003</v>
      </c>
      <c r="CD189">
        <v>1</v>
      </c>
    </row>
    <row r="190" ht="14.25">
      <c r="A190" s="55"/>
      <c r="B190" s="55"/>
      <c r="C190" s="55" t="s">
        <v>55</v>
      </c>
      <c r="D190" s="56"/>
      <c r="E190" s="57"/>
      <c r="F190" s="57"/>
      <c r="G190" s="57"/>
      <c r="H190" s="58"/>
      <c r="I190" s="59"/>
      <c r="J190" s="58">
        <f>SUM(S179:S193)+SUM(T179:T193)+SUM(X179:X193)+SUM(Y179:Y193)+SUM(Z179:Z193)</f>
        <v>40.25</v>
      </c>
      <c r="K190" s="59"/>
      <c r="L190" s="58">
        <f>SUM(AR179:AR193)+SUM(AS179:AS193)+SUM(AT179:AT193)+SUM(AU179:AU193)+SUM(AV179:AV193)</f>
        <v>2226.6300000000001</v>
      </c>
    </row>
    <row r="191" ht="71.25">
      <c r="A191" s="55"/>
      <c r="B191" s="55" t="s">
        <v>79</v>
      </c>
      <c r="C191" s="55" t="s">
        <v>80</v>
      </c>
      <c r="D191" s="56" t="s">
        <v>58</v>
      </c>
      <c r="E191" s="57">
        <f>Source!BZ34</f>
        <v>121</v>
      </c>
      <c r="F191" s="57"/>
      <c r="G191" s="57">
        <f>Source!AT34</f>
        <v>121</v>
      </c>
      <c r="H191" s="58"/>
      <c r="I191" s="59"/>
      <c r="J191" s="58">
        <f>SUM(AD179:AD193)</f>
        <v>48.700000000000003</v>
      </c>
      <c r="K191" s="59"/>
      <c r="L191" s="58">
        <f>SUM(AZ179:AZ193)</f>
        <v>2694.2200000000003</v>
      </c>
    </row>
    <row r="192" ht="71.25">
      <c r="A192" s="62"/>
      <c r="B192" s="62" t="s">
        <v>81</v>
      </c>
      <c r="C192" s="62" t="s">
        <v>82</v>
      </c>
      <c r="D192" s="63" t="s">
        <v>58</v>
      </c>
      <c r="E192" s="64">
        <f>Source!CA34</f>
        <v>72</v>
      </c>
      <c r="F192" s="64"/>
      <c r="G192" s="64">
        <f>Source!AU34</f>
        <v>72</v>
      </c>
      <c r="H192" s="65"/>
      <c r="I192" s="66"/>
      <c r="J192" s="65">
        <f>SUM(AE179:AE193)</f>
        <v>28.98</v>
      </c>
      <c r="K192" s="66"/>
      <c r="L192" s="65">
        <f>SUM(BA179:BA193)</f>
        <v>1603.1700000000001</v>
      </c>
    </row>
    <row r="193" ht="15">
      <c r="C193" s="67" t="s">
        <v>61</v>
      </c>
      <c r="D193" s="67"/>
      <c r="E193" s="67"/>
      <c r="F193" s="67"/>
      <c r="G193" s="67"/>
      <c r="H193" s="67"/>
      <c r="I193" s="68">
        <f>J181+J182+J184+J191+J192+SUM(J189:J189)-SUMIF(CE189:CE189, 1, J189:J189)</f>
        <v>3013.8300000000004</v>
      </c>
      <c r="J193" s="68"/>
      <c r="O193" s="69">
        <f>J181+J182+J184+J191+J192</f>
        <v>177.88</v>
      </c>
      <c r="P193" s="69">
        <f>J182</f>
        <v>5.7000000000000002</v>
      </c>
      <c r="R193" t="s">
        <v>62</v>
      </c>
      <c r="S193" s="69">
        <f>J181</f>
        <v>38.960000000000001</v>
      </c>
      <c r="U193" s="69">
        <f>J181</f>
        <v>38.960000000000001</v>
      </c>
      <c r="X193" s="69">
        <f>J183</f>
        <v>1.29</v>
      </c>
      <c r="Z193" t="s">
        <v>62</v>
      </c>
      <c r="AA193" s="69">
        <f>J184</f>
        <v>55.539999999999999</v>
      </c>
      <c r="AD193">
        <f>Source!X34</f>
        <v>48.700000000000003</v>
      </c>
      <c r="AE193">
        <f>Source!Y34</f>
        <v>28.98</v>
      </c>
      <c r="AN193" s="69">
        <f>L181+L182+L184+L191+L192</f>
        <v>6452.6599999999999</v>
      </c>
      <c r="AO193" s="69">
        <f>L182</f>
        <v>0</v>
      </c>
      <c r="AQ193" t="s">
        <v>62</v>
      </c>
      <c r="AR193" s="69">
        <f>L181</f>
        <v>2155.27</v>
      </c>
      <c r="AT193" s="69">
        <f>L183</f>
        <v>71.359999999999999</v>
      </c>
      <c r="AV193" t="s">
        <v>62</v>
      </c>
      <c r="AW193" s="69">
        <f>L184</f>
        <v>0</v>
      </c>
      <c r="AZ193">
        <f>Source!HK34</f>
        <v>2694.2200000000003</v>
      </c>
      <c r="BA193">
        <f>Source!HL34</f>
        <v>1603.1700000000001</v>
      </c>
      <c r="BH193" s="69">
        <f>J181+J182+J184+J191+J192</f>
        <v>177.88</v>
      </c>
      <c r="CD193">
        <v>1</v>
      </c>
    </row>
    <row r="194" ht="14.25">
      <c r="A194" s="54" t="s">
        <v>86</v>
      </c>
      <c r="B194" s="55" t="str">
        <f>Source!F36</f>
        <v>10-01-059-01</v>
      </c>
      <c r="C194" s="55" t="str">
        <f>Source!G36</f>
        <v xml:space="preserve">Установка стумбы под раковину</v>
      </c>
      <c r="D194" s="56" t="str">
        <f>Source!H36</f>
        <v xml:space="preserve">100 ШТ</v>
      </c>
      <c r="E194" s="57">
        <f>Source!K36</f>
        <v>0.049999999999999996</v>
      </c>
      <c r="F194" s="57"/>
      <c r="G194" s="57">
        <f>Source!I36</f>
        <v>0.049999999999999996</v>
      </c>
      <c r="H194" s="58"/>
      <c r="I194" s="59"/>
      <c r="J194" s="58"/>
      <c r="K194" s="59"/>
      <c r="L194" s="58"/>
    </row>
    <row r="195">
      <c r="C195" s="60" t="str">
        <f>"Объем: "&amp;Source!I36&amp;"=5/"&amp;"100"</f>
        <v xml:space="preserve">Объем: 0,049999999999999996=5/100</v>
      </c>
    </row>
    <row r="196" ht="14.25">
      <c r="A196" s="55"/>
      <c r="B196" s="59">
        <v>1</v>
      </c>
      <c r="C196" s="55" t="s">
        <v>48</v>
      </c>
      <c r="D196" s="56"/>
      <c r="E196" s="57"/>
      <c r="F196" s="57"/>
      <c r="G196" s="57"/>
      <c r="H196" s="58">
        <f>Source!AO36</f>
        <v>542.95000000000005</v>
      </c>
      <c r="I196" s="59"/>
      <c r="J196" s="58">
        <f>ROUND(Source!AF36*Source!I36, 2)</f>
        <v>27.150000000000002</v>
      </c>
      <c r="K196" s="59">
        <f>IF(Source!BA36&lt;&gt; 0, Source!BA36, 1)</f>
        <v>55.32</v>
      </c>
      <c r="L196" s="58">
        <f>Source!HJ36</f>
        <v>1501.9400000000001</v>
      </c>
    </row>
    <row r="197" ht="14.25">
      <c r="A197" s="55"/>
      <c r="B197" s="59">
        <v>2</v>
      </c>
      <c r="C197" s="55" t="s">
        <v>49</v>
      </c>
      <c r="D197" s="56"/>
      <c r="E197" s="57"/>
      <c r="F197" s="57"/>
      <c r="G197" s="57"/>
      <c r="H197" s="58">
        <f>Source!AM36</f>
        <v>216.38</v>
      </c>
      <c r="I197" s="59"/>
      <c r="J197" s="58">
        <f>ROUND((((Source!ET36)-(Source!EU36))+Source!AE36)*Source!I36, 2)</f>
        <v>10.82</v>
      </c>
      <c r="K197" s="59"/>
      <c r="L197" s="58"/>
    </row>
    <row r="198" ht="14.25">
      <c r="A198" s="55"/>
      <c r="B198" s="59">
        <v>3</v>
      </c>
      <c r="C198" s="55" t="s">
        <v>50</v>
      </c>
      <c r="D198" s="56"/>
      <c r="E198" s="57"/>
      <c r="F198" s="57"/>
      <c r="G198" s="57"/>
      <c r="H198" s="58">
        <f>Source!AN36</f>
        <v>52.009999999999998</v>
      </c>
      <c r="I198" s="59"/>
      <c r="J198" s="61">
        <f>ROUND(Source!AE36*Source!I36, 2)</f>
        <v>2.6000000000000001</v>
      </c>
      <c r="K198" s="59">
        <f>IF(Source!BS36&lt;&gt; 0, Source!BS36, 1)</f>
        <v>55.32</v>
      </c>
      <c r="L198" s="61">
        <f>Source!HI36</f>
        <v>143.83000000000001</v>
      </c>
    </row>
    <row r="199" ht="14.25">
      <c r="A199" s="55"/>
      <c r="B199" s="59">
        <v>4</v>
      </c>
      <c r="C199" s="55" t="s">
        <v>51</v>
      </c>
      <c r="D199" s="56"/>
      <c r="E199" s="57"/>
      <c r="F199" s="57"/>
      <c r="G199" s="57"/>
      <c r="H199" s="58">
        <f>Source!AL36</f>
        <v>1633.3599999999999</v>
      </c>
      <c r="I199" s="59"/>
      <c r="J199" s="58">
        <f>ROUND(Source!AC36*Source!I36, 2)</f>
        <v>81.670000000000002</v>
      </c>
      <c r="K199" s="59"/>
      <c r="L199" s="58"/>
    </row>
    <row r="200" ht="14.25">
      <c r="A200" s="55"/>
      <c r="B200" s="55" t="str">
        <f>EtalonRes!I74</f>
        <v>11.2.07.12</v>
      </c>
      <c r="C200" s="55" t="str">
        <f>EtalonRes!K74</f>
        <v xml:space="preserve">Изделия штучные</v>
      </c>
      <c r="D200" s="56" t="str">
        <f>EtalonRes!O74</f>
        <v>ШТ</v>
      </c>
      <c r="E200" s="57">
        <f>EtalonRes!X74</f>
        <v>100</v>
      </c>
      <c r="F200" s="57"/>
      <c r="G200" s="57">
        <f>ROUND(EtalonRes!AG74*Source!I36, 7)</f>
        <v>5</v>
      </c>
      <c r="H200" s="58"/>
      <c r="I200" s="59"/>
      <c r="J200" s="58"/>
      <c r="K200" s="59"/>
      <c r="L200" s="58"/>
    </row>
    <row r="201" ht="14.25">
      <c r="A201" s="55"/>
      <c r="B201" s="55"/>
      <c r="C201" s="55" t="s">
        <v>52</v>
      </c>
      <c r="D201" s="56" t="s">
        <v>30</v>
      </c>
      <c r="E201" s="57">
        <f>Source!AQ36</f>
        <v>67.700000000000003</v>
      </c>
      <c r="F201" s="57"/>
      <c r="G201" s="57">
        <f>ROUND(Source!U36, 7)</f>
        <v>3.3849999999999998</v>
      </c>
      <c r="H201" s="58"/>
      <c r="I201" s="59"/>
      <c r="J201" s="58"/>
      <c r="K201" s="59"/>
      <c r="L201" s="58"/>
    </row>
    <row r="202" ht="14.25">
      <c r="A202" s="55"/>
      <c r="B202" s="55"/>
      <c r="C202" s="62" t="s">
        <v>53</v>
      </c>
      <c r="D202" s="63" t="s">
        <v>30</v>
      </c>
      <c r="E202" s="64">
        <f>Source!AR36</f>
        <v>4.2000000000000002</v>
      </c>
      <c r="F202" s="64"/>
      <c r="G202" s="64">
        <f>ROUND(Source!V36, 7)</f>
        <v>0.20999999999999999</v>
      </c>
      <c r="H202" s="65"/>
      <c r="I202" s="66"/>
      <c r="J202" s="65"/>
      <c r="K202" s="66"/>
      <c r="L202" s="65"/>
    </row>
    <row r="203" ht="14.25">
      <c r="A203" s="55"/>
      <c r="B203" s="55"/>
      <c r="C203" s="55" t="s">
        <v>54</v>
      </c>
      <c r="D203" s="56"/>
      <c r="E203" s="57"/>
      <c r="F203" s="57"/>
      <c r="G203" s="57"/>
      <c r="H203" s="58">
        <f>H196+H197+H199</f>
        <v>2392.6900000000001</v>
      </c>
      <c r="I203" s="59"/>
      <c r="J203" s="58">
        <f>J196+J197+J199</f>
        <v>119.64</v>
      </c>
      <c r="K203" s="59"/>
      <c r="L203" s="58"/>
    </row>
    <row r="204" ht="28.5">
      <c r="A204" s="54" t="s">
        <v>87</v>
      </c>
      <c r="B204" s="55" t="str">
        <f>Source!F37</f>
        <v>ТЦ_11.2.07.12_62_6229043118_1</v>
      </c>
      <c r="C204" s="55" t="s">
        <v>88</v>
      </c>
      <c r="D204" s="56" t="str">
        <f>Source!H37</f>
        <v>ШТ</v>
      </c>
      <c r="E204" s="57">
        <f>SmtRes!AT67</f>
        <v>100</v>
      </c>
      <c r="F204" s="57"/>
      <c r="G204" s="57">
        <f>Source!I37</f>
        <v>5</v>
      </c>
      <c r="H204" s="58">
        <f>Source!AL37+Source!AO37+Source!AM37</f>
        <v>4166.6700000000001</v>
      </c>
      <c r="I204" s="59"/>
      <c r="J204" s="58">
        <f>Source!P37</f>
        <v>2181.5</v>
      </c>
      <c r="K204" s="59">
        <f>IF(Source!BC37&lt;&gt; 0, Source!BC37, 1)</f>
        <v>9.5500000000000007</v>
      </c>
      <c r="L204" s="58">
        <f>Source!HG37</f>
        <v>20833.350000000002</v>
      </c>
      <c r="O204">
        <f>J204</f>
        <v>2181.5</v>
      </c>
      <c r="AA204">
        <f>J204</f>
        <v>2181.5</v>
      </c>
      <c r="AB204">
        <f>J204</f>
        <v>2181.5</v>
      </c>
      <c r="AD204">
        <f>Source!X37</f>
        <v>0</v>
      </c>
      <c r="AE204">
        <f>Source!Y37</f>
        <v>0</v>
      </c>
      <c r="AN204">
        <f>L204</f>
        <v>20833.350000000002</v>
      </c>
      <c r="AW204">
        <f>L204</f>
        <v>20833.350000000002</v>
      </c>
      <c r="AX204">
        <f>L204</f>
        <v>20833.350000000002</v>
      </c>
      <c r="AZ204">
        <f>Source!HK37</f>
        <v>0</v>
      </c>
      <c r="BA204">
        <f>Source!HL37</f>
        <v>0</v>
      </c>
      <c r="BH204">
        <f>J204</f>
        <v>2181.5</v>
      </c>
      <c r="CD204">
        <v>1</v>
      </c>
    </row>
    <row r="205" ht="14.25">
      <c r="A205" s="55"/>
      <c r="B205" s="55"/>
      <c r="C205" s="55" t="s">
        <v>55</v>
      </c>
      <c r="D205" s="56"/>
      <c r="E205" s="57"/>
      <c r="F205" s="57"/>
      <c r="G205" s="57"/>
      <c r="H205" s="58"/>
      <c r="I205" s="59"/>
      <c r="J205" s="58">
        <f>SUM(S194:S208)+SUM(T194:T208)+SUM(X194:X208)+SUM(Y194:Y208)+SUM(Z194:Z208)</f>
        <v>29.750000000000004</v>
      </c>
      <c r="K205" s="59"/>
      <c r="L205" s="58">
        <f>SUM(AR194:AR208)+SUM(AS194:AS208)+SUM(AT194:AT208)+SUM(AU194:AU208)+SUM(AV194:AV208)</f>
        <v>1645.77</v>
      </c>
    </row>
    <row r="206" ht="14.25">
      <c r="A206" s="55"/>
      <c r="B206" s="55" t="s">
        <v>67</v>
      </c>
      <c r="C206" s="55" t="s">
        <v>68</v>
      </c>
      <c r="D206" s="56" t="s">
        <v>58</v>
      </c>
      <c r="E206" s="57">
        <f>Source!BZ36</f>
        <v>108</v>
      </c>
      <c r="F206" s="57"/>
      <c r="G206" s="57">
        <f>Source!AT36</f>
        <v>108</v>
      </c>
      <c r="H206" s="58"/>
      <c r="I206" s="59"/>
      <c r="J206" s="58">
        <f>SUM(AD194:AD208)</f>
        <v>32.130000000000003</v>
      </c>
      <c r="K206" s="59"/>
      <c r="L206" s="58">
        <f>SUM(AZ194:AZ208)</f>
        <v>1777.4300000000001</v>
      </c>
    </row>
    <row r="207" ht="14.25">
      <c r="A207" s="62"/>
      <c r="B207" s="62" t="s">
        <v>69</v>
      </c>
      <c r="C207" s="62" t="s">
        <v>70</v>
      </c>
      <c r="D207" s="63" t="s">
        <v>58</v>
      </c>
      <c r="E207" s="64">
        <f>Source!CA36</f>
        <v>55</v>
      </c>
      <c r="F207" s="64"/>
      <c r="G207" s="64">
        <f>Source!AU36</f>
        <v>55</v>
      </c>
      <c r="H207" s="65"/>
      <c r="I207" s="66"/>
      <c r="J207" s="65">
        <f>SUM(AE194:AE208)</f>
        <v>16.359999999999999</v>
      </c>
      <c r="K207" s="66"/>
      <c r="L207" s="65">
        <f>SUM(BA194:BA208)</f>
        <v>905.17000000000007</v>
      </c>
    </row>
    <row r="208" ht="15">
      <c r="C208" s="67" t="s">
        <v>61</v>
      </c>
      <c r="D208" s="67"/>
      <c r="E208" s="67"/>
      <c r="F208" s="67"/>
      <c r="G208" s="67"/>
      <c r="H208" s="67"/>
      <c r="I208" s="68">
        <f>J196+J197+J199+J206+J207+SUM(J204:J204)-SUMIF(CE204:CE204, 1, J204:J204)</f>
        <v>2349.6300000000001</v>
      </c>
      <c r="J208" s="68"/>
      <c r="O208" s="69">
        <f>J196+J197+J199+J206+J207</f>
        <v>168.13</v>
      </c>
      <c r="P208" s="69">
        <f>J197</f>
        <v>10.82</v>
      </c>
      <c r="R208" t="s">
        <v>62</v>
      </c>
      <c r="S208" s="69">
        <f>J196</f>
        <v>27.150000000000002</v>
      </c>
      <c r="U208" s="69">
        <f>J196</f>
        <v>27.150000000000002</v>
      </c>
      <c r="X208" s="69">
        <f>J198</f>
        <v>2.6000000000000001</v>
      </c>
      <c r="Z208" t="s">
        <v>62</v>
      </c>
      <c r="AA208" s="69">
        <f>J199</f>
        <v>81.670000000000002</v>
      </c>
      <c r="AD208">
        <f>Source!X36</f>
        <v>32.130000000000003</v>
      </c>
      <c r="AE208">
        <f>Source!Y36</f>
        <v>16.359999999999999</v>
      </c>
      <c r="AN208" s="69">
        <f>L196+L197+L199+L206+L207</f>
        <v>4184.54</v>
      </c>
      <c r="AO208" s="69">
        <f>L197</f>
        <v>0</v>
      </c>
      <c r="AQ208" t="s">
        <v>62</v>
      </c>
      <c r="AR208" s="69">
        <f>L196</f>
        <v>1501.9400000000001</v>
      </c>
      <c r="AT208" s="69">
        <f>L198</f>
        <v>143.83000000000001</v>
      </c>
      <c r="AV208" t="s">
        <v>62</v>
      </c>
      <c r="AW208" s="69">
        <f>L199</f>
        <v>0</v>
      </c>
      <c r="AZ208">
        <f>Source!HK36</f>
        <v>1777.4300000000001</v>
      </c>
      <c r="BA208">
        <f>Source!HL36</f>
        <v>905.17000000000007</v>
      </c>
      <c r="BH208" s="69">
        <f>J196+J197+J199+J206+J207</f>
        <v>168.13</v>
      </c>
      <c r="CD208">
        <v>1</v>
      </c>
    </row>
    <row r="209" ht="42.75">
      <c r="A209" s="54" t="s">
        <v>89</v>
      </c>
      <c r="B209" s="55" t="str">
        <f>Source!F38</f>
        <v>16-04-004-01</v>
      </c>
      <c r="C209" s="55" t="str">
        <f>Source!G38</f>
        <v xml:space="preserve">Прокладка внутренних трубопроводов канализации из полипропиленовых труб диаметром: 50 мм</v>
      </c>
      <c r="D209" s="56" t="str">
        <f>Source!H38</f>
        <v xml:space="preserve">100 м</v>
      </c>
      <c r="E209" s="57">
        <f>Source!K38</f>
        <v>0.099999999999999992</v>
      </c>
      <c r="F209" s="57"/>
      <c r="G209" s="57">
        <f>Source!I38</f>
        <v>0.099999999999999992</v>
      </c>
      <c r="H209" s="58"/>
      <c r="I209" s="59"/>
      <c r="J209" s="58"/>
      <c r="K209" s="59"/>
      <c r="L209" s="58"/>
    </row>
    <row r="210">
      <c r="C210" s="60" t="str">
        <f>"Объем: "&amp;Source!I38&amp;"=10/"&amp;"100"</f>
        <v xml:space="preserve">Объем: 0,09999999999999999=10/100</v>
      </c>
    </row>
    <row r="211" ht="14.25">
      <c r="A211" s="55"/>
      <c r="B211" s="59">
        <v>1</v>
      </c>
      <c r="C211" s="55" t="s">
        <v>48</v>
      </c>
      <c r="D211" s="56"/>
      <c r="E211" s="57"/>
      <c r="F211" s="57"/>
      <c r="G211" s="57"/>
      <c r="H211" s="58">
        <f>Source!AO38</f>
        <v>563.25</v>
      </c>
      <c r="I211" s="59"/>
      <c r="J211" s="58">
        <f>ROUND(Source!AF38*Source!I38, 2)</f>
        <v>56.329999999999998</v>
      </c>
      <c r="K211" s="59">
        <f>IF(Source!BA38&lt;&gt; 0, Source!BA38, 1)</f>
        <v>55.32</v>
      </c>
      <c r="L211" s="58">
        <f>Source!HJ38</f>
        <v>3116.1800000000003</v>
      </c>
    </row>
    <row r="212" ht="14.25">
      <c r="A212" s="55"/>
      <c r="B212" s="59">
        <v>2</v>
      </c>
      <c r="C212" s="55" t="s">
        <v>49</v>
      </c>
      <c r="D212" s="56"/>
      <c r="E212" s="57"/>
      <c r="F212" s="57"/>
      <c r="G212" s="57"/>
      <c r="H212" s="58">
        <f>Source!AM38</f>
        <v>8.9800000000000004</v>
      </c>
      <c r="I212" s="59"/>
      <c r="J212" s="58">
        <f>ROUND((((Source!ET38)-(Source!EU38))+Source!AE38)*Source!I38, 2)</f>
        <v>0.90000000000000002</v>
      </c>
      <c r="K212" s="59"/>
      <c r="L212" s="58"/>
    </row>
    <row r="213" ht="14.25">
      <c r="A213" s="55"/>
      <c r="B213" s="59">
        <v>3</v>
      </c>
      <c r="C213" s="55" t="s">
        <v>50</v>
      </c>
      <c r="D213" s="56"/>
      <c r="E213" s="57"/>
      <c r="F213" s="57"/>
      <c r="G213" s="57"/>
      <c r="H213" s="58">
        <f>Source!AN38</f>
        <v>1.27</v>
      </c>
      <c r="I213" s="59"/>
      <c r="J213" s="61">
        <f>ROUND(Source!AE38*Source!I38, 2)</f>
        <v>0.13</v>
      </c>
      <c r="K213" s="59">
        <f>IF(Source!BS38&lt;&gt; 0, Source!BS38, 1)</f>
        <v>55.32</v>
      </c>
      <c r="L213" s="61">
        <f>Source!HI38</f>
        <v>7.1900000000000004</v>
      </c>
    </row>
    <row r="214" ht="14.25">
      <c r="A214" s="55"/>
      <c r="B214" s="59">
        <v>4</v>
      </c>
      <c r="C214" s="55" t="s">
        <v>51</v>
      </c>
      <c r="D214" s="56"/>
      <c r="E214" s="57"/>
      <c r="F214" s="57"/>
      <c r="G214" s="57"/>
      <c r="H214" s="58">
        <f>Source!AL38</f>
        <v>27.16</v>
      </c>
      <c r="I214" s="59"/>
      <c r="J214" s="58">
        <f>ROUND(Source!AC38*Source!I38, 2)</f>
        <v>2.7200000000000002</v>
      </c>
      <c r="K214" s="59"/>
      <c r="L214" s="58"/>
    </row>
    <row r="215" ht="14.25">
      <c r="A215" s="55"/>
      <c r="B215" s="55" t="str">
        <f>EtalonRes!I84</f>
        <v>18.1.02.01</v>
      </c>
      <c r="C215" s="55" t="str">
        <f>EtalonRes!K84</f>
        <v>Задвижки</v>
      </c>
      <c r="D215" s="56" t="str">
        <f>EtalonRes!O84</f>
        <v>ШТ</v>
      </c>
      <c r="E215" s="57">
        <f>EtalonRes!X84</f>
        <v>0</v>
      </c>
      <c r="F215" s="57"/>
      <c r="G215" s="57">
        <f>ROUND(EtalonRes!AG84*Source!I38, 7)</f>
        <v>0</v>
      </c>
      <c r="H215" s="58"/>
      <c r="I215" s="59"/>
      <c r="J215" s="58"/>
      <c r="K215" s="59"/>
      <c r="L215" s="58"/>
    </row>
    <row r="216" ht="14.25">
      <c r="A216" s="55"/>
      <c r="B216" s="55" t="str">
        <f>EtalonRes!I85</f>
        <v>23.1.02.07</v>
      </c>
      <c r="C216" s="55" t="str">
        <f>EtalonRes!K85</f>
        <v>Крепления</v>
      </c>
      <c r="D216" s="56" t="str">
        <f>EtalonRes!O85</f>
        <v>кг</v>
      </c>
      <c r="E216" s="57">
        <f>EtalonRes!X85</f>
        <v>0</v>
      </c>
      <c r="F216" s="57"/>
      <c r="G216" s="57">
        <f>ROUND(EtalonRes!AG85*Source!I38, 7)</f>
        <v>0</v>
      </c>
      <c r="H216" s="58"/>
      <c r="I216" s="59"/>
      <c r="J216" s="58"/>
      <c r="K216" s="59"/>
      <c r="L216" s="58"/>
    </row>
    <row r="217" ht="28.5">
      <c r="A217" s="55"/>
      <c r="B217" s="55" t="str">
        <f>EtalonRes!I86</f>
        <v>24.3.02.02</v>
      </c>
      <c r="C217" s="55" t="str">
        <f>EtalonRes!K86</f>
        <v xml:space="preserve">Трубы безнапорные канализационные из полипропилена</v>
      </c>
      <c r="D217" s="56" t="str">
        <f>EtalonRes!O86</f>
        <v>м</v>
      </c>
      <c r="E217" s="57">
        <f>EtalonRes!X86</f>
        <v>99.799999999999997</v>
      </c>
      <c r="F217" s="57"/>
      <c r="G217" s="57">
        <f>ROUND(EtalonRes!AG86*Source!I38, 7)</f>
        <v>9.9800000000000004</v>
      </c>
      <c r="H217" s="58"/>
      <c r="I217" s="59"/>
      <c r="J217" s="58"/>
      <c r="K217" s="59"/>
      <c r="L217" s="58"/>
    </row>
    <row r="218" ht="28.5">
      <c r="A218" s="55"/>
      <c r="B218" s="55" t="str">
        <f>EtalonRes!I87</f>
        <v>24.3.05.19</v>
      </c>
      <c r="C218" s="55" t="str">
        <f>EtalonRes!K87</f>
        <v xml:space="preserve">Фасонные и соединительные части к полипропиленовым трубам</v>
      </c>
      <c r="D218" s="56" t="str">
        <f>EtalonRes!O87</f>
        <v>ШТ</v>
      </c>
      <c r="E218" s="57">
        <f>EtalonRes!X87</f>
        <v>0</v>
      </c>
      <c r="F218" s="57"/>
      <c r="G218" s="57">
        <f>ROUND(EtalonRes!AG87*Source!I38, 7)</f>
        <v>0</v>
      </c>
      <c r="H218" s="58"/>
      <c r="I218" s="59"/>
      <c r="J218" s="58"/>
      <c r="K218" s="59"/>
      <c r="L218" s="58"/>
    </row>
    <row r="219" ht="14.25">
      <c r="A219" s="55"/>
      <c r="B219" s="55"/>
      <c r="C219" s="55" t="s">
        <v>52</v>
      </c>
      <c r="D219" s="56" t="s">
        <v>30</v>
      </c>
      <c r="E219" s="57">
        <f>Source!AQ38</f>
        <v>59.920000000000002</v>
      </c>
      <c r="F219" s="57"/>
      <c r="G219" s="57">
        <f>ROUND(Source!U38, 7)</f>
        <v>5.992</v>
      </c>
      <c r="H219" s="58"/>
      <c r="I219" s="59"/>
      <c r="J219" s="58"/>
      <c r="K219" s="59"/>
      <c r="L219" s="58"/>
    </row>
    <row r="220" ht="14.25">
      <c r="A220" s="55"/>
      <c r="B220" s="55"/>
      <c r="C220" s="62" t="s">
        <v>53</v>
      </c>
      <c r="D220" s="63" t="s">
        <v>30</v>
      </c>
      <c r="E220" s="64">
        <f>Source!AR38</f>
        <v>0.10000000000000001</v>
      </c>
      <c r="F220" s="64"/>
      <c r="G220" s="64">
        <f>ROUND(Source!V38, 7)</f>
        <v>0.01</v>
      </c>
      <c r="H220" s="65"/>
      <c r="I220" s="66"/>
      <c r="J220" s="65"/>
      <c r="K220" s="66"/>
      <c r="L220" s="65"/>
    </row>
    <row r="221" ht="14.25">
      <c r="A221" s="55"/>
      <c r="B221" s="55"/>
      <c r="C221" s="55" t="s">
        <v>54</v>
      </c>
      <c r="D221" s="56"/>
      <c r="E221" s="57"/>
      <c r="F221" s="57"/>
      <c r="G221" s="57"/>
      <c r="H221" s="58">
        <f>H211+H212+H214</f>
        <v>599.38999999999999</v>
      </c>
      <c r="I221" s="59"/>
      <c r="J221" s="58">
        <f>J211+J212+J214</f>
        <v>59.949999999999996</v>
      </c>
      <c r="K221" s="59"/>
      <c r="L221" s="58"/>
    </row>
    <row r="222" ht="28.5">
      <c r="A222" s="54" t="s">
        <v>90</v>
      </c>
      <c r="B222" s="55" t="str">
        <f>Source!F39</f>
        <v>23.1.02.07-0002</v>
      </c>
      <c r="C222" s="55" t="str">
        <f>Source!G39</f>
        <v xml:space="preserve">Крепления для трубопроводов (кронштейны, планки, хомуты)</v>
      </c>
      <c r="D222" s="56" t="str">
        <f>Source!H39</f>
        <v>кг</v>
      </c>
      <c r="E222" s="57">
        <f>SmtRes!AT76</f>
        <v>10</v>
      </c>
      <c r="F222" s="57"/>
      <c r="G222" s="57">
        <f>Source!I39</f>
        <v>0.99999999999999989</v>
      </c>
      <c r="H222" s="58">
        <f>Source!AL39+Source!AO39+Source!AM39</f>
        <v>11.99</v>
      </c>
      <c r="I222" s="59"/>
      <c r="J222" s="58">
        <f>ROUND(Source!AC39*Source!I39, 2)+ROUND((((Source!ET39)-(Source!EU39))+Source!AE39)*Source!I39, 2)+ROUND(Source!AF39*Source!I39, 2)</f>
        <v>11.99</v>
      </c>
      <c r="K222" s="59"/>
      <c r="L222" s="58"/>
      <c r="O222">
        <f t="shared" ref="O222:O224" si="2">J222</f>
        <v>11.99</v>
      </c>
      <c r="AA222">
        <f t="shared" ref="AA222:AA224" si="3">J222</f>
        <v>11.99</v>
      </c>
      <c r="AD222">
        <f>Source!X39</f>
        <v>0</v>
      </c>
      <c r="AE222">
        <f>Source!Y39</f>
        <v>0</v>
      </c>
      <c r="AN222">
        <f t="shared" ref="AN222:AN224" si="4">L222</f>
        <v>0</v>
      </c>
      <c r="AW222">
        <f t="shared" ref="AW222:AW224" si="5">L222</f>
        <v>0</v>
      </c>
      <c r="AZ222">
        <f>Source!HK39</f>
        <v>0</v>
      </c>
      <c r="BA222">
        <f>Source!HL39</f>
        <v>0</v>
      </c>
      <c r="BH222">
        <f t="shared" ref="BH222:BH224" si="6">J222</f>
        <v>11.99</v>
      </c>
      <c r="CD222">
        <v>1</v>
      </c>
    </row>
    <row r="223" ht="28.5">
      <c r="A223" s="54" t="s">
        <v>91</v>
      </c>
      <c r="B223" s="55" t="str">
        <f>Source!F40</f>
        <v>24.3.02.02-0003</v>
      </c>
      <c r="C223" s="55" t="str">
        <f>Source!G40</f>
        <v xml:space="preserve">Трубы полипропиленовые для систем водоотведения, диаметр 50 мм</v>
      </c>
      <c r="D223" s="56" t="str">
        <f>Source!H40</f>
        <v>м</v>
      </c>
      <c r="E223" s="57">
        <f>SmtRes!AT77</f>
        <v>99.799999999999997</v>
      </c>
      <c r="F223" s="57"/>
      <c r="G223" s="57">
        <f>Source!I40</f>
        <v>9.9799999999999986</v>
      </c>
      <c r="H223" s="58">
        <f>Source!AL40+Source!AO40+Source!AM40</f>
        <v>10.380000000000001</v>
      </c>
      <c r="I223" s="59"/>
      <c r="J223" s="58">
        <f>ROUND(Source!AC40*Source!I40,2)+ROUND((((Source!ET40)-(Source!EU40))+Source!AE40)*Source!I40,2)+ROUND(Source!AF40*Source!I40,2)</f>
        <v>103.59</v>
      </c>
      <c r="K223" s="59"/>
      <c r="L223" s="58"/>
      <c r="O223">
        <f t="shared" si="2"/>
        <v>103.59</v>
      </c>
      <c r="AA223">
        <f t="shared" si="3"/>
        <v>103.59</v>
      </c>
      <c r="AD223">
        <f>Source!X40</f>
        <v>0</v>
      </c>
      <c r="AE223">
        <f>Source!Y40</f>
        <v>0</v>
      </c>
      <c r="AN223">
        <f t="shared" si="4"/>
        <v>0</v>
      </c>
      <c r="AW223">
        <f t="shared" si="5"/>
        <v>0</v>
      </c>
      <c r="AZ223">
        <f>Source!HK40</f>
        <v>0</v>
      </c>
      <c r="BA223">
        <f>Source!HL40</f>
        <v>0</v>
      </c>
      <c r="BH223">
        <f t="shared" si="6"/>
        <v>103.59</v>
      </c>
      <c r="CD223">
        <v>1</v>
      </c>
    </row>
    <row r="224" ht="42.75">
      <c r="A224" s="54" t="s">
        <v>92</v>
      </c>
      <c r="B224" s="55" t="str">
        <f>Source!F41</f>
        <v>24.3.05.19</v>
      </c>
      <c r="C224" s="55" t="s">
        <v>93</v>
      </c>
      <c r="D224" s="56" t="str">
        <f>Source!H41</f>
        <v>ШТ</v>
      </c>
      <c r="E224" s="57">
        <f>SmtRes!AT78</f>
        <v>50</v>
      </c>
      <c r="F224" s="57"/>
      <c r="G224" s="57">
        <f>Source!I41</f>
        <v>5</v>
      </c>
      <c r="H224" s="58">
        <f>Source!AL41+Source!AO41+Source!AM41</f>
        <v>66.670000000000002</v>
      </c>
      <c r="I224" s="59"/>
      <c r="J224" s="58">
        <f>Source!P41</f>
        <v>34.910000000000004</v>
      </c>
      <c r="K224" s="59">
        <f>IF(Source!BC41&lt;&gt; 0, Source!BC41, 1)</f>
        <v>9.5500000000000007</v>
      </c>
      <c r="L224" s="58">
        <f>Source!HG41</f>
        <v>333.35000000000002</v>
      </c>
      <c r="O224">
        <f t="shared" si="2"/>
        <v>34.910000000000004</v>
      </c>
      <c r="AA224">
        <f t="shared" si="3"/>
        <v>34.910000000000004</v>
      </c>
      <c r="AB224">
        <f>J224</f>
        <v>34.910000000000004</v>
      </c>
      <c r="AD224">
        <f>Source!X41</f>
        <v>0</v>
      </c>
      <c r="AE224">
        <f>Source!Y41</f>
        <v>0</v>
      </c>
      <c r="AN224">
        <f t="shared" si="4"/>
        <v>333.35000000000002</v>
      </c>
      <c r="AW224">
        <f t="shared" si="5"/>
        <v>333.35000000000002</v>
      </c>
      <c r="AX224">
        <f>L224</f>
        <v>333.35000000000002</v>
      </c>
      <c r="AZ224">
        <f>Source!HK41</f>
        <v>0</v>
      </c>
      <c r="BA224">
        <f>Source!HL41</f>
        <v>0</v>
      </c>
      <c r="BH224">
        <f t="shared" si="6"/>
        <v>34.910000000000004</v>
      </c>
      <c r="CD224">
        <v>1</v>
      </c>
    </row>
    <row r="225" ht="14.25">
      <c r="A225" s="55"/>
      <c r="B225" s="55"/>
      <c r="C225" s="55" t="s">
        <v>55</v>
      </c>
      <c r="D225" s="56"/>
      <c r="E225" s="57"/>
      <c r="F225" s="57"/>
      <c r="G225" s="57"/>
      <c r="H225" s="58"/>
      <c r="I225" s="59"/>
      <c r="J225" s="58">
        <f>SUM(S209:S228)+SUM(T209:T228)+SUM(X209:X228)+SUM(Y209:Y228)+SUM(Z209:Z228)</f>
        <v>56.460000000000001</v>
      </c>
      <c r="K225" s="59"/>
      <c r="L225" s="58">
        <f>SUM(AR209:AR228)+SUM(AS209:AS228)+SUM(AT209:AT228)+SUM(AU209:AU228)+SUM(AV209:AV228)</f>
        <v>3123.3700000000003</v>
      </c>
    </row>
    <row r="226" ht="71.25">
      <c r="A226" s="55"/>
      <c r="B226" s="55" t="s">
        <v>79</v>
      </c>
      <c r="C226" s="55" t="s">
        <v>80</v>
      </c>
      <c r="D226" s="56" t="s">
        <v>58</v>
      </c>
      <c r="E226" s="57">
        <f>Source!BZ38</f>
        <v>121</v>
      </c>
      <c r="F226" s="57"/>
      <c r="G226" s="57">
        <f>Source!AT38</f>
        <v>121</v>
      </c>
      <c r="H226" s="58"/>
      <c r="I226" s="59"/>
      <c r="J226" s="58">
        <f>SUM(AD209:AD228)</f>
        <v>68.320000000000007</v>
      </c>
      <c r="K226" s="59"/>
      <c r="L226" s="58">
        <f>SUM(AZ209:AZ228)</f>
        <v>3779.2800000000002</v>
      </c>
    </row>
    <row r="227" ht="71.25">
      <c r="A227" s="62"/>
      <c r="B227" s="62" t="s">
        <v>81</v>
      </c>
      <c r="C227" s="62" t="s">
        <v>82</v>
      </c>
      <c r="D227" s="63" t="s">
        <v>58</v>
      </c>
      <c r="E227" s="64">
        <f>Source!CA38</f>
        <v>72</v>
      </c>
      <c r="F227" s="64"/>
      <c r="G227" s="64">
        <f>Source!AU38</f>
        <v>72</v>
      </c>
      <c r="H227" s="65"/>
      <c r="I227" s="66"/>
      <c r="J227" s="65">
        <f>SUM(AE209:AE228)</f>
        <v>40.649999999999999</v>
      </c>
      <c r="K227" s="66"/>
      <c r="L227" s="65">
        <f>SUM(BA209:BA228)</f>
        <v>2248.8299999999999</v>
      </c>
    </row>
    <row r="228" ht="15">
      <c r="C228" s="67" t="s">
        <v>61</v>
      </c>
      <c r="D228" s="67"/>
      <c r="E228" s="67"/>
      <c r="F228" s="67"/>
      <c r="G228" s="67"/>
      <c r="H228" s="67"/>
      <c r="I228" s="68">
        <f>J211+J212+J214+J226+J227+SUM(J222:J224)-SUMIF(CE222:CE224, 1, J222:J224)</f>
        <v>319.41000000000003</v>
      </c>
      <c r="J228" s="68"/>
      <c r="O228" s="69">
        <f>J211+J212+J214+J226+J227</f>
        <v>168.92000000000002</v>
      </c>
      <c r="P228" s="69">
        <f>J212</f>
        <v>0.90000000000000002</v>
      </c>
      <c r="R228" t="s">
        <v>62</v>
      </c>
      <c r="S228" s="69">
        <f>J211</f>
        <v>56.329999999999998</v>
      </c>
      <c r="U228" s="69">
        <f>J211</f>
        <v>56.329999999999998</v>
      </c>
      <c r="X228" s="69">
        <f>J213</f>
        <v>0.13</v>
      </c>
      <c r="Z228" t="s">
        <v>62</v>
      </c>
      <c r="AA228" s="69">
        <f>J214</f>
        <v>2.7200000000000002</v>
      </c>
      <c r="AD228">
        <f>Source!X38</f>
        <v>68.320000000000007</v>
      </c>
      <c r="AE228">
        <f>Source!Y38</f>
        <v>40.649999999999999</v>
      </c>
      <c r="AN228" s="69">
        <f>L211+L212+L214+L226+L227</f>
        <v>9144.2900000000009</v>
      </c>
      <c r="AO228" s="69">
        <f>L212</f>
        <v>0</v>
      </c>
      <c r="AQ228" t="s">
        <v>62</v>
      </c>
      <c r="AR228" s="69">
        <f>L211</f>
        <v>3116.1800000000003</v>
      </c>
      <c r="AT228" s="69">
        <f>L213</f>
        <v>7.1900000000000004</v>
      </c>
      <c r="AV228" t="s">
        <v>62</v>
      </c>
      <c r="AW228" s="69">
        <f>L214</f>
        <v>0</v>
      </c>
      <c r="AZ228">
        <f>Source!HK38</f>
        <v>3779.2800000000002</v>
      </c>
      <c r="BA228">
        <f>Source!HL38</f>
        <v>2248.8299999999999</v>
      </c>
      <c r="BH228" s="69">
        <f>J211+J212+J214+J226+J227</f>
        <v>168.92000000000002</v>
      </c>
      <c r="CD228">
        <v>1</v>
      </c>
    </row>
    <row r="229" ht="42.75">
      <c r="A229" s="54" t="s">
        <v>94</v>
      </c>
      <c r="B229" s="55" t="str">
        <f>Source!F42</f>
        <v>16-04-004-02</v>
      </c>
      <c r="C229" s="55" t="str">
        <f>Source!G42</f>
        <v xml:space="preserve">Прокладка внутренних трубопроводов канализации из полипропиленовых труб диаметром: 110 мм</v>
      </c>
      <c r="D229" s="56" t="str">
        <f>Source!H42</f>
        <v xml:space="preserve">100 м</v>
      </c>
      <c r="E229" s="57">
        <f>Source!K42</f>
        <v>0.049999999999999996</v>
      </c>
      <c r="F229" s="57"/>
      <c r="G229" s="57">
        <f>Source!I42</f>
        <v>0.049999999999999996</v>
      </c>
      <c r="H229" s="58"/>
      <c r="I229" s="59"/>
      <c r="J229" s="58"/>
      <c r="K229" s="59"/>
      <c r="L229" s="58"/>
    </row>
    <row r="230">
      <c r="C230" s="60" t="str">
        <f>"Объем: "&amp;Source!I42&amp;"=5/"&amp;"100"</f>
        <v xml:space="preserve">Объем: 0,049999999999999996=5/100</v>
      </c>
    </row>
    <row r="231" ht="14.25">
      <c r="A231" s="55"/>
      <c r="B231" s="59">
        <v>1</v>
      </c>
      <c r="C231" s="55" t="s">
        <v>48</v>
      </c>
      <c r="D231" s="56"/>
      <c r="E231" s="57"/>
      <c r="F231" s="57"/>
      <c r="G231" s="57"/>
      <c r="H231" s="58">
        <f>Source!AO42</f>
        <v>524.79999999999995</v>
      </c>
      <c r="I231" s="59"/>
      <c r="J231" s="58">
        <f>ROUND(Source!AF42*Source!I42, 2)</f>
        <v>26.240000000000002</v>
      </c>
      <c r="K231" s="59">
        <f>IF(Source!BA42&lt;&gt; 0, Source!BA42, 1)</f>
        <v>55.32</v>
      </c>
      <c r="L231" s="58">
        <f>Source!HJ42</f>
        <v>1451.6000000000001</v>
      </c>
    </row>
    <row r="232" ht="14.25">
      <c r="A232" s="55"/>
      <c r="B232" s="59">
        <v>2</v>
      </c>
      <c r="C232" s="55" t="s">
        <v>49</v>
      </c>
      <c r="D232" s="56"/>
      <c r="E232" s="57"/>
      <c r="F232" s="57"/>
      <c r="G232" s="57"/>
      <c r="H232" s="58">
        <f>Source!AM42</f>
        <v>41.240000000000002</v>
      </c>
      <c r="I232" s="59"/>
      <c r="J232" s="58">
        <f>ROUND((((Source!ET42)-(Source!EU42))+Source!AE42)*Source!I42, 2)</f>
        <v>2.0600000000000001</v>
      </c>
      <c r="K232" s="59"/>
      <c r="L232" s="58"/>
    </row>
    <row r="233" ht="14.25">
      <c r="A233" s="55"/>
      <c r="B233" s="59">
        <v>3</v>
      </c>
      <c r="C233" s="55" t="s">
        <v>50</v>
      </c>
      <c r="D233" s="56"/>
      <c r="E233" s="57"/>
      <c r="F233" s="57"/>
      <c r="G233" s="57"/>
      <c r="H233" s="58">
        <f>Source!AN42</f>
        <v>5.8700000000000001</v>
      </c>
      <c r="I233" s="59"/>
      <c r="J233" s="61">
        <f>ROUND(Source!AE42*Source!I42, 2)</f>
        <v>0.28999999999999998</v>
      </c>
      <c r="K233" s="59">
        <f>IF(Source!BS42&lt;&gt; 0, Source!BS42, 1)</f>
        <v>55.32</v>
      </c>
      <c r="L233" s="61">
        <f>Source!HI42</f>
        <v>16.039999999999999</v>
      </c>
    </row>
    <row r="234" ht="14.25">
      <c r="A234" s="55"/>
      <c r="B234" s="59">
        <v>4</v>
      </c>
      <c r="C234" s="55" t="s">
        <v>51</v>
      </c>
      <c r="D234" s="56"/>
      <c r="E234" s="57"/>
      <c r="F234" s="57"/>
      <c r="G234" s="57"/>
      <c r="H234" s="58">
        <f>Source!AL42</f>
        <v>58.289999999999999</v>
      </c>
      <c r="I234" s="59"/>
      <c r="J234" s="58">
        <f>ROUND(Source!AC42*Source!I42, 2)</f>
        <v>2.9100000000000001</v>
      </c>
      <c r="K234" s="59"/>
      <c r="L234" s="58"/>
    </row>
    <row r="235" ht="14.25">
      <c r="A235" s="55"/>
      <c r="B235" s="55" t="str">
        <f>EtalonRes!I96</f>
        <v>18.1.02.01</v>
      </c>
      <c r="C235" s="55" t="str">
        <f>EtalonRes!K96</f>
        <v>Задвижки</v>
      </c>
      <c r="D235" s="56" t="str">
        <f>EtalonRes!O96</f>
        <v>ШТ</v>
      </c>
      <c r="E235" s="57">
        <f>EtalonRes!X96</f>
        <v>0</v>
      </c>
      <c r="F235" s="57"/>
      <c r="G235" s="57">
        <f>ROUND(EtalonRes!AG96*Source!I42, 7)</f>
        <v>0</v>
      </c>
      <c r="H235" s="58"/>
      <c r="I235" s="59"/>
      <c r="J235" s="58"/>
      <c r="K235" s="59"/>
      <c r="L235" s="58"/>
    </row>
    <row r="236" ht="14.25">
      <c r="A236" s="55"/>
      <c r="B236" s="55" t="str">
        <f>EtalonRes!I97</f>
        <v>23.1.02.07</v>
      </c>
      <c r="C236" s="55" t="str">
        <f>EtalonRes!K97</f>
        <v>Крепления</v>
      </c>
      <c r="D236" s="56" t="str">
        <f>EtalonRes!O97</f>
        <v>кг</v>
      </c>
      <c r="E236" s="57">
        <f>EtalonRes!X97</f>
        <v>0</v>
      </c>
      <c r="F236" s="57"/>
      <c r="G236" s="57">
        <f>ROUND(EtalonRes!AG97*Source!I42, 7)</f>
        <v>0</v>
      </c>
      <c r="H236" s="58"/>
      <c r="I236" s="59"/>
      <c r="J236" s="58"/>
      <c r="K236" s="59"/>
      <c r="L236" s="58"/>
    </row>
    <row r="237" ht="28.5">
      <c r="A237" s="55"/>
      <c r="B237" s="55" t="str">
        <f>EtalonRes!I98</f>
        <v>24.3.02.02</v>
      </c>
      <c r="C237" s="55" t="str">
        <f>EtalonRes!K98</f>
        <v xml:space="preserve">Трубы безнапорные канализационные из полипропилена</v>
      </c>
      <c r="D237" s="56" t="str">
        <f>EtalonRes!O98</f>
        <v>м</v>
      </c>
      <c r="E237" s="57">
        <f>EtalonRes!X98</f>
        <v>99.799999999999997</v>
      </c>
      <c r="F237" s="57"/>
      <c r="G237" s="57">
        <f>ROUND(EtalonRes!AG98*Source!I42, 7)</f>
        <v>4.9900000000000002</v>
      </c>
      <c r="H237" s="58"/>
      <c r="I237" s="59"/>
      <c r="J237" s="58"/>
      <c r="K237" s="59"/>
      <c r="L237" s="58"/>
    </row>
    <row r="238" ht="28.5">
      <c r="A238" s="55"/>
      <c r="B238" s="55" t="str">
        <f>EtalonRes!I99</f>
        <v>24.3.05.19</v>
      </c>
      <c r="C238" s="55" t="str">
        <f>EtalonRes!K99</f>
        <v xml:space="preserve">Фасонные и соединительные части к полипропиленовым трубам</v>
      </c>
      <c r="D238" s="56" t="str">
        <f>EtalonRes!O99</f>
        <v>ШТ</v>
      </c>
      <c r="E238" s="57">
        <f>EtalonRes!X99</f>
        <v>0</v>
      </c>
      <c r="F238" s="57"/>
      <c r="G238" s="57">
        <f>ROUND(EtalonRes!AG99*Source!I42, 7)</f>
        <v>0</v>
      </c>
      <c r="H238" s="58"/>
      <c r="I238" s="59"/>
      <c r="J238" s="58"/>
      <c r="K238" s="59"/>
      <c r="L238" s="58"/>
    </row>
    <row r="239" ht="14.25">
      <c r="A239" s="55"/>
      <c r="B239" s="55"/>
      <c r="C239" s="55" t="s">
        <v>52</v>
      </c>
      <c r="D239" s="56" t="s">
        <v>30</v>
      </c>
      <c r="E239" s="57">
        <f>Source!AQ42</f>
        <v>55.829999999999998</v>
      </c>
      <c r="F239" s="57"/>
      <c r="G239" s="57">
        <f>ROUND(Source!U42, 7)</f>
        <v>2.7915000000000001</v>
      </c>
      <c r="H239" s="58"/>
      <c r="I239" s="59"/>
      <c r="J239" s="58"/>
      <c r="K239" s="59"/>
      <c r="L239" s="58"/>
    </row>
    <row r="240" ht="14.25">
      <c r="A240" s="55"/>
      <c r="B240" s="55"/>
      <c r="C240" s="62" t="s">
        <v>53</v>
      </c>
      <c r="D240" s="63" t="s">
        <v>30</v>
      </c>
      <c r="E240" s="64">
        <f>Source!AR42</f>
        <v>0.46000000000000002</v>
      </c>
      <c r="F240" s="64"/>
      <c r="G240" s="64">
        <f>ROUND(Source!V42, 7)</f>
        <v>0.023</v>
      </c>
      <c r="H240" s="65"/>
      <c r="I240" s="66"/>
      <c r="J240" s="65"/>
      <c r="K240" s="66"/>
      <c r="L240" s="65"/>
    </row>
    <row r="241" ht="14.25">
      <c r="A241" s="55"/>
      <c r="B241" s="55"/>
      <c r="C241" s="55" t="s">
        <v>54</v>
      </c>
      <c r="D241" s="56"/>
      <c r="E241" s="57"/>
      <c r="F241" s="57"/>
      <c r="G241" s="57"/>
      <c r="H241" s="58">
        <f>H231+H232+H234</f>
        <v>624.32999999999993</v>
      </c>
      <c r="I241" s="59"/>
      <c r="J241" s="58">
        <f>J231+J232+J234</f>
        <v>31.210000000000001</v>
      </c>
      <c r="K241" s="59"/>
      <c r="L241" s="58"/>
    </row>
    <row r="242" ht="28.5">
      <c r="A242" s="54" t="s">
        <v>95</v>
      </c>
      <c r="B242" s="55" t="str">
        <f>Source!F43</f>
        <v>23.1.02.07-0002</v>
      </c>
      <c r="C242" s="55" t="str">
        <f>Source!G43</f>
        <v xml:space="preserve">Крепления для трубопроводов (кронштейны, планки, хомуты)</v>
      </c>
      <c r="D242" s="56" t="str">
        <f>Source!H43</f>
        <v>кг</v>
      </c>
      <c r="E242" s="57">
        <f>SmtRes!AT87</f>
        <v>10</v>
      </c>
      <c r="F242" s="57"/>
      <c r="G242" s="57">
        <f>Source!I43</f>
        <v>0.49999999999999994</v>
      </c>
      <c r="H242" s="58">
        <f>Source!AL43+Source!AO43+Source!AM43</f>
        <v>11.99</v>
      </c>
      <c r="I242" s="59"/>
      <c r="J242" s="58">
        <f>ROUND(Source!AC43*Source!I43, 2)+ROUND((((Source!ET43)-(Source!EU43))+Source!AE43)*Source!I43, 2)+ROUND(Source!AF43*Source!I43, 2)</f>
        <v>6</v>
      </c>
      <c r="K242" s="59"/>
      <c r="L242" s="58"/>
      <c r="O242">
        <f t="shared" ref="O242:O244" si="7">J242</f>
        <v>6</v>
      </c>
      <c r="AA242">
        <f t="shared" ref="AA242:AA244" si="8">J242</f>
        <v>6</v>
      </c>
      <c r="AD242">
        <f>Source!X43</f>
        <v>0</v>
      </c>
      <c r="AE242">
        <f>Source!Y43</f>
        <v>0</v>
      </c>
      <c r="AN242">
        <f t="shared" ref="AN242:AN244" si="9">L242</f>
        <v>0</v>
      </c>
      <c r="AW242">
        <f t="shared" ref="AW242:AW244" si="10">L242</f>
        <v>0</v>
      </c>
      <c r="AZ242">
        <f>Source!HK43</f>
        <v>0</v>
      </c>
      <c r="BA242">
        <f>Source!HL43</f>
        <v>0</v>
      </c>
      <c r="BH242">
        <f t="shared" ref="BH242:BH244" si="11">J242</f>
        <v>6</v>
      </c>
      <c r="CD242">
        <v>1</v>
      </c>
    </row>
    <row r="243" ht="28.5">
      <c r="A243" s="54" t="s">
        <v>96</v>
      </c>
      <c r="B243" s="55" t="str">
        <f>Source!F44</f>
        <v>24.3.02.02-0004</v>
      </c>
      <c r="C243" s="55" t="str">
        <f>Source!G44</f>
        <v xml:space="preserve">Трубы полипропиленовые для систем водоотведения, диаметр 110 мм</v>
      </c>
      <c r="D243" s="56" t="str">
        <f>Source!H44</f>
        <v>м</v>
      </c>
      <c r="E243" s="57">
        <f>SmtRes!AT88</f>
        <v>99.799999999999997</v>
      </c>
      <c r="F243" s="57"/>
      <c r="G243" s="57">
        <f>Source!I44</f>
        <v>4.9899999999999993</v>
      </c>
      <c r="H243" s="58">
        <f>Source!AL44+Source!AO44+Source!AM44</f>
        <v>43.520000000000003</v>
      </c>
      <c r="I243" s="59"/>
      <c r="J243" s="58">
        <f>ROUND(Source!AC44*Source!I44,2)+ROUND((((Source!ET44)-(Source!EU44))+Source!AE44)*Source!I44,2)+ROUND(Source!AF44*Source!I44,2)</f>
        <v>217.16</v>
      </c>
      <c r="K243" s="59"/>
      <c r="L243" s="58"/>
      <c r="O243">
        <f t="shared" si="7"/>
        <v>217.16</v>
      </c>
      <c r="AA243">
        <f t="shared" si="8"/>
        <v>217.16</v>
      </c>
      <c r="AD243">
        <f>Source!X44</f>
        <v>0</v>
      </c>
      <c r="AE243">
        <f>Source!Y44</f>
        <v>0</v>
      </c>
      <c r="AN243">
        <f t="shared" si="9"/>
        <v>0</v>
      </c>
      <c r="AW243">
        <f t="shared" si="10"/>
        <v>0</v>
      </c>
      <c r="AZ243">
        <f>Source!HK44</f>
        <v>0</v>
      </c>
      <c r="BA243">
        <f>Source!HL44</f>
        <v>0</v>
      </c>
      <c r="BH243">
        <f t="shared" si="11"/>
        <v>217.16</v>
      </c>
      <c r="CD243">
        <v>1</v>
      </c>
    </row>
    <row r="244" ht="42.75">
      <c r="A244" s="54" t="s">
        <v>97</v>
      </c>
      <c r="B244" s="55" t="str">
        <f>Source!F45</f>
        <v>24.3.05.19</v>
      </c>
      <c r="C244" s="55" t="s">
        <v>93</v>
      </c>
      <c r="D244" s="56" t="str">
        <f>Source!H45</f>
        <v>ШТ</v>
      </c>
      <c r="E244" s="57">
        <f>SmtRes!AT89</f>
        <v>100</v>
      </c>
      <c r="F244" s="57"/>
      <c r="G244" s="57">
        <f>Source!I45</f>
        <v>5</v>
      </c>
      <c r="H244" s="58">
        <f>Source!AL45+Source!AO45+Source!AM45</f>
        <v>66.670000000000002</v>
      </c>
      <c r="I244" s="59"/>
      <c r="J244" s="58">
        <f>Source!P45</f>
        <v>34.910000000000004</v>
      </c>
      <c r="K244" s="59">
        <f>IF(Source!BC45&lt;&gt; 0, Source!BC45, 1)</f>
        <v>9.5500000000000007</v>
      </c>
      <c r="L244" s="58">
        <f>Source!HG45</f>
        <v>333.35000000000002</v>
      </c>
      <c r="O244">
        <f t="shared" si="7"/>
        <v>34.910000000000004</v>
      </c>
      <c r="AA244">
        <f t="shared" si="8"/>
        <v>34.910000000000004</v>
      </c>
      <c r="AB244">
        <f>J244</f>
        <v>34.910000000000004</v>
      </c>
      <c r="AD244">
        <f>Source!X45</f>
        <v>0</v>
      </c>
      <c r="AE244">
        <f>Source!Y45</f>
        <v>0</v>
      </c>
      <c r="AN244">
        <f t="shared" si="9"/>
        <v>333.35000000000002</v>
      </c>
      <c r="AW244">
        <f t="shared" si="10"/>
        <v>333.35000000000002</v>
      </c>
      <c r="AX244">
        <f>L244</f>
        <v>333.35000000000002</v>
      </c>
      <c r="AZ244">
        <f>Source!HK45</f>
        <v>0</v>
      </c>
      <c r="BA244">
        <f>Source!HL45</f>
        <v>0</v>
      </c>
      <c r="BH244">
        <f t="shared" si="11"/>
        <v>34.910000000000004</v>
      </c>
      <c r="CD244">
        <v>1</v>
      </c>
    </row>
    <row r="245" ht="14.25">
      <c r="A245" s="55"/>
      <c r="B245" s="55"/>
      <c r="C245" s="55" t="s">
        <v>55</v>
      </c>
      <c r="D245" s="56"/>
      <c r="E245" s="57"/>
      <c r="F245" s="57"/>
      <c r="G245" s="57"/>
      <c r="H245" s="58"/>
      <c r="I245" s="59"/>
      <c r="J245" s="58">
        <f>SUM(S229:S248)+SUM(T229:T248)+SUM(X229:X248)+SUM(Y229:Y248)+SUM(Z229:Z248)</f>
        <v>26.530000000000001</v>
      </c>
      <c r="K245" s="59"/>
      <c r="L245" s="58">
        <f>SUM(AR229:AR248)+SUM(AS229:AS248)+SUM(AT229:AT248)+SUM(AU229:AU248)+SUM(AV229:AV248)</f>
        <v>1467.6400000000001</v>
      </c>
    </row>
    <row r="246" ht="71.25">
      <c r="A246" s="55"/>
      <c r="B246" s="55" t="s">
        <v>79</v>
      </c>
      <c r="C246" s="55" t="s">
        <v>80</v>
      </c>
      <c r="D246" s="56" t="s">
        <v>58</v>
      </c>
      <c r="E246" s="57">
        <f>Source!BZ42</f>
        <v>121</v>
      </c>
      <c r="F246" s="57"/>
      <c r="G246" s="57">
        <f>Source!AT42</f>
        <v>121</v>
      </c>
      <c r="H246" s="58"/>
      <c r="I246" s="59"/>
      <c r="J246" s="58">
        <f>SUM(AD229:AD248)</f>
        <v>32.100000000000001</v>
      </c>
      <c r="K246" s="59"/>
      <c r="L246" s="58">
        <f>SUM(AZ229:AZ248)</f>
        <v>1775.8400000000001</v>
      </c>
    </row>
    <row r="247" ht="71.25">
      <c r="A247" s="62"/>
      <c r="B247" s="62" t="s">
        <v>81</v>
      </c>
      <c r="C247" s="62" t="s">
        <v>82</v>
      </c>
      <c r="D247" s="63" t="s">
        <v>58</v>
      </c>
      <c r="E247" s="64">
        <f>Source!CA42</f>
        <v>72</v>
      </c>
      <c r="F247" s="64"/>
      <c r="G247" s="64">
        <f>Source!AU42</f>
        <v>72</v>
      </c>
      <c r="H247" s="65"/>
      <c r="I247" s="66"/>
      <c r="J247" s="65">
        <f>SUM(AE229:AE248)</f>
        <v>19.100000000000001</v>
      </c>
      <c r="K247" s="66"/>
      <c r="L247" s="65">
        <f>SUM(BA229:BA248)</f>
        <v>1056.7</v>
      </c>
    </row>
    <row r="248" ht="15">
      <c r="C248" s="67" t="s">
        <v>61</v>
      </c>
      <c r="D248" s="67"/>
      <c r="E248" s="67"/>
      <c r="F248" s="67"/>
      <c r="G248" s="67"/>
      <c r="H248" s="67"/>
      <c r="I248" s="68">
        <f>J231+J232+J234+J246+J247+SUM(J242:J244)-SUMIF(CE242:CE244, 1, J242:J244)</f>
        <v>340.48000000000002</v>
      </c>
      <c r="J248" s="68"/>
      <c r="O248" s="69">
        <f>J231+J232+J234+J246+J247</f>
        <v>82.409999999999997</v>
      </c>
      <c r="P248" s="69">
        <f>J232</f>
        <v>2.0600000000000001</v>
      </c>
      <c r="R248" t="s">
        <v>62</v>
      </c>
      <c r="S248" s="69">
        <f>J231</f>
        <v>26.240000000000002</v>
      </c>
      <c r="U248" s="69">
        <f>J231</f>
        <v>26.240000000000002</v>
      </c>
      <c r="X248" s="69">
        <f>J233</f>
        <v>0.28999999999999998</v>
      </c>
      <c r="Z248" t="s">
        <v>62</v>
      </c>
      <c r="AA248" s="69">
        <f>J234</f>
        <v>2.9100000000000001</v>
      </c>
      <c r="AD248">
        <f>Source!X42</f>
        <v>32.100000000000001</v>
      </c>
      <c r="AE248">
        <f>Source!Y42</f>
        <v>19.100000000000001</v>
      </c>
      <c r="AN248" s="69">
        <f>L231+L232+L234+L246+L247</f>
        <v>4284.1400000000003</v>
      </c>
      <c r="AO248" s="69">
        <f>L232</f>
        <v>0</v>
      </c>
      <c r="AQ248" t="s">
        <v>62</v>
      </c>
      <c r="AR248" s="69">
        <f>L231</f>
        <v>1451.6000000000001</v>
      </c>
      <c r="AT248" s="69">
        <f>L233</f>
        <v>16.039999999999999</v>
      </c>
      <c r="AV248" t="s">
        <v>62</v>
      </c>
      <c r="AW248" s="69">
        <f>L234</f>
        <v>0</v>
      </c>
      <c r="AZ248">
        <f>Source!HK42</f>
        <v>1775.8400000000001</v>
      </c>
      <c r="BA248">
        <f>Source!HL42</f>
        <v>1056.7</v>
      </c>
      <c r="BH248" s="69">
        <f>J231+J232+J234+J246+J247</f>
        <v>82.409999999999997</v>
      </c>
      <c r="CD248">
        <v>1</v>
      </c>
    </row>
    <row r="249" ht="71.25">
      <c r="A249" s="54" t="s">
        <v>98</v>
      </c>
      <c r="B249" s="55" t="str">
        <f>Source!F46</f>
        <v>16-04-005-02</v>
      </c>
      <c r="C249" s="55" t="str">
        <f>Source!G46</f>
        <v xml:space="preserve"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v>
      </c>
      <c r="D249" s="56" t="str">
        <f>Source!H46</f>
        <v xml:space="preserve">100 м</v>
      </c>
      <c r="E249" s="57">
        <f>Source!K46</f>
        <v>0.29999999999999999</v>
      </c>
      <c r="F249" s="57"/>
      <c r="G249" s="57">
        <f>Source!I46</f>
        <v>0.29999999999999999</v>
      </c>
      <c r="H249" s="58"/>
      <c r="I249" s="59"/>
      <c r="J249" s="58"/>
      <c r="K249" s="59"/>
      <c r="L249" s="58"/>
    </row>
    <row r="250">
      <c r="C250" s="60" t="str">
        <f>"Объем: "&amp;Source!I46&amp;"=30/"&amp;"100"</f>
        <v xml:space="preserve">Объем: 0,3=30/100</v>
      </c>
    </row>
    <row r="251" ht="14.25">
      <c r="A251" s="55"/>
      <c r="B251" s="59">
        <v>1</v>
      </c>
      <c r="C251" s="55" t="s">
        <v>48</v>
      </c>
      <c r="D251" s="56"/>
      <c r="E251" s="57"/>
      <c r="F251" s="57"/>
      <c r="G251" s="57"/>
      <c r="H251" s="58">
        <f>Source!AO46</f>
        <v>123.89</v>
      </c>
      <c r="I251" s="59"/>
      <c r="J251" s="58">
        <f>ROUND(Source!AF46*Source!I46, 2)</f>
        <v>37.170000000000002</v>
      </c>
      <c r="K251" s="59">
        <f>IF(Source!BA46&lt;&gt; 0, Source!BA46, 1)</f>
        <v>55.32</v>
      </c>
      <c r="L251" s="58">
        <f>Source!HJ46</f>
        <v>2056.2400000000002</v>
      </c>
    </row>
    <row r="252" ht="14.25">
      <c r="A252" s="55"/>
      <c r="B252" s="59">
        <v>2</v>
      </c>
      <c r="C252" s="55" t="s">
        <v>49</v>
      </c>
      <c r="D252" s="56"/>
      <c r="E252" s="57"/>
      <c r="F252" s="57"/>
      <c r="G252" s="57"/>
      <c r="H252" s="58">
        <f>Source!AM46</f>
        <v>40.509999999999998</v>
      </c>
      <c r="I252" s="59"/>
      <c r="J252" s="58">
        <f>ROUND((((Source!ET46)-(Source!EU46))+Source!AE46)*Source!I46, 2)</f>
        <v>12.15</v>
      </c>
      <c r="K252" s="59"/>
      <c r="L252" s="58"/>
    </row>
    <row r="253" ht="14.25">
      <c r="A253" s="55"/>
      <c r="B253" s="59">
        <v>3</v>
      </c>
      <c r="C253" s="55" t="s">
        <v>50</v>
      </c>
      <c r="D253" s="56"/>
      <c r="E253" s="57"/>
      <c r="F253" s="57"/>
      <c r="G253" s="57"/>
      <c r="H253" s="58">
        <f>Source!AN46</f>
        <v>0.48999999999999999</v>
      </c>
      <c r="I253" s="59"/>
      <c r="J253" s="61">
        <f>ROUND(Source!AE46*Source!I46, 2)</f>
        <v>0.14999999999999999</v>
      </c>
      <c r="K253" s="59">
        <f>IF(Source!BS46&lt;&gt; 0, Source!BS46, 1)</f>
        <v>55.32</v>
      </c>
      <c r="L253" s="61">
        <f>Source!HI46</f>
        <v>8.3000000000000007</v>
      </c>
    </row>
    <row r="254" ht="14.25">
      <c r="A254" s="55"/>
      <c r="B254" s="59">
        <v>4</v>
      </c>
      <c r="C254" s="55" t="s">
        <v>51</v>
      </c>
      <c r="D254" s="56"/>
      <c r="E254" s="57"/>
      <c r="F254" s="57"/>
      <c r="G254" s="57"/>
      <c r="H254" s="58">
        <f>Source!AL46</f>
        <v>77.510000000000005</v>
      </c>
      <c r="I254" s="59"/>
      <c r="J254" s="58">
        <f>ROUND(Source!AC46*Source!I46, 2)</f>
        <v>23.25</v>
      </c>
      <c r="K254" s="59"/>
      <c r="L254" s="58"/>
    </row>
    <row r="255" ht="14.25">
      <c r="A255" s="55"/>
      <c r="B255" s="55" t="str">
        <f>EtalonRes!I108</f>
        <v>01.7.17.09</v>
      </c>
      <c r="C255" s="55" t="str">
        <f>EtalonRes!K108</f>
        <v>Буры</v>
      </c>
      <c r="D255" s="56" t="str">
        <f>EtalonRes!O108</f>
        <v>ШТ</v>
      </c>
      <c r="E255" s="57">
        <f>EtalonRes!X108</f>
        <v>0</v>
      </c>
      <c r="F255" s="57"/>
      <c r="G255" s="57">
        <f>ROUND(EtalonRes!AG108*Source!I46, 7)</f>
        <v>0</v>
      </c>
      <c r="H255" s="58"/>
      <c r="I255" s="59"/>
      <c r="J255" s="58"/>
      <c r="K255" s="59"/>
      <c r="L255" s="58"/>
    </row>
    <row r="256" ht="14.25">
      <c r="A256" s="55"/>
      <c r="B256" s="55" t="str">
        <f>EtalonRes!I109</f>
        <v>18.1.09.06</v>
      </c>
      <c r="C256" s="55" t="str">
        <f>EtalonRes!K109</f>
        <v xml:space="preserve">Арматура муфтовая</v>
      </c>
      <c r="D256" s="56" t="str">
        <f>EtalonRes!O109</f>
        <v>ШТ</v>
      </c>
      <c r="E256" s="57">
        <f>EtalonRes!X109</f>
        <v>0</v>
      </c>
      <c r="F256" s="57"/>
      <c r="G256" s="57">
        <f>ROUND(EtalonRes!AG109*Source!I46, 7)</f>
        <v>0</v>
      </c>
      <c r="H256" s="58"/>
      <c r="I256" s="59"/>
      <c r="J256" s="58"/>
      <c r="K256" s="59"/>
      <c r="L256" s="58"/>
    </row>
    <row r="257" ht="14.25">
      <c r="A257" s="55"/>
      <c r="B257" s="55" t="str">
        <f>EtalonRes!I110</f>
        <v>24.1.02.01</v>
      </c>
      <c r="C257" s="55" t="str">
        <f>EtalonRes!K110</f>
        <v xml:space="preserve">Хомуты для крепления труб</v>
      </c>
      <c r="D257" s="56" t="str">
        <f>EtalonRes!O110</f>
        <v xml:space="preserve">10 ШТ</v>
      </c>
      <c r="E257" s="57">
        <f>EtalonRes!X110</f>
        <v>14.300000000000001</v>
      </c>
      <c r="F257" s="57"/>
      <c r="G257" s="57">
        <f>ROUND(EtalonRes!AG110*Source!I46, 7)</f>
        <v>4.29</v>
      </c>
      <c r="H257" s="58"/>
      <c r="I257" s="59"/>
      <c r="J257" s="58"/>
      <c r="K257" s="59"/>
      <c r="L257" s="58"/>
    </row>
    <row r="258" ht="14.25">
      <c r="A258" s="55"/>
      <c r="B258" s="55" t="str">
        <f>EtalonRes!I111</f>
        <v>24.3.02.05</v>
      </c>
      <c r="C258" s="55" t="str">
        <f>EtalonRes!K111</f>
        <v xml:space="preserve">Труба напорная из полипропилена</v>
      </c>
      <c r="D258" s="56" t="str">
        <f>EtalonRes!O111</f>
        <v>м</v>
      </c>
      <c r="E258" s="57">
        <f>EtalonRes!X111</f>
        <v>102.5</v>
      </c>
      <c r="F258" s="57"/>
      <c r="G258" s="57">
        <f>ROUND(EtalonRes!AG111*Source!I46, 7)</f>
        <v>30.75</v>
      </c>
      <c r="H258" s="58"/>
      <c r="I258" s="59"/>
      <c r="J258" s="58"/>
      <c r="K258" s="59"/>
      <c r="L258" s="58"/>
    </row>
    <row r="259" ht="14.25">
      <c r="A259" s="55"/>
      <c r="B259" s="55" t="str">
        <f>EtalonRes!I112</f>
        <v>24.3.05.19</v>
      </c>
      <c r="C259" s="55" t="str">
        <f>EtalonRes!K112</f>
        <v xml:space="preserve">Фасонные и соединительные части</v>
      </c>
      <c r="D259" s="56" t="str">
        <f>EtalonRes!O112</f>
        <v>ШТ</v>
      </c>
      <c r="E259" s="57">
        <f>EtalonRes!X112</f>
        <v>0</v>
      </c>
      <c r="F259" s="57"/>
      <c r="G259" s="57">
        <f>ROUND(EtalonRes!AG112*Source!I46, 7)</f>
        <v>0</v>
      </c>
      <c r="H259" s="58"/>
      <c r="I259" s="59"/>
      <c r="J259" s="58"/>
      <c r="K259" s="59"/>
      <c r="L259" s="58"/>
    </row>
    <row r="260" ht="14.25">
      <c r="A260" s="55"/>
      <c r="B260" s="55"/>
      <c r="C260" s="55" t="s">
        <v>52</v>
      </c>
      <c r="D260" s="56" t="s">
        <v>30</v>
      </c>
      <c r="E260" s="57">
        <f>Source!AQ46</f>
        <v>13.18</v>
      </c>
      <c r="F260" s="57"/>
      <c r="G260" s="57">
        <f>ROUND(Source!U46, 7)</f>
        <v>3.9539999999999997</v>
      </c>
      <c r="H260" s="58"/>
      <c r="I260" s="59"/>
      <c r="J260" s="58"/>
      <c r="K260" s="59"/>
      <c r="L260" s="58"/>
    </row>
    <row r="261" ht="14.25">
      <c r="A261" s="55"/>
      <c r="B261" s="55"/>
      <c r="C261" s="62" t="s">
        <v>53</v>
      </c>
      <c r="D261" s="63" t="s">
        <v>30</v>
      </c>
      <c r="E261" s="64">
        <f>Source!AR46</f>
        <v>0.040000000000000001</v>
      </c>
      <c r="F261" s="64"/>
      <c r="G261" s="64">
        <f>ROUND(Source!V46, 7)</f>
        <v>0.012</v>
      </c>
      <c r="H261" s="65"/>
      <c r="I261" s="66"/>
      <c r="J261" s="65"/>
      <c r="K261" s="66"/>
      <c r="L261" s="65"/>
    </row>
    <row r="262" ht="14.25">
      <c r="A262" s="55"/>
      <c r="B262" s="55"/>
      <c r="C262" s="55" t="s">
        <v>54</v>
      </c>
      <c r="D262" s="56"/>
      <c r="E262" s="57"/>
      <c r="F262" s="57"/>
      <c r="G262" s="57"/>
      <c r="H262" s="58">
        <f>H251+H252+H254</f>
        <v>241.91000000000003</v>
      </c>
      <c r="I262" s="59"/>
      <c r="J262" s="58">
        <f>J251+J252+J254</f>
        <v>72.569999999999993</v>
      </c>
      <c r="K262" s="59"/>
      <c r="L262" s="58"/>
    </row>
    <row r="263" ht="71.25">
      <c r="A263" s="54" t="s">
        <v>99</v>
      </c>
      <c r="B263" s="55" t="str">
        <f>Source!F47</f>
        <v>18.1.09.06-0023</v>
      </c>
      <c r="C263" s="55" t="str">
        <f>Source!G47</f>
        <v xml:space="preserve">Кран шаровой 11Б27п1, номинальное давление 1,0 МПа (10 кгс/см2), номинальный диаметр 25 мм, присоединение к трубопроводу муфтовое</v>
      </c>
      <c r="D263" s="56" t="str">
        <f>Source!H47</f>
        <v>ШТ</v>
      </c>
      <c r="E263" s="57">
        <f>SmtRes!AT98</f>
        <v>43.3333333</v>
      </c>
      <c r="F263" s="57"/>
      <c r="G263" s="57">
        <f>Source!I47</f>
        <v>13</v>
      </c>
      <c r="H263" s="58">
        <f>Source!AL47+Source!AO47+Source!AM47</f>
        <v>33.280000000000001</v>
      </c>
      <c r="I263" s="59"/>
      <c r="J263" s="58">
        <f>ROUND(Source!AC47*Source!I47, 2)+ROUND((((Source!ET47)-(Source!EU47))+Source!AE47)*Source!I47, 2)+ROUND(Source!AF47*Source!I47, 2)</f>
        <v>432.63999999999999</v>
      </c>
      <c r="K263" s="59"/>
      <c r="L263" s="58"/>
      <c r="O263">
        <f t="shared" ref="O263:O266" si="12">J263</f>
        <v>432.63999999999999</v>
      </c>
      <c r="AA263">
        <f t="shared" ref="AA263:AA266" si="13">J263</f>
        <v>432.63999999999999</v>
      </c>
      <c r="AD263">
        <f>Source!X47</f>
        <v>0</v>
      </c>
      <c r="AE263">
        <f>Source!Y47</f>
        <v>0</v>
      </c>
      <c r="AN263">
        <f t="shared" ref="AN263:AN266" si="14">L263</f>
        <v>0</v>
      </c>
      <c r="AW263">
        <f t="shared" ref="AW263:AW266" si="15">L263</f>
        <v>0</v>
      </c>
      <c r="AZ263">
        <f>Source!HK47</f>
        <v>0</v>
      </c>
      <c r="BA263">
        <f>Source!HL47</f>
        <v>0</v>
      </c>
      <c r="BH263">
        <f t="shared" ref="BH263:BH266" si="16">J263</f>
        <v>432.63999999999999</v>
      </c>
      <c r="CD263">
        <v>1</v>
      </c>
    </row>
    <row r="264" ht="28.5">
      <c r="A264" s="54" t="s">
        <v>100</v>
      </c>
      <c r="B264" s="55" t="str">
        <f>Source!F48</f>
        <v>24.1.02.01-0004</v>
      </c>
      <c r="C264" s="55" t="str">
        <f>Source!G48</f>
        <v xml:space="preserve">Хомуты с быстродействующим замком для крепления труб размером 25-30 мм</v>
      </c>
      <c r="D264" s="56" t="str">
        <f>Source!H48</f>
        <v>ШТ</v>
      </c>
      <c r="E264" s="57">
        <f>SmtRes!AT99</f>
        <v>100</v>
      </c>
      <c r="F264" s="57"/>
      <c r="G264" s="57">
        <f>Source!I48</f>
        <v>30</v>
      </c>
      <c r="H264" s="58">
        <f>Source!AL48+Source!AO48+Source!AM48</f>
        <v>10.369999999999999</v>
      </c>
      <c r="I264" s="59"/>
      <c r="J264" s="58">
        <f>ROUND(Source!AC48*Source!I48,2)+ROUND((((Source!ET48)-(Source!EU48))+Source!AE48)*Source!I48,2)+ROUND(Source!AF48*Source!I48,2)</f>
        <v>311.10000000000002</v>
      </c>
      <c r="K264" s="59"/>
      <c r="L264" s="58"/>
      <c r="O264">
        <f t="shared" si="12"/>
        <v>311.10000000000002</v>
      </c>
      <c r="AA264">
        <f t="shared" si="13"/>
        <v>311.10000000000002</v>
      </c>
      <c r="AD264">
        <f>Source!X48</f>
        <v>0</v>
      </c>
      <c r="AE264">
        <f>Source!Y48</f>
        <v>0</v>
      </c>
      <c r="AN264">
        <f t="shared" si="14"/>
        <v>0</v>
      </c>
      <c r="AW264">
        <f t="shared" si="15"/>
        <v>0</v>
      </c>
      <c r="AZ264">
        <f>Source!HK48</f>
        <v>0</v>
      </c>
      <c r="BA264">
        <f>Source!HL48</f>
        <v>0</v>
      </c>
      <c r="BH264">
        <f t="shared" si="16"/>
        <v>311.10000000000002</v>
      </c>
      <c r="CD264">
        <v>1</v>
      </c>
    </row>
    <row r="265" ht="42.75">
      <c r="A265" s="54" t="s">
        <v>101</v>
      </c>
      <c r="B265" s="55" t="str">
        <f>Source!F49</f>
        <v>24.3.02.05-0003</v>
      </c>
      <c r="C265" s="55" t="str">
        <f>Source!G49</f>
        <v xml:space="preserve">Трубы полипропиленовые ПП-Р, номинальное давление 1,0 МПа, номинальный наружный диаметр 25 мм</v>
      </c>
      <c r="D265" s="56" t="str">
        <f>Source!H49</f>
        <v>м</v>
      </c>
      <c r="E265" s="57">
        <f>SmtRes!AT100</f>
        <v>102.5</v>
      </c>
      <c r="F265" s="57"/>
      <c r="G265" s="57">
        <f>Source!I49</f>
        <v>30.75</v>
      </c>
      <c r="H265" s="58">
        <f>Source!AL49+Source!AO49+Source!AM49</f>
        <v>5.54</v>
      </c>
      <c r="I265" s="59"/>
      <c r="J265" s="58">
        <f>ROUND(Source!AC49*Source!I49,2)+ROUND((((Source!ET49)-(Source!EU49))+Source!AE49)*Source!I49,2)+ROUND(Source!AF49*Source!I49,2)</f>
        <v>170.36000000000001</v>
      </c>
      <c r="K265" s="59"/>
      <c r="L265" s="58"/>
      <c r="O265">
        <f t="shared" si="12"/>
        <v>170.36000000000001</v>
      </c>
      <c r="AA265">
        <f t="shared" si="13"/>
        <v>170.36000000000001</v>
      </c>
      <c r="AD265">
        <f>Source!X49</f>
        <v>0</v>
      </c>
      <c r="AE265">
        <f>Source!Y49</f>
        <v>0</v>
      </c>
      <c r="AN265">
        <f t="shared" si="14"/>
        <v>0</v>
      </c>
      <c r="AW265">
        <f t="shared" si="15"/>
        <v>0</v>
      </c>
      <c r="AZ265">
        <f>Source!HK49</f>
        <v>0</v>
      </c>
      <c r="BA265">
        <f>Source!HL49</f>
        <v>0</v>
      </c>
      <c r="BH265">
        <f t="shared" si="16"/>
        <v>170.36000000000001</v>
      </c>
      <c r="CD265">
        <v>1</v>
      </c>
    </row>
    <row r="266" ht="28.5">
      <c r="A266" s="54" t="s">
        <v>102</v>
      </c>
      <c r="B266" s="55" t="str">
        <f>Source!F50</f>
        <v>24.3.05.19</v>
      </c>
      <c r="C266" s="55" t="s">
        <v>103</v>
      </c>
      <c r="D266" s="56" t="str">
        <f>Source!H50</f>
        <v>ШТ</v>
      </c>
      <c r="E266" s="57">
        <f>SmtRes!AT101</f>
        <v>33.3333333</v>
      </c>
      <c r="F266" s="57"/>
      <c r="G266" s="57">
        <f>Source!I50</f>
        <v>10</v>
      </c>
      <c r="H266" s="58">
        <f>Source!AL50+Source!AO50+Source!AM50</f>
        <v>25</v>
      </c>
      <c r="I266" s="59"/>
      <c r="J266" s="58">
        <f>Source!P50</f>
        <v>26.18</v>
      </c>
      <c r="K266" s="59">
        <f>IF(Source!BC50&lt;&gt; 0, Source!BC50, 1)</f>
        <v>9.5500000000000007</v>
      </c>
      <c r="L266" s="58">
        <f>Source!HG50</f>
        <v>250</v>
      </c>
      <c r="O266">
        <f t="shared" si="12"/>
        <v>26.18</v>
      </c>
      <c r="AA266">
        <f t="shared" si="13"/>
        <v>26.18</v>
      </c>
      <c r="AB266">
        <f>J266</f>
        <v>26.18</v>
      </c>
      <c r="AD266">
        <f>Source!X50</f>
        <v>0</v>
      </c>
      <c r="AE266">
        <f>Source!Y50</f>
        <v>0</v>
      </c>
      <c r="AN266">
        <f t="shared" si="14"/>
        <v>250</v>
      </c>
      <c r="AW266">
        <f t="shared" si="15"/>
        <v>250</v>
      </c>
      <c r="AX266">
        <f>L266</f>
        <v>250</v>
      </c>
      <c r="AZ266">
        <f>Source!HK50</f>
        <v>0</v>
      </c>
      <c r="BA266">
        <f>Source!HL50</f>
        <v>0</v>
      </c>
      <c r="BH266">
        <f t="shared" si="16"/>
        <v>26.18</v>
      </c>
      <c r="CD266">
        <v>1</v>
      </c>
    </row>
    <row r="267" ht="14.25">
      <c r="A267" s="55"/>
      <c r="B267" s="55"/>
      <c r="C267" s="55" t="s">
        <v>55</v>
      </c>
      <c r="D267" s="56"/>
      <c r="E267" s="57"/>
      <c r="F267" s="57"/>
      <c r="G267" s="57"/>
      <c r="H267" s="58"/>
      <c r="I267" s="59"/>
      <c r="J267" s="58">
        <f>SUM(S249:S270)+SUM(T249:T270)+SUM(X249:X270)+SUM(Y249:Y270)+SUM(Z249:Z270)</f>
        <v>37.32</v>
      </c>
      <c r="K267" s="59"/>
      <c r="L267" s="58">
        <f>SUM(AR249:AR270)+SUM(AS249:AS270)+SUM(AT249:AT270)+SUM(AU249:AU270)+SUM(AV249:AV270)</f>
        <v>2064.5400000000004</v>
      </c>
    </row>
    <row r="268" ht="71.25">
      <c r="A268" s="55"/>
      <c r="B268" s="55" t="s">
        <v>79</v>
      </c>
      <c r="C268" s="55" t="s">
        <v>80</v>
      </c>
      <c r="D268" s="56" t="s">
        <v>58</v>
      </c>
      <c r="E268" s="57">
        <f>Source!BZ46</f>
        <v>121</v>
      </c>
      <c r="F268" s="57"/>
      <c r="G268" s="57">
        <f>Source!AT46</f>
        <v>121</v>
      </c>
      <c r="H268" s="58"/>
      <c r="I268" s="59"/>
      <c r="J268" s="58">
        <f>SUM(AD249:AD270)</f>
        <v>45.160000000000004</v>
      </c>
      <c r="K268" s="59"/>
      <c r="L268" s="58">
        <f>SUM(AZ249:AZ270)</f>
        <v>2498.0900000000001</v>
      </c>
    </row>
    <row r="269" ht="71.25">
      <c r="A269" s="62"/>
      <c r="B269" s="62" t="s">
        <v>81</v>
      </c>
      <c r="C269" s="62" t="s">
        <v>82</v>
      </c>
      <c r="D269" s="63" t="s">
        <v>58</v>
      </c>
      <c r="E269" s="64">
        <f>Source!CA46</f>
        <v>72</v>
      </c>
      <c r="F269" s="64"/>
      <c r="G269" s="64">
        <f>Source!AU46</f>
        <v>72</v>
      </c>
      <c r="H269" s="65"/>
      <c r="I269" s="66"/>
      <c r="J269" s="65">
        <f>SUM(AE249:AE270)</f>
        <v>26.870000000000001</v>
      </c>
      <c r="K269" s="66"/>
      <c r="L269" s="65">
        <f>SUM(BA249:BA270)</f>
        <v>1486.47</v>
      </c>
    </row>
    <row r="270" ht="14.25">
      <c r="C270" s="67" t="s">
        <v>61</v>
      </c>
      <c r="D270" s="67"/>
      <c r="E270" s="67"/>
      <c r="F270" s="67"/>
      <c r="G270" s="67"/>
      <c r="H270" s="67"/>
      <c r="I270" s="68">
        <f>J251+J252+J254+J268+J269+SUM(J263:J266)-SUMIF(CE263:CE266, 1, J263:J266)</f>
        <v>1084.8799999999999</v>
      </c>
      <c r="J270" s="68"/>
      <c r="O270" s="69">
        <f>J251+J252+J254+J268+J269</f>
        <v>144.59999999999999</v>
      </c>
      <c r="P270" s="69">
        <f>J252</f>
        <v>12.15</v>
      </c>
      <c r="R270" t="s">
        <v>62</v>
      </c>
      <c r="S270" s="69">
        <f>J251</f>
        <v>37.170000000000002</v>
      </c>
      <c r="U270" s="69">
        <f>J251</f>
        <v>37.170000000000002</v>
      </c>
      <c r="X270" s="69">
        <f>J253</f>
        <v>0.14999999999999999</v>
      </c>
      <c r="Z270" t="s">
        <v>62</v>
      </c>
      <c r="AA270" s="69">
        <f>J254</f>
        <v>23.25</v>
      </c>
      <c r="AD270">
        <f>Source!X46</f>
        <v>45.160000000000004</v>
      </c>
      <c r="AE270">
        <f>Source!Y46</f>
        <v>26.870000000000001</v>
      </c>
      <c r="AN270" s="69">
        <f>L251+L252+L254+L268+L269</f>
        <v>6040.8000000000002</v>
      </c>
      <c r="AO270" s="69">
        <f>L252</f>
        <v>0</v>
      </c>
      <c r="AQ270" t="s">
        <v>62</v>
      </c>
      <c r="AR270" s="69">
        <f>L251</f>
        <v>2056.2400000000002</v>
      </c>
      <c r="AT270" s="69">
        <f>L253</f>
        <v>8.3000000000000007</v>
      </c>
      <c r="AV270" t="s">
        <v>62</v>
      </c>
      <c r="AW270" s="69">
        <f>L254</f>
        <v>0</v>
      </c>
      <c r="AZ270">
        <f>Source!HK46</f>
        <v>2498.0900000000001</v>
      </c>
      <c r="BA270">
        <f>Source!HL46</f>
        <v>1486.47</v>
      </c>
      <c r="BH270" s="69">
        <f>J251+J252+J254+J268+J269</f>
        <v>144.59999999999999</v>
      </c>
      <c r="CD270">
        <v>1</v>
      </c>
    </row>
    <row r="271" ht="85.5">
      <c r="A271" s="54" t="s">
        <v>104</v>
      </c>
      <c r="B271" s="55" t="str">
        <f>Source!F51</f>
        <v>16-04-006-02</v>
      </c>
      <c r="C271" s="55" t="str">
        <f>Source!G51</f>
        <v xml:space="preserve"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25 мм</v>
      </c>
      <c r="D271" s="56" t="str">
        <f>Source!H51</f>
        <v xml:space="preserve">100 соединений</v>
      </c>
      <c r="E271" s="57">
        <f>Source!K51</f>
        <v>0.19999999999999998</v>
      </c>
      <c r="F271" s="57"/>
      <c r="G271" s="57">
        <f>Source!I51</f>
        <v>0.19999999999999998</v>
      </c>
      <c r="H271" s="58"/>
      <c r="I271" s="59"/>
      <c r="J271" s="58"/>
      <c r="K271" s="59"/>
      <c r="L271" s="58"/>
    </row>
    <row r="272">
      <c r="C272" s="60" t="str">
        <f>"Объем: "&amp;Source!I51&amp;"=20/"&amp;"100"</f>
        <v xml:space="preserve">Объем: 0,19999999999999998=20/100</v>
      </c>
    </row>
    <row r="273" ht="14.25">
      <c r="A273" s="55"/>
      <c r="B273" s="59">
        <v>1</v>
      </c>
      <c r="C273" s="55" t="s">
        <v>48</v>
      </c>
      <c r="D273" s="56"/>
      <c r="E273" s="57"/>
      <c r="F273" s="57"/>
      <c r="G273" s="57"/>
      <c r="H273" s="58">
        <f>Source!AO51</f>
        <v>23.890000000000001</v>
      </c>
      <c r="I273" s="59"/>
      <c r="J273" s="58">
        <f>ROUND(Source!AF51*Source!I51, 2)</f>
        <v>4.7800000000000002</v>
      </c>
      <c r="K273" s="59">
        <f>IF(Source!BA51&lt;&gt; 0, Source!BA51, 1)</f>
        <v>55.32</v>
      </c>
      <c r="L273" s="58">
        <f>Source!HJ51</f>
        <v>264.43000000000001</v>
      </c>
    </row>
    <row r="274" ht="14.25">
      <c r="A274" s="55"/>
      <c r="B274" s="59">
        <v>2</v>
      </c>
      <c r="C274" s="55" t="s">
        <v>49</v>
      </c>
      <c r="D274" s="56"/>
      <c r="E274" s="57"/>
      <c r="F274" s="57"/>
      <c r="G274" s="57"/>
      <c r="H274" s="58">
        <f>Source!AM51</f>
        <v>0</v>
      </c>
      <c r="I274" s="59"/>
      <c r="J274" s="58">
        <f>ROUND((((Source!ET51)-(Source!EU51))+Source!AE51)*Source!I51, 2)</f>
        <v>0</v>
      </c>
      <c r="K274" s="59"/>
      <c r="L274" s="58"/>
    </row>
    <row r="275" ht="14.25">
      <c r="A275" s="55"/>
      <c r="B275" s="59">
        <v>3</v>
      </c>
      <c r="C275" s="55" t="s">
        <v>50</v>
      </c>
      <c r="D275" s="56"/>
      <c r="E275" s="57"/>
      <c r="F275" s="57"/>
      <c r="G275" s="57"/>
      <c r="H275" s="58">
        <f>Source!AN51</f>
        <v>0</v>
      </c>
      <c r="I275" s="59"/>
      <c r="J275" s="61">
        <f>ROUND(Source!AE51*Source!I51, 2)</f>
        <v>0</v>
      </c>
      <c r="K275" s="59">
        <f>IF(Source!BS51&lt;&gt; 0, Source!BS51, 1)</f>
        <v>55.32</v>
      </c>
      <c r="L275" s="61">
        <f>Source!HI51</f>
        <v>0</v>
      </c>
    </row>
    <row r="276" ht="14.25">
      <c r="A276" s="55"/>
      <c r="B276" s="59">
        <v>4</v>
      </c>
      <c r="C276" s="55" t="s">
        <v>51</v>
      </c>
      <c r="D276" s="56"/>
      <c r="E276" s="57"/>
      <c r="F276" s="57"/>
      <c r="G276" s="57"/>
      <c r="H276" s="58">
        <f>Source!AL51</f>
        <v>0</v>
      </c>
      <c r="I276" s="59"/>
      <c r="J276" s="58">
        <f>ROUND(Source!AC51*Source!I51, 2)</f>
        <v>0</v>
      </c>
      <c r="K276" s="59"/>
      <c r="L276" s="58"/>
    </row>
    <row r="277" ht="14.25">
      <c r="A277" s="55"/>
      <c r="B277" s="55"/>
      <c r="C277" s="55" t="s">
        <v>52</v>
      </c>
      <c r="D277" s="56" t="s">
        <v>30</v>
      </c>
      <c r="E277" s="57">
        <f>Source!AQ51</f>
        <v>2.3399999999999999</v>
      </c>
      <c r="F277" s="57"/>
      <c r="G277" s="57">
        <f>ROUND(Source!U51, 7)</f>
        <v>0.46799999999999997</v>
      </c>
      <c r="H277" s="58"/>
      <c r="I277" s="59"/>
      <c r="J277" s="58"/>
      <c r="K277" s="59"/>
      <c r="L277" s="58"/>
    </row>
    <row r="278" ht="14.25">
      <c r="A278" s="55"/>
      <c r="B278" s="55"/>
      <c r="C278" s="62" t="s">
        <v>53</v>
      </c>
      <c r="D278" s="63" t="s">
        <v>30</v>
      </c>
      <c r="E278" s="64">
        <f>Source!AR51</f>
        <v>0</v>
      </c>
      <c r="F278" s="64"/>
      <c r="G278" s="64">
        <f>ROUND(Source!V51, 7)</f>
        <v>0</v>
      </c>
      <c r="H278" s="65"/>
      <c r="I278" s="66"/>
      <c r="J278" s="65"/>
      <c r="K278" s="66"/>
      <c r="L278" s="65"/>
    </row>
    <row r="279" ht="14.25">
      <c r="A279" s="55"/>
      <c r="B279" s="55"/>
      <c r="C279" s="55" t="s">
        <v>54</v>
      </c>
      <c r="D279" s="56"/>
      <c r="E279" s="57"/>
      <c r="F279" s="57"/>
      <c r="G279" s="57"/>
      <c r="H279" s="58">
        <f>H273+H274+H276</f>
        <v>23.890000000000001</v>
      </c>
      <c r="I279" s="59"/>
      <c r="J279" s="58">
        <f>J273+J274+J276</f>
        <v>4.7800000000000002</v>
      </c>
      <c r="K279" s="59"/>
      <c r="L279" s="58"/>
    </row>
    <row r="280" ht="14.25">
      <c r="A280" s="55"/>
      <c r="B280" s="55"/>
      <c r="C280" s="55" t="s">
        <v>55</v>
      </c>
      <c r="D280" s="56"/>
      <c r="E280" s="57"/>
      <c r="F280" s="57"/>
      <c r="G280" s="57"/>
      <c r="H280" s="58"/>
      <c r="I280" s="59"/>
      <c r="J280" s="58">
        <f>SUM(S271:S283)+SUM(T271:T283)+SUM(X271:X283)+SUM(Y271:Y283)+SUM(Z271:Z283)</f>
        <v>4.7800000000000002</v>
      </c>
      <c r="K280" s="59"/>
      <c r="L280" s="58">
        <f>SUM(AR271:AR283)+SUM(AS271:AS283)+SUM(AT271:AT283)+SUM(AU271:AU283)+SUM(AV271:AV283)</f>
        <v>264.43000000000001</v>
      </c>
    </row>
    <row r="281" ht="71.25">
      <c r="A281" s="55"/>
      <c r="B281" s="55" t="s">
        <v>79</v>
      </c>
      <c r="C281" s="55" t="s">
        <v>80</v>
      </c>
      <c r="D281" s="56" t="s">
        <v>58</v>
      </c>
      <c r="E281" s="57">
        <f>Source!BZ51</f>
        <v>121</v>
      </c>
      <c r="F281" s="57"/>
      <c r="G281" s="57">
        <f>Source!AT51</f>
        <v>121</v>
      </c>
      <c r="H281" s="58"/>
      <c r="I281" s="59"/>
      <c r="J281" s="58">
        <f>SUM(AD271:AD283)</f>
        <v>5.7800000000000002</v>
      </c>
      <c r="K281" s="59"/>
      <c r="L281" s="58">
        <f>SUM(AZ271:AZ283)</f>
        <v>319.95999999999998</v>
      </c>
    </row>
    <row r="282" ht="71.25">
      <c r="A282" s="62"/>
      <c r="B282" s="62" t="s">
        <v>81</v>
      </c>
      <c r="C282" s="62" t="s">
        <v>82</v>
      </c>
      <c r="D282" s="63" t="s">
        <v>58</v>
      </c>
      <c r="E282" s="64">
        <f>Source!CA51</f>
        <v>72</v>
      </c>
      <c r="F282" s="64"/>
      <c r="G282" s="64">
        <f>Source!AU51</f>
        <v>72</v>
      </c>
      <c r="H282" s="65"/>
      <c r="I282" s="66"/>
      <c r="J282" s="65">
        <f>SUM(AE271:AE283)</f>
        <v>3.4399999999999999</v>
      </c>
      <c r="K282" s="66"/>
      <c r="L282" s="65">
        <f>SUM(BA271:BA283)</f>
        <v>190.39000000000001</v>
      </c>
    </row>
    <row r="283" ht="14.25">
      <c r="C283" s="67" t="s">
        <v>61</v>
      </c>
      <c r="D283" s="67"/>
      <c r="E283" s="67"/>
      <c r="F283" s="67"/>
      <c r="G283" s="67"/>
      <c r="H283" s="67"/>
      <c r="I283" s="68">
        <f>J273+J274+J276+J281+J282</f>
        <v>14</v>
      </c>
      <c r="J283" s="68"/>
      <c r="O283" s="69">
        <f>J273+J274+J276+J281+J282</f>
        <v>14</v>
      </c>
      <c r="P283" s="69">
        <f>J274</f>
        <v>0</v>
      </c>
      <c r="R283" t="s">
        <v>62</v>
      </c>
      <c r="S283" s="69">
        <f>J273</f>
        <v>4.7800000000000002</v>
      </c>
      <c r="U283" s="69">
        <f>J273</f>
        <v>4.7800000000000002</v>
      </c>
      <c r="X283" s="69">
        <f>J275</f>
        <v>0</v>
      </c>
      <c r="Z283" t="s">
        <v>62</v>
      </c>
      <c r="AA283" s="69">
        <f>J276</f>
        <v>0</v>
      </c>
      <c r="AD283">
        <f>Source!X51</f>
        <v>5.7800000000000002</v>
      </c>
      <c r="AE283">
        <f>Source!Y51</f>
        <v>3.4399999999999999</v>
      </c>
      <c r="AN283" s="69">
        <f>L273+L274+L276+L281+L282</f>
        <v>774.77999999999997</v>
      </c>
      <c r="AO283" s="69">
        <f>L274</f>
        <v>0</v>
      </c>
      <c r="AQ283" t="s">
        <v>62</v>
      </c>
      <c r="AR283" s="69">
        <f>L273</f>
        <v>264.43000000000001</v>
      </c>
      <c r="AT283" s="69">
        <f>L275</f>
        <v>0</v>
      </c>
      <c r="AV283" t="s">
        <v>62</v>
      </c>
      <c r="AW283" s="69">
        <f>L276</f>
        <v>0</v>
      </c>
      <c r="AZ283">
        <f>Source!HK51</f>
        <v>319.95999999999998</v>
      </c>
      <c r="BA283">
        <f>Source!HL51</f>
        <v>190.39000000000001</v>
      </c>
      <c r="BH283" s="69">
        <f>J273+J274+J276+J281+J282</f>
        <v>14</v>
      </c>
      <c r="CD283">
        <v>1</v>
      </c>
    </row>
    <row r="285" ht="14.25">
      <c r="A285" s="71"/>
      <c r="B285" s="72"/>
      <c r="C285" s="73" t="s">
        <v>105</v>
      </c>
      <c r="D285" s="73"/>
      <c r="E285" s="73"/>
      <c r="F285" s="73"/>
      <c r="G285" s="73"/>
      <c r="H285" s="73"/>
      <c r="I285" s="74"/>
      <c r="J285" s="68"/>
      <c r="K285" s="68"/>
      <c r="L285" s="68"/>
    </row>
    <row r="287" ht="14.25">
      <c r="A287" s="75"/>
      <c r="B287" s="76"/>
      <c r="C287" s="77" t="s">
        <v>106</v>
      </c>
      <c r="D287" s="77"/>
      <c r="E287" s="77"/>
      <c r="F287" s="77"/>
      <c r="G287" s="77"/>
      <c r="H287" s="77"/>
      <c r="I287" s="78"/>
      <c r="J287" s="79">
        <f>J289+J304+J305</f>
        <v>10714.93</v>
      </c>
      <c r="K287" s="79"/>
      <c r="L287" s="79">
        <f>L289+L304+L305</f>
        <v>161770.13999999998</v>
      </c>
    </row>
    <row r="288" ht="14.25">
      <c r="A288" s="80"/>
      <c r="B288" s="81"/>
      <c r="C288" s="82" t="s">
        <v>107</v>
      </c>
      <c r="D288" s="55"/>
      <c r="E288" s="55"/>
      <c r="F288" s="55"/>
      <c r="G288" s="55"/>
      <c r="H288" s="55"/>
      <c r="I288" s="57"/>
      <c r="J288" s="58"/>
      <c r="K288" s="58"/>
      <c r="L288" s="58"/>
    </row>
    <row r="289" ht="14.25">
      <c r="A289" s="80"/>
      <c r="B289" s="81"/>
      <c r="C289" s="55" t="s">
        <v>108</v>
      </c>
      <c r="D289" s="55"/>
      <c r="E289" s="55"/>
      <c r="F289" s="55"/>
      <c r="G289" s="55"/>
      <c r="H289" s="55"/>
      <c r="I289" s="57"/>
      <c r="J289" s="58">
        <f>J291+J292+J298+J302</f>
        <v>9909.9800000000014</v>
      </c>
      <c r="K289" s="58"/>
      <c r="L289" s="58">
        <f>L291+L292+L298+L302</f>
        <v>117240.19</v>
      </c>
    </row>
    <row r="290" ht="14.25">
      <c r="A290" s="80"/>
      <c r="B290" s="81"/>
      <c r="C290" s="82" t="s">
        <v>107</v>
      </c>
      <c r="D290" s="55"/>
      <c r="E290" s="55"/>
      <c r="F290" s="55"/>
      <c r="G290" s="55"/>
      <c r="H290" s="55"/>
      <c r="I290" s="57"/>
      <c r="J290" s="58"/>
      <c r="K290" s="58"/>
      <c r="L290" s="58"/>
    </row>
    <row r="291" ht="14.25">
      <c r="A291" s="80"/>
      <c r="B291" s="81"/>
      <c r="C291" s="55" t="s">
        <v>109</v>
      </c>
      <c r="D291" s="55"/>
      <c r="E291" s="55"/>
      <c r="F291" s="55"/>
      <c r="G291" s="55"/>
      <c r="H291" s="55"/>
      <c r="I291" s="57"/>
      <c r="J291" s="58">
        <f>SUMIF(CD58:CD283, 1, S58:S283)</f>
        <v>486.44</v>
      </c>
      <c r="K291" s="58"/>
      <c r="L291" s="58">
        <f>SUMIF(CD58:CD283, 1, AR58:AR283)</f>
        <v>26909.870000000003</v>
      </c>
    </row>
    <row r="292" ht="14.25">
      <c r="A292" s="80"/>
      <c r="B292" s="81"/>
      <c r="C292" s="55" t="s">
        <v>110</v>
      </c>
      <c r="D292" s="55"/>
      <c r="E292" s="55"/>
      <c r="F292" s="55"/>
      <c r="G292" s="55"/>
      <c r="H292" s="55"/>
      <c r="I292" s="57"/>
      <c r="J292" s="58">
        <f>J294+J297</f>
        <v>48.980000000000004</v>
      </c>
      <c r="K292" s="58"/>
      <c r="L292" s="58">
        <f>L294+L297</f>
        <v>803.26999999999998</v>
      </c>
    </row>
    <row r="293" ht="14.25">
      <c r="A293" s="80"/>
      <c r="B293" s="81"/>
      <c r="C293" s="82" t="s">
        <v>111</v>
      </c>
      <c r="D293" s="55"/>
      <c r="E293" s="55"/>
      <c r="F293" s="55"/>
      <c r="G293" s="55"/>
      <c r="H293" s="55"/>
      <c r="I293" s="57"/>
      <c r="J293" s="58"/>
      <c r="K293" s="58"/>
      <c r="L293" s="58"/>
    </row>
    <row r="294" ht="14.25">
      <c r="A294" s="80"/>
      <c r="B294" s="81" t="str">
        <f>Source!V140</f>
        <v/>
      </c>
      <c r="C294" s="55" t="s">
        <v>112</v>
      </c>
      <c r="D294" s="55"/>
      <c r="E294" s="55"/>
      <c r="F294" s="55"/>
      <c r="G294" s="55"/>
      <c r="H294" s="55"/>
      <c r="I294" s="57"/>
      <c r="J294" s="58">
        <f>SUMIF(CD58:CD283, 1, P58:P283)</f>
        <v>48.980000000000004</v>
      </c>
      <c r="K294" s="58">
        <f>Source!E140</f>
        <v>16.399999999999999</v>
      </c>
      <c r="L294" s="58">
        <f>ROUND(J294*Source!E140, 2)</f>
        <v>803.26999999999998</v>
      </c>
    </row>
    <row r="295" ht="14.25">
      <c r="A295" s="80"/>
      <c r="B295" s="81"/>
      <c r="C295" s="82" t="s">
        <v>113</v>
      </c>
      <c r="D295" s="55"/>
      <c r="E295" s="55"/>
      <c r="F295" s="55"/>
      <c r="G295" s="55"/>
      <c r="H295" s="55"/>
      <c r="I295" s="57"/>
      <c r="J295" s="58"/>
      <c r="K295" s="58"/>
      <c r="L295" s="58"/>
    </row>
    <row r="296" ht="14.25">
      <c r="A296" s="80"/>
      <c r="B296" s="81"/>
      <c r="C296" s="55" t="s">
        <v>114</v>
      </c>
      <c r="D296" s="55"/>
      <c r="E296" s="55"/>
      <c r="F296" s="55"/>
      <c r="G296" s="55"/>
      <c r="H296" s="55"/>
      <c r="I296" s="57"/>
      <c r="J296" s="58">
        <f>SUMIF(CD58:CD283, 1, X58:X283)</f>
        <v>8.9500000000000011</v>
      </c>
      <c r="K296" s="58"/>
      <c r="L296" s="58">
        <f>SUMIF(CD58:CD283, 1, AT58:AT283)</f>
        <v>495.12000000000006</v>
      </c>
    </row>
    <row r="297" ht="14.25" hidden="1">
      <c r="A297" s="80"/>
      <c r="B297" s="81"/>
      <c r="C297" s="55" t="s">
        <v>115</v>
      </c>
      <c r="D297" s="55"/>
      <c r="E297" s="55"/>
      <c r="F297" s="55"/>
      <c r="G297" s="55"/>
      <c r="H297" s="55"/>
      <c r="I297" s="57"/>
      <c r="J297" s="58">
        <f>SUMIF(CD58:CD283, 1, Z58:Z283)</f>
        <v>0</v>
      </c>
      <c r="K297" s="58"/>
      <c r="L297" s="58">
        <f>SUMIF(CD58:CD283, 1, AV58:AV283)</f>
        <v>0</v>
      </c>
    </row>
    <row r="298" ht="14.25">
      <c r="A298" s="80"/>
      <c r="B298" s="81"/>
      <c r="C298" s="55" t="s">
        <v>116</v>
      </c>
      <c r="D298" s="55"/>
      <c r="E298" s="55"/>
      <c r="F298" s="55"/>
      <c r="G298" s="55"/>
      <c r="H298" s="55"/>
      <c r="I298" s="57"/>
      <c r="J298" s="58">
        <f>J300+J301</f>
        <v>9374.5600000000013</v>
      </c>
      <c r="K298" s="58"/>
      <c r="L298" s="58">
        <f>L300+L301</f>
        <v>89527.050000000003</v>
      </c>
    </row>
    <row r="299" ht="14.25">
      <c r="A299" s="80"/>
      <c r="B299" s="81"/>
      <c r="C299" s="82" t="s">
        <v>111</v>
      </c>
      <c r="D299" s="55"/>
      <c r="E299" s="55"/>
      <c r="F299" s="55"/>
      <c r="G299" s="55"/>
      <c r="H299" s="55"/>
      <c r="I299" s="57"/>
      <c r="J299" s="58"/>
      <c r="K299" s="58"/>
      <c r="L299" s="58"/>
    </row>
    <row r="300" ht="14.25">
      <c r="A300" s="80"/>
      <c r="B300" s="81" t="str">
        <f>Source!U140</f>
        <v/>
      </c>
      <c r="C300" s="55" t="s">
        <v>117</v>
      </c>
      <c r="D300" s="55"/>
      <c r="E300" s="55"/>
      <c r="F300" s="55"/>
      <c r="G300" s="55"/>
      <c r="H300" s="55"/>
      <c r="I300" s="57"/>
      <c r="J300" s="58">
        <f>SUMIF(CD58:CD283, 1, AA58:AA283)-SUMIF(CD58:CD283, 1, BJ58:BJ283)</f>
        <v>9374.5600000000013</v>
      </c>
      <c r="K300" s="58">
        <f>Source!D140</f>
        <v>9.5500000000000007</v>
      </c>
      <c r="L300" s="58">
        <f>ROUND(J300*Source!D140, 2)</f>
        <v>89527.050000000003</v>
      </c>
    </row>
    <row r="301" ht="14.25" hidden="1">
      <c r="A301" s="80"/>
      <c r="B301" s="81" t="str">
        <f>Source!AB140</f>
        <v/>
      </c>
      <c r="C301" s="55" t="s">
        <v>118</v>
      </c>
      <c r="D301" s="55"/>
      <c r="E301" s="55"/>
      <c r="F301" s="55"/>
      <c r="G301" s="55"/>
      <c r="H301" s="55"/>
      <c r="I301" s="57"/>
      <c r="J301" s="58">
        <f>SUMIF(CD58:CD283, 1, AG58:AG283)</f>
        <v>0</v>
      </c>
      <c r="K301" s="58">
        <f>Source!L140</f>
        <v>1</v>
      </c>
      <c r="L301" s="58">
        <f>ROUND(J301*Source!L140, 2)</f>
        <v>0</v>
      </c>
    </row>
    <row r="302" ht="14.25" hidden="1">
      <c r="A302" s="80"/>
      <c r="B302" s="81" t="str">
        <f>Source!AB140</f>
        <v/>
      </c>
      <c r="C302" s="55" t="s">
        <v>119</v>
      </c>
      <c r="D302" s="55"/>
      <c r="E302" s="55"/>
      <c r="F302" s="55"/>
      <c r="G302" s="55"/>
      <c r="H302" s="55"/>
      <c r="I302" s="57"/>
      <c r="J302" s="58">
        <f>SUMIF(CD58:CD283, 1, AF58:AF283)</f>
        <v>0</v>
      </c>
      <c r="K302" s="58">
        <f>Source!L140</f>
        <v>1</v>
      </c>
      <c r="L302" s="58">
        <f>ROUND(J302*Source!L140, 2)</f>
        <v>0</v>
      </c>
    </row>
    <row r="303" ht="14.25">
      <c r="A303" s="80"/>
      <c r="B303" s="81"/>
      <c r="C303" s="55" t="s">
        <v>120</v>
      </c>
      <c r="D303" s="55"/>
      <c r="E303" s="55"/>
      <c r="F303" s="55"/>
      <c r="G303" s="55"/>
      <c r="H303" s="55"/>
      <c r="I303" s="57"/>
      <c r="J303" s="58">
        <f>SUMIF(CD58:CD283, 1, S58:S283)+SUMIF(CD58:CD283, 1, X58:X283)+SUMIF(CD58:CD283, 1, Z58:Z283)</f>
        <v>495.38999999999999</v>
      </c>
      <c r="K303" s="58"/>
      <c r="L303" s="58">
        <f>SUMIF(CD58:CD283, 1, AR58:AR283)+SUMIF(CD58:CD283, 1, AT58:AT283)+SUMIF(CD58:CD283, 1, AV58:AV283)</f>
        <v>27404.990000000002</v>
      </c>
    </row>
    <row r="304" ht="14.25">
      <c r="A304" s="80"/>
      <c r="B304" s="81"/>
      <c r="C304" s="55" t="s">
        <v>121</v>
      </c>
      <c r="D304" s="55"/>
      <c r="E304" s="55"/>
      <c r="F304" s="55"/>
      <c r="G304" s="55"/>
      <c r="H304" s="55"/>
      <c r="I304" s="57"/>
      <c r="J304" s="58">
        <f>SUMIF(CD58:CD283, 1, AD58:AD283)</f>
        <v>517.88999999999999</v>
      </c>
      <c r="K304" s="58"/>
      <c r="L304" s="58">
        <f>SUMIF(CD58:CD283, 1, AZ58:AZ283)</f>
        <v>28649.579999999998</v>
      </c>
    </row>
    <row r="305" ht="14.25">
      <c r="A305" s="80"/>
      <c r="B305" s="81"/>
      <c r="C305" s="55" t="s">
        <v>122</v>
      </c>
      <c r="D305" s="55"/>
      <c r="E305" s="55"/>
      <c r="F305" s="55"/>
      <c r="G305" s="55"/>
      <c r="H305" s="55"/>
      <c r="I305" s="57"/>
      <c r="J305" s="58">
        <f>SUMIF(CD58:CD283, 1, AE58:AE283)</f>
        <v>287.06</v>
      </c>
      <c r="K305" s="58"/>
      <c r="L305" s="58">
        <f>SUMIF(CD58:CD283, 1, BA58:BA283)</f>
        <v>15880.369999999999</v>
      </c>
    </row>
    <row r="306" hidden="1"/>
    <row r="307" ht="15" hidden="1">
      <c r="A307" s="75"/>
      <c r="B307" s="76"/>
      <c r="C307" s="77" t="s">
        <v>123</v>
      </c>
      <c r="D307" s="77"/>
      <c r="E307" s="77"/>
      <c r="F307" s="77"/>
      <c r="G307" s="77"/>
      <c r="H307" s="77"/>
      <c r="I307" s="78"/>
      <c r="J307" s="79">
        <f>J309+J324+J325</f>
        <v>0</v>
      </c>
      <c r="K307" s="79"/>
      <c r="L307" s="79">
        <f>L309+L324+L325</f>
        <v>0</v>
      </c>
    </row>
    <row r="308" ht="14.25" hidden="1">
      <c r="A308" s="80"/>
      <c r="B308" s="81"/>
      <c r="C308" s="82" t="s">
        <v>107</v>
      </c>
      <c r="D308" s="55"/>
      <c r="E308" s="55"/>
      <c r="F308" s="55"/>
      <c r="G308" s="55"/>
      <c r="H308" s="55"/>
      <c r="I308" s="57"/>
      <c r="J308" s="58"/>
      <c r="K308" s="58"/>
      <c r="L308" s="58"/>
    </row>
    <row r="309" ht="14.25" hidden="1">
      <c r="A309" s="80"/>
      <c r="B309" s="81"/>
      <c r="C309" s="55" t="s">
        <v>108</v>
      </c>
      <c r="D309" s="55"/>
      <c r="E309" s="55"/>
      <c r="F309" s="55"/>
      <c r="G309" s="55"/>
      <c r="H309" s="55"/>
      <c r="I309" s="57"/>
      <c r="J309" s="58">
        <f>J311+J312+J318+J322</f>
        <v>0</v>
      </c>
      <c r="K309" s="58"/>
      <c r="L309" s="58">
        <f>L311+L312+L318+L322</f>
        <v>0</v>
      </c>
    </row>
    <row r="310" ht="14.25" hidden="1">
      <c r="A310" s="80"/>
      <c r="B310" s="81"/>
      <c r="C310" s="82" t="s">
        <v>107</v>
      </c>
      <c r="D310" s="55"/>
      <c r="E310" s="55"/>
      <c r="F310" s="55"/>
      <c r="G310" s="55"/>
      <c r="H310" s="55"/>
      <c r="I310" s="57"/>
      <c r="J310" s="58"/>
      <c r="K310" s="58"/>
      <c r="L310" s="58"/>
    </row>
    <row r="311" ht="14.25" hidden="1">
      <c r="A311" s="80"/>
      <c r="B311" s="81"/>
      <c r="C311" s="55" t="s">
        <v>109</v>
      </c>
      <c r="D311" s="55"/>
      <c r="E311" s="55"/>
      <c r="F311" s="55"/>
      <c r="G311" s="55"/>
      <c r="H311" s="55"/>
      <c r="I311" s="57"/>
      <c r="J311" s="58">
        <f>SUMIF(CD58:CD305, 2, S58:S305)</f>
        <v>0</v>
      </c>
      <c r="K311" s="58"/>
      <c r="L311" s="58">
        <f>SUMIF(CD58:CD305, 2, AR58:AR305)</f>
        <v>0</v>
      </c>
    </row>
    <row r="312" ht="14.25" hidden="1">
      <c r="A312" s="80"/>
      <c r="B312" s="81"/>
      <c r="C312" s="55" t="s">
        <v>110</v>
      </c>
      <c r="D312" s="55"/>
      <c r="E312" s="55"/>
      <c r="F312" s="55"/>
      <c r="G312" s="55"/>
      <c r="H312" s="55"/>
      <c r="I312" s="57"/>
      <c r="J312" s="58">
        <f>J314+J317</f>
        <v>0</v>
      </c>
      <c r="K312" s="58"/>
      <c r="L312" s="58">
        <f>L314+L317</f>
        <v>0</v>
      </c>
    </row>
    <row r="313" ht="14.25" hidden="1">
      <c r="A313" s="80"/>
      <c r="B313" s="81"/>
      <c r="C313" s="82" t="s">
        <v>111</v>
      </c>
      <c r="D313" s="55"/>
      <c r="E313" s="55"/>
      <c r="F313" s="55"/>
      <c r="G313" s="55"/>
      <c r="H313" s="55"/>
      <c r="I313" s="57"/>
      <c r="J313" s="58"/>
      <c r="K313" s="58"/>
      <c r="L313" s="58"/>
    </row>
    <row r="314" ht="14.25" hidden="1">
      <c r="A314" s="80"/>
      <c r="B314" s="81" t="str">
        <f>Source!V140</f>
        <v/>
      </c>
      <c r="C314" s="55" t="s">
        <v>112</v>
      </c>
      <c r="D314" s="55"/>
      <c r="E314" s="55"/>
      <c r="F314" s="55"/>
      <c r="G314" s="55"/>
      <c r="H314" s="55"/>
      <c r="I314" s="57"/>
      <c r="J314" s="58">
        <f>SUMIF(CD58:CD305, 2, P58:P305)</f>
        <v>0</v>
      </c>
      <c r="K314" s="58">
        <f>Source!E140</f>
        <v>16.399999999999999</v>
      </c>
      <c r="L314" s="58">
        <f>ROUND(J314*Source!E140, 2)</f>
        <v>0</v>
      </c>
    </row>
    <row r="315" ht="14.25" hidden="1">
      <c r="A315" s="80"/>
      <c r="B315" s="81"/>
      <c r="C315" s="82" t="s">
        <v>113</v>
      </c>
      <c r="D315" s="55"/>
      <c r="E315" s="55"/>
      <c r="F315" s="55"/>
      <c r="G315" s="55"/>
      <c r="H315" s="55"/>
      <c r="I315" s="57"/>
      <c r="J315" s="58"/>
      <c r="K315" s="58"/>
      <c r="L315" s="58"/>
    </row>
    <row r="316" ht="14.25" hidden="1">
      <c r="A316" s="80"/>
      <c r="B316" s="81"/>
      <c r="C316" s="55" t="s">
        <v>114</v>
      </c>
      <c r="D316" s="55"/>
      <c r="E316" s="55"/>
      <c r="F316" s="55"/>
      <c r="G316" s="55"/>
      <c r="H316" s="55"/>
      <c r="I316" s="57"/>
      <c r="J316" s="58">
        <f>SUMIF(CD58:CD305, 2, X58:X305)</f>
        <v>0</v>
      </c>
      <c r="K316" s="58"/>
      <c r="L316" s="58">
        <f>SUMIF(CD58:CD305, 2, AT58:AT305)</f>
        <v>0</v>
      </c>
    </row>
    <row r="317" ht="14.25" hidden="1">
      <c r="A317" s="80"/>
      <c r="B317" s="81"/>
      <c r="C317" s="55" t="s">
        <v>115</v>
      </c>
      <c r="D317" s="55"/>
      <c r="E317" s="55"/>
      <c r="F317" s="55"/>
      <c r="G317" s="55"/>
      <c r="H317" s="55"/>
      <c r="I317" s="57"/>
      <c r="J317" s="58">
        <f>SUMIF(CD58:CD305, 2, Z58:Z305)</f>
        <v>0</v>
      </c>
      <c r="K317" s="58"/>
      <c r="L317" s="58">
        <f>SUMIF(CD58:CD305, 2, AV58:AV305)</f>
        <v>0</v>
      </c>
    </row>
    <row r="318" ht="14.25" hidden="1">
      <c r="A318" s="80"/>
      <c r="B318" s="81"/>
      <c r="C318" s="55" t="s">
        <v>116</v>
      </c>
      <c r="D318" s="55"/>
      <c r="E318" s="55"/>
      <c r="F318" s="55"/>
      <c r="G318" s="55"/>
      <c r="H318" s="55"/>
      <c r="I318" s="57"/>
      <c r="J318" s="58">
        <f>J320+J321</f>
        <v>0</v>
      </c>
      <c r="K318" s="58"/>
      <c r="L318" s="58">
        <f>L320+L321</f>
        <v>0</v>
      </c>
    </row>
    <row r="319" ht="14.25" hidden="1">
      <c r="A319" s="80"/>
      <c r="B319" s="81"/>
      <c r="C319" s="82" t="s">
        <v>111</v>
      </c>
      <c r="D319" s="55"/>
      <c r="E319" s="55"/>
      <c r="F319" s="55"/>
      <c r="G319" s="55"/>
      <c r="H319" s="55"/>
      <c r="I319" s="57"/>
      <c r="J319" s="58"/>
      <c r="K319" s="58"/>
      <c r="L319" s="58"/>
    </row>
    <row r="320" ht="14.25" hidden="1">
      <c r="A320" s="80"/>
      <c r="B320" s="81" t="str">
        <f>Source!U140</f>
        <v/>
      </c>
      <c r="C320" s="55" t="s">
        <v>117</v>
      </c>
      <c r="D320" s="55"/>
      <c r="E320" s="55"/>
      <c r="F320" s="55"/>
      <c r="G320" s="55"/>
      <c r="H320" s="55"/>
      <c r="I320" s="57"/>
      <c r="J320" s="58">
        <f>SUMIF(CD58:CD305, 2, AA58:AA305)-SUMIF(CD58:CD305, 2, BJ58:BJ305)</f>
        <v>0</v>
      </c>
      <c r="K320" s="58">
        <f>Source!D140</f>
        <v>9.5500000000000007</v>
      </c>
      <c r="L320" s="58">
        <f>ROUND(J320*Source!D140, 2)</f>
        <v>0</v>
      </c>
    </row>
    <row r="321" ht="14.25" hidden="1">
      <c r="A321" s="80"/>
      <c r="B321" s="81" t="str">
        <f>Source!AB140</f>
        <v/>
      </c>
      <c r="C321" s="55" t="s">
        <v>118</v>
      </c>
      <c r="D321" s="55"/>
      <c r="E321" s="55"/>
      <c r="F321" s="55"/>
      <c r="G321" s="55"/>
      <c r="H321" s="55"/>
      <c r="I321" s="57"/>
      <c r="J321" s="58">
        <f>SUMIF(CD58:CD305, 2, AG58:AG305)</f>
        <v>0</v>
      </c>
      <c r="K321" s="58">
        <f>Source!L140</f>
        <v>1</v>
      </c>
      <c r="L321" s="58">
        <f>ROUND(J321*Source!L140, 2)</f>
        <v>0</v>
      </c>
    </row>
    <row r="322" ht="14.25" hidden="1">
      <c r="A322" s="80"/>
      <c r="B322" s="81" t="str">
        <f>Source!AB140</f>
        <v/>
      </c>
      <c r="C322" s="55" t="s">
        <v>119</v>
      </c>
      <c r="D322" s="55"/>
      <c r="E322" s="55"/>
      <c r="F322" s="55"/>
      <c r="G322" s="55"/>
      <c r="H322" s="55"/>
      <c r="I322" s="57"/>
      <c r="J322" s="58">
        <f>SUMIF(CD58:CD305, 2, AF58:AF305)</f>
        <v>0</v>
      </c>
      <c r="K322" s="58">
        <f>Source!L140</f>
        <v>1</v>
      </c>
      <c r="L322" s="58">
        <f>ROUND(J322*Source!L140, 2)</f>
        <v>0</v>
      </c>
    </row>
    <row r="323" ht="14.25" hidden="1">
      <c r="A323" s="80"/>
      <c r="B323" s="81"/>
      <c r="C323" s="55" t="s">
        <v>120</v>
      </c>
      <c r="D323" s="55"/>
      <c r="E323" s="55"/>
      <c r="F323" s="55"/>
      <c r="G323" s="55"/>
      <c r="H323" s="55"/>
      <c r="I323" s="57"/>
      <c r="J323" s="58">
        <f>SUMIF(CD58:CD305, 2, S58:S305)+SUMIF(CD58:CD305, 2, X58:X305)+SUMIF(CD58:CD305, 2, Z58:Z305)</f>
        <v>0</v>
      </c>
      <c r="K323" s="58"/>
      <c r="L323" s="58">
        <f>SUMIF(CD58:CD305, 2, AR58:AR305)+SUMIF(CD58:CD305, 2, AT58:AT305)+SUMIF(CD58:CD305, 2, AV58:AV305)</f>
        <v>0</v>
      </c>
    </row>
    <row r="324" ht="14.25" hidden="1">
      <c r="A324" s="80"/>
      <c r="B324" s="81"/>
      <c r="C324" s="55" t="s">
        <v>121</v>
      </c>
      <c r="D324" s="55"/>
      <c r="E324" s="55"/>
      <c r="F324" s="55"/>
      <c r="G324" s="55"/>
      <c r="H324" s="55"/>
      <c r="I324" s="57"/>
      <c r="J324" s="58">
        <f>SUMIF(CD58:CD305, 2, AD58:AD305)</f>
        <v>0</v>
      </c>
      <c r="K324" s="58"/>
      <c r="L324" s="58">
        <f>SUMIF(CD58:CD305, 2, AZ58:AZ305)</f>
        <v>0</v>
      </c>
    </row>
    <row r="325" ht="14.25" hidden="1">
      <c r="A325" s="80"/>
      <c r="B325" s="81"/>
      <c r="C325" s="55" t="s">
        <v>122</v>
      </c>
      <c r="D325" s="55"/>
      <c r="E325" s="55"/>
      <c r="F325" s="55"/>
      <c r="G325" s="55"/>
      <c r="H325" s="55"/>
      <c r="I325" s="57"/>
      <c r="J325" s="58">
        <f>SUMIF(CD58:CD305, 2, AE58:AE305)</f>
        <v>0</v>
      </c>
      <c r="K325" s="58"/>
      <c r="L325" s="58">
        <f>SUMIF(CD58:CD305, 2, BA58:BA305)</f>
        <v>0</v>
      </c>
    </row>
    <row r="326" hidden="1"/>
    <row r="327" ht="15" hidden="1">
      <c r="A327" s="75"/>
      <c r="B327" s="76"/>
      <c r="C327" s="77" t="s">
        <v>124</v>
      </c>
      <c r="D327" s="77"/>
      <c r="E327" s="77"/>
      <c r="F327" s="77"/>
      <c r="G327" s="77"/>
      <c r="H327" s="77"/>
      <c r="I327" s="78"/>
      <c r="J327" s="79">
        <f>J329+J330</f>
        <v>0</v>
      </c>
      <c r="K327" s="79"/>
      <c r="L327" s="79">
        <f>L329+L330</f>
        <v>0</v>
      </c>
    </row>
    <row r="328" ht="14.25" hidden="1">
      <c r="A328" s="80"/>
      <c r="B328" s="81"/>
      <c r="C328" s="82" t="s">
        <v>107</v>
      </c>
      <c r="D328" s="55"/>
      <c r="E328" s="55"/>
      <c r="F328" s="55"/>
      <c r="G328" s="55"/>
      <c r="H328" s="55"/>
      <c r="I328" s="57"/>
      <c r="J328" s="58"/>
      <c r="K328" s="58"/>
      <c r="L328" s="58"/>
    </row>
    <row r="329" ht="14.25" hidden="1">
      <c r="A329" s="80"/>
      <c r="B329" s="81" t="str">
        <f>Source!Y140</f>
        <v/>
      </c>
      <c r="C329" s="55" t="s">
        <v>125</v>
      </c>
      <c r="D329" s="55"/>
      <c r="E329" s="55"/>
      <c r="F329" s="55"/>
      <c r="G329" s="55"/>
      <c r="H329" s="55"/>
      <c r="I329" s="57"/>
      <c r="J329" s="58">
        <f>SUMIF(CD58:CD325, 3, BJ58:BJ325)</f>
        <v>0</v>
      </c>
      <c r="K329" s="58">
        <f>Source!H140</f>
        <v>1</v>
      </c>
      <c r="L329" s="58">
        <f>ROUND(J329*Source!H140, 2)</f>
        <v>0</v>
      </c>
    </row>
    <row r="330" ht="14.25" hidden="1">
      <c r="A330" s="80"/>
      <c r="B330" s="81" t="str">
        <f>Source!AB140</f>
        <v/>
      </c>
      <c r="C330" s="55" t="s">
        <v>126</v>
      </c>
      <c r="D330" s="55"/>
      <c r="E330" s="55"/>
      <c r="F330" s="55"/>
      <c r="G330" s="55"/>
      <c r="H330" s="55"/>
      <c r="I330" s="57"/>
      <c r="J330" s="58">
        <f>SUMIF(CD58:CD325, 3, AH58:AH325)</f>
        <v>0</v>
      </c>
      <c r="K330" s="58">
        <f>Source!L140</f>
        <v>1</v>
      </c>
      <c r="L330" s="58">
        <f>ROUND(J330*Source!L140, 2)</f>
        <v>0</v>
      </c>
    </row>
    <row r="331" hidden="1"/>
    <row r="332" ht="15" hidden="1">
      <c r="A332" s="75"/>
      <c r="B332" s="76"/>
      <c r="C332" s="77" t="s">
        <v>127</v>
      </c>
      <c r="D332" s="77"/>
      <c r="E332" s="77"/>
      <c r="F332" s="77"/>
      <c r="G332" s="77"/>
      <c r="H332" s="77"/>
      <c r="I332" s="78"/>
      <c r="J332" s="79">
        <f>J338+J353+J354+J334+J335</f>
        <v>0</v>
      </c>
      <c r="K332" s="79"/>
      <c r="L332" s="79">
        <f>L338+L353+L354+L334+L335</f>
        <v>0</v>
      </c>
    </row>
    <row r="333" ht="14.25" hidden="1">
      <c r="A333" s="80"/>
      <c r="B333" s="81"/>
      <c r="C333" s="82" t="s">
        <v>107</v>
      </c>
      <c r="D333" s="55"/>
      <c r="E333" s="55"/>
      <c r="F333" s="55"/>
      <c r="G333" s="55"/>
      <c r="H333" s="55"/>
      <c r="I333" s="57"/>
      <c r="J333" s="58"/>
      <c r="K333" s="58"/>
      <c r="L333" s="58"/>
    </row>
    <row r="334" ht="14.25" hidden="1">
      <c r="A334" s="80"/>
      <c r="B334" s="81" t="str">
        <f>Source!Z140</f>
        <v/>
      </c>
      <c r="C334" s="55" t="s">
        <v>128</v>
      </c>
      <c r="D334" s="55"/>
      <c r="E334" s="55"/>
      <c r="F334" s="55"/>
      <c r="G334" s="55"/>
      <c r="H334" s="55"/>
      <c r="I334" s="57"/>
      <c r="J334" s="58">
        <f>SUM(BL58:BL330)</f>
        <v>0</v>
      </c>
      <c r="K334" s="58">
        <f>Source!I140</f>
        <v>1</v>
      </c>
      <c r="L334" s="58">
        <f t="shared" ref="L334:L335" si="17">ROUND(J334*K334, 2)</f>
        <v>0</v>
      </c>
    </row>
    <row r="335" ht="14.25" hidden="1">
      <c r="A335" s="80"/>
      <c r="B335" s="81" t="str">
        <f>Source!Y140</f>
        <v/>
      </c>
      <c r="C335" s="55" t="s">
        <v>129</v>
      </c>
      <c r="D335" s="55"/>
      <c r="E335" s="55"/>
      <c r="F335" s="55"/>
      <c r="G335" s="55"/>
      <c r="H335" s="55"/>
      <c r="I335" s="57"/>
      <c r="J335" s="58">
        <f>SUM(BN58:BN330)</f>
        <v>0</v>
      </c>
      <c r="K335" s="58">
        <f>Source!H140</f>
        <v>1</v>
      </c>
      <c r="L335" s="58">
        <f t="shared" si="17"/>
        <v>0</v>
      </c>
    </row>
    <row r="336" ht="14.25" hidden="1">
      <c r="A336" s="80"/>
      <c r="B336" s="81"/>
      <c r="C336" s="55" t="s">
        <v>130</v>
      </c>
      <c r="D336" s="55"/>
      <c r="E336" s="55"/>
      <c r="F336" s="55"/>
      <c r="G336" s="55"/>
      <c r="H336" s="55"/>
      <c r="I336" s="57"/>
      <c r="J336" s="58">
        <f>J338+J353+J354</f>
        <v>0</v>
      </c>
      <c r="K336" s="58"/>
      <c r="L336" s="58">
        <f>L338+L353+L354</f>
        <v>0</v>
      </c>
    </row>
    <row r="337" ht="14.25" hidden="1">
      <c r="A337" s="80"/>
      <c r="B337" s="81"/>
      <c r="C337" s="82" t="s">
        <v>107</v>
      </c>
      <c r="D337" s="55"/>
      <c r="E337" s="55"/>
      <c r="F337" s="55"/>
      <c r="G337" s="55"/>
      <c r="H337" s="55"/>
      <c r="I337" s="57"/>
      <c r="J337" s="58"/>
      <c r="K337" s="58"/>
      <c r="L337" s="58"/>
    </row>
    <row r="338" ht="14.25" hidden="1">
      <c r="A338" s="80"/>
      <c r="B338" s="81"/>
      <c r="C338" s="55" t="s">
        <v>108</v>
      </c>
      <c r="D338" s="55"/>
      <c r="E338" s="55"/>
      <c r="F338" s="55"/>
      <c r="G338" s="55"/>
      <c r="H338" s="55"/>
      <c r="I338" s="57"/>
      <c r="J338" s="58">
        <f>J340+J341+J347+J351</f>
        <v>0</v>
      </c>
      <c r="K338" s="58"/>
      <c r="L338" s="58">
        <f>L340+L341+L347+L351</f>
        <v>0</v>
      </c>
    </row>
    <row r="339" ht="14.25" hidden="1">
      <c r="A339" s="80"/>
      <c r="B339" s="81"/>
      <c r="C339" s="82" t="s">
        <v>107</v>
      </c>
      <c r="D339" s="55"/>
      <c r="E339" s="55"/>
      <c r="F339" s="55"/>
      <c r="G339" s="55"/>
      <c r="H339" s="55"/>
      <c r="I339" s="57"/>
      <c r="J339" s="58"/>
      <c r="K339" s="58"/>
      <c r="L339" s="58"/>
    </row>
    <row r="340" ht="14.25" hidden="1">
      <c r="A340" s="80"/>
      <c r="B340" s="81"/>
      <c r="C340" s="55" t="s">
        <v>109</v>
      </c>
      <c r="D340" s="55"/>
      <c r="E340" s="55"/>
      <c r="F340" s="55"/>
      <c r="G340" s="55"/>
      <c r="H340" s="55"/>
      <c r="I340" s="57"/>
      <c r="J340" s="58">
        <f>SUMIF(CD58:CD330, 4, S58:S330)</f>
        <v>0</v>
      </c>
      <c r="K340" s="58"/>
      <c r="L340" s="58">
        <f>SUMIF(CD58:CD330, 4, AR58:AR330)</f>
        <v>0</v>
      </c>
    </row>
    <row r="341" ht="14.25" hidden="1">
      <c r="A341" s="80"/>
      <c r="B341" s="81"/>
      <c r="C341" s="55" t="s">
        <v>110</v>
      </c>
      <c r="D341" s="55"/>
      <c r="E341" s="55"/>
      <c r="F341" s="55"/>
      <c r="G341" s="55"/>
      <c r="H341" s="55"/>
      <c r="I341" s="57"/>
      <c r="J341" s="58">
        <f>J343+J346</f>
        <v>0</v>
      </c>
      <c r="K341" s="58"/>
      <c r="L341" s="58">
        <f>L343+L346</f>
        <v>0</v>
      </c>
    </row>
    <row r="342" ht="14.25" hidden="1">
      <c r="A342" s="80"/>
      <c r="B342" s="81"/>
      <c r="C342" s="82" t="s">
        <v>111</v>
      </c>
      <c r="D342" s="55"/>
      <c r="E342" s="55"/>
      <c r="F342" s="55"/>
      <c r="G342" s="55"/>
      <c r="H342" s="55"/>
      <c r="I342" s="57"/>
      <c r="J342" s="58"/>
      <c r="K342" s="58"/>
      <c r="L342" s="58"/>
    </row>
    <row r="343" ht="14.25" hidden="1">
      <c r="A343" s="80"/>
      <c r="B343" s="81" t="str">
        <f>Source!V140</f>
        <v/>
      </c>
      <c r="C343" s="55" t="s">
        <v>112</v>
      </c>
      <c r="D343" s="55"/>
      <c r="E343" s="55"/>
      <c r="F343" s="55"/>
      <c r="G343" s="55"/>
      <c r="H343" s="55"/>
      <c r="I343" s="57"/>
      <c r="J343" s="58">
        <f>SUMIF(CD58:CD330, 4, P58:P330)</f>
        <v>0</v>
      </c>
      <c r="K343" s="58">
        <f>Source!E140</f>
        <v>16.399999999999999</v>
      </c>
      <c r="L343" s="58">
        <f>ROUND(J343*Source!E140, 2)</f>
        <v>0</v>
      </c>
    </row>
    <row r="344" ht="14.25" hidden="1">
      <c r="A344" s="80"/>
      <c r="B344" s="81"/>
      <c r="C344" s="82" t="s">
        <v>113</v>
      </c>
      <c r="D344" s="55"/>
      <c r="E344" s="55"/>
      <c r="F344" s="55"/>
      <c r="G344" s="55"/>
      <c r="H344" s="55"/>
      <c r="I344" s="57"/>
      <c r="J344" s="58"/>
      <c r="K344" s="58"/>
      <c r="L344" s="58"/>
    </row>
    <row r="345" ht="14.25" hidden="1">
      <c r="A345" s="80"/>
      <c r="B345" s="81"/>
      <c r="C345" s="55" t="s">
        <v>114</v>
      </c>
      <c r="D345" s="55"/>
      <c r="E345" s="55"/>
      <c r="F345" s="55"/>
      <c r="G345" s="55"/>
      <c r="H345" s="55"/>
      <c r="I345" s="57"/>
      <c r="J345" s="58">
        <f>SUMIF(CD58:CD330, 4, X58:X330)</f>
        <v>0</v>
      </c>
      <c r="K345" s="58"/>
      <c r="L345" s="58">
        <f>SUMIF(CD58:CD330, 4, AT58:AT330)</f>
        <v>0</v>
      </c>
    </row>
    <row r="346" ht="14.25" hidden="1">
      <c r="A346" s="80"/>
      <c r="B346" s="81"/>
      <c r="C346" s="55" t="s">
        <v>115</v>
      </c>
      <c r="D346" s="55"/>
      <c r="E346" s="55"/>
      <c r="F346" s="55"/>
      <c r="G346" s="55"/>
      <c r="H346" s="55"/>
      <c r="I346" s="57"/>
      <c r="J346" s="58">
        <f>SUMIF(CD58:CD330, 4, Z58:Z330)</f>
        <v>0</v>
      </c>
      <c r="K346" s="58"/>
      <c r="L346" s="58">
        <f>SUMIF(CD58:CD330, 4, AV58:AV330)</f>
        <v>0</v>
      </c>
    </row>
    <row r="347" ht="14.25" hidden="1">
      <c r="A347" s="80"/>
      <c r="B347" s="81"/>
      <c r="C347" s="55" t="s">
        <v>116</v>
      </c>
      <c r="D347" s="55"/>
      <c r="E347" s="55"/>
      <c r="F347" s="55"/>
      <c r="G347" s="55"/>
      <c r="H347" s="55"/>
      <c r="I347" s="57"/>
      <c r="J347" s="58">
        <f>J349+J350</f>
        <v>0</v>
      </c>
      <c r="K347" s="58"/>
      <c r="L347" s="58">
        <f>L349+L350</f>
        <v>0</v>
      </c>
    </row>
    <row r="348" ht="14.25" hidden="1">
      <c r="A348" s="80"/>
      <c r="B348" s="81"/>
      <c r="C348" s="82" t="s">
        <v>111</v>
      </c>
      <c r="D348" s="55"/>
      <c r="E348" s="55"/>
      <c r="F348" s="55"/>
      <c r="G348" s="55"/>
      <c r="H348" s="55"/>
      <c r="I348" s="57"/>
      <c r="J348" s="58"/>
      <c r="K348" s="58"/>
      <c r="L348" s="58"/>
    </row>
    <row r="349" ht="14.25" hidden="1">
      <c r="A349" s="80"/>
      <c r="B349" s="81" t="str">
        <f>Source!U140</f>
        <v/>
      </c>
      <c r="C349" s="55" t="s">
        <v>117</v>
      </c>
      <c r="D349" s="55"/>
      <c r="E349" s="55"/>
      <c r="F349" s="55"/>
      <c r="G349" s="55"/>
      <c r="H349" s="55"/>
      <c r="I349" s="57"/>
      <c r="J349" s="58">
        <f>SUMIF(CD58:CD330, 4, AA58:AA330)-SUMIF(CD58:CD330, 4, BJ58:BJ330)</f>
        <v>0</v>
      </c>
      <c r="K349" s="58">
        <f>Source!D140</f>
        <v>9.5500000000000007</v>
      </c>
      <c r="L349" s="58">
        <f>ROUND(J349*Source!D140, 2)</f>
        <v>0</v>
      </c>
    </row>
    <row r="350" ht="14.25" hidden="1">
      <c r="A350" s="80"/>
      <c r="B350" s="81" t="str">
        <f>Source!AB140</f>
        <v/>
      </c>
      <c r="C350" s="55" t="s">
        <v>118</v>
      </c>
      <c r="D350" s="55"/>
      <c r="E350" s="55"/>
      <c r="F350" s="55"/>
      <c r="G350" s="55"/>
      <c r="H350" s="55"/>
      <c r="I350" s="57"/>
      <c r="J350" s="58">
        <f>SUMIF(CD58:CD330, 4, AG58:AG330)</f>
        <v>0</v>
      </c>
      <c r="K350" s="58">
        <f>Source!L140</f>
        <v>1</v>
      </c>
      <c r="L350" s="58">
        <f>ROUND(J350*Source!L140, 2)</f>
        <v>0</v>
      </c>
    </row>
    <row r="351" ht="14.25" hidden="1">
      <c r="A351" s="80"/>
      <c r="B351" s="81" t="str">
        <f>Source!AB140</f>
        <v/>
      </c>
      <c r="C351" s="55" t="s">
        <v>119</v>
      </c>
      <c r="D351" s="55"/>
      <c r="E351" s="55"/>
      <c r="F351" s="55"/>
      <c r="G351" s="55"/>
      <c r="H351" s="55"/>
      <c r="I351" s="57"/>
      <c r="J351" s="58">
        <f>SUMIF(CD58:CD330, 4, AF58:AF330)</f>
        <v>0</v>
      </c>
      <c r="K351" s="58">
        <f>Source!L140</f>
        <v>1</v>
      </c>
      <c r="L351" s="58">
        <f>ROUND(J351*Source!L140, 2)</f>
        <v>0</v>
      </c>
    </row>
    <row r="352" ht="14.25" hidden="1">
      <c r="A352" s="80"/>
      <c r="B352" s="81"/>
      <c r="C352" s="55" t="s">
        <v>120</v>
      </c>
      <c r="D352" s="55"/>
      <c r="E352" s="55"/>
      <c r="F352" s="55"/>
      <c r="G352" s="55"/>
      <c r="H352" s="55"/>
      <c r="I352" s="57"/>
      <c r="J352" s="58">
        <f>SUMIF(CD58:CD330, 4, S58:S330)+SUMIF(CD58:CD330, 4, X58:X330)+SUMIF(CD58:CD330, 4, Z58:Z330)</f>
        <v>0</v>
      </c>
      <c r="K352" s="58"/>
      <c r="L352" s="58">
        <f>SUMIF(CD58:CD330, 4, AR58:AR330)+SUMIF(CD58:CD330, 4, AT58:AT330)+SUMIF(CD58:CD330, 4, AV58:AV330)</f>
        <v>0</v>
      </c>
    </row>
    <row r="353" ht="14.25" hidden="1">
      <c r="A353" s="80"/>
      <c r="B353" s="81"/>
      <c r="C353" s="55" t="s">
        <v>121</v>
      </c>
      <c r="D353" s="55"/>
      <c r="E353" s="55"/>
      <c r="F353" s="55"/>
      <c r="G353" s="55"/>
      <c r="H353" s="55"/>
      <c r="I353" s="57"/>
      <c r="J353" s="58">
        <f>SUMIF(CD58:CD330, 4, AD58:AD330)</f>
        <v>0</v>
      </c>
      <c r="K353" s="58"/>
      <c r="L353" s="58">
        <f>SUMIF(CD58:CD330, 4, AZ58:AZ330)</f>
        <v>0</v>
      </c>
    </row>
    <row r="354" ht="14.25" hidden="1">
      <c r="A354" s="80"/>
      <c r="B354" s="81"/>
      <c r="C354" s="55" t="s">
        <v>122</v>
      </c>
      <c r="D354" s="55"/>
      <c r="E354" s="55"/>
      <c r="F354" s="55"/>
      <c r="G354" s="55"/>
      <c r="H354" s="55"/>
      <c r="I354" s="57"/>
      <c r="J354" s="58">
        <f>SUMIF(CD58:CD330, 4, AE58:AE330)</f>
        <v>0</v>
      </c>
      <c r="K354" s="58"/>
      <c r="L354" s="58">
        <f>SUMIF(CD58:CD330, 4, BA58:BA330)</f>
        <v>0</v>
      </c>
    </row>
    <row r="356" ht="15">
      <c r="A356" s="75"/>
      <c r="B356" s="76"/>
      <c r="C356" s="77" t="s">
        <v>131</v>
      </c>
      <c r="D356" s="77"/>
      <c r="E356" s="77"/>
      <c r="F356" s="77"/>
      <c r="G356" s="77"/>
      <c r="H356" s="77"/>
      <c r="I356" s="78"/>
      <c r="J356" s="79">
        <f>J287+J307+J327+J332</f>
        <v>10714.93</v>
      </c>
      <c r="K356" s="79"/>
      <c r="L356" s="79">
        <f>L287+L307+L327+L332</f>
        <v>161770.13999999998</v>
      </c>
    </row>
    <row r="357" ht="14.25">
      <c r="A357" s="80"/>
      <c r="B357" s="81"/>
      <c r="C357" s="82" t="s">
        <v>107</v>
      </c>
      <c r="D357" s="55"/>
      <c r="E357" s="55"/>
      <c r="F357" s="55"/>
      <c r="G357" s="55"/>
      <c r="H357" s="55"/>
      <c r="I357" s="57"/>
      <c r="J357" s="58"/>
      <c r="K357" s="58"/>
      <c r="L357" s="58"/>
    </row>
    <row r="358" ht="14.25">
      <c r="A358" s="80"/>
      <c r="B358" s="81"/>
      <c r="C358" s="55" t="s">
        <v>108</v>
      </c>
      <c r="D358" s="55"/>
      <c r="E358" s="55"/>
      <c r="F358" s="55"/>
      <c r="G358" s="55"/>
      <c r="H358" s="55"/>
      <c r="I358" s="57"/>
      <c r="J358" s="58">
        <f>J360+J361+J367+J371</f>
        <v>9909.9800000000014</v>
      </c>
      <c r="K358" s="58"/>
      <c r="L358" s="58">
        <f>L360+L361+L367+L371</f>
        <v>117240.19</v>
      </c>
    </row>
    <row r="359" ht="14.25">
      <c r="A359" s="80"/>
      <c r="B359" s="81"/>
      <c r="C359" s="82" t="s">
        <v>107</v>
      </c>
      <c r="D359" s="55"/>
      <c r="E359" s="55"/>
      <c r="F359" s="55"/>
      <c r="G359" s="55"/>
      <c r="H359" s="55"/>
      <c r="I359" s="57"/>
      <c r="J359" s="58"/>
      <c r="K359" s="58"/>
      <c r="L359" s="58"/>
    </row>
    <row r="360" ht="14.25">
      <c r="A360" s="80"/>
      <c r="B360" s="81"/>
      <c r="C360" s="55" t="s">
        <v>109</v>
      </c>
      <c r="D360" s="55"/>
      <c r="E360" s="55"/>
      <c r="F360" s="55"/>
      <c r="G360" s="55"/>
      <c r="H360" s="55"/>
      <c r="I360" s="57"/>
      <c r="J360" s="58">
        <f>SUM(S58:S354)</f>
        <v>486.44</v>
      </c>
      <c r="K360" s="58"/>
      <c r="L360" s="58">
        <f>SUM(AR58:AR354)</f>
        <v>26909.870000000003</v>
      </c>
    </row>
    <row r="361" ht="14.25">
      <c r="A361" s="80"/>
      <c r="B361" s="81"/>
      <c r="C361" s="55" t="s">
        <v>110</v>
      </c>
      <c r="D361" s="55"/>
      <c r="E361" s="55"/>
      <c r="F361" s="55"/>
      <c r="G361" s="55"/>
      <c r="H361" s="55"/>
      <c r="I361" s="57"/>
      <c r="J361" s="58">
        <f>J363+J366</f>
        <v>48.980000000000004</v>
      </c>
      <c r="K361" s="58"/>
      <c r="L361" s="58">
        <f>L363+L366</f>
        <v>803.26999999999998</v>
      </c>
    </row>
    <row r="362" ht="14.25">
      <c r="A362" s="80"/>
      <c r="B362" s="81"/>
      <c r="C362" s="82" t="s">
        <v>111</v>
      </c>
      <c r="D362" s="55"/>
      <c r="E362" s="55"/>
      <c r="F362" s="55"/>
      <c r="G362" s="55"/>
      <c r="H362" s="55"/>
      <c r="I362" s="57"/>
      <c r="J362" s="58"/>
      <c r="K362" s="58"/>
      <c r="L362" s="58"/>
    </row>
    <row r="363" ht="14.25">
      <c r="A363" s="80"/>
      <c r="B363" s="81"/>
      <c r="C363" s="55" t="s">
        <v>112</v>
      </c>
      <c r="D363" s="55"/>
      <c r="E363" s="55"/>
      <c r="F363" s="55"/>
      <c r="G363" s="55"/>
      <c r="H363" s="55"/>
      <c r="I363" s="57"/>
      <c r="J363" s="58">
        <f>SUM(P58:P354)</f>
        <v>48.980000000000004</v>
      </c>
      <c r="K363" s="58"/>
      <c r="L363" s="58">
        <f>ROUND(J363*Source!E140, 2)</f>
        <v>803.26999999999998</v>
      </c>
    </row>
    <row r="364" ht="14.25">
      <c r="A364" s="80"/>
      <c r="B364" s="81"/>
      <c r="C364" s="82" t="s">
        <v>113</v>
      </c>
      <c r="D364" s="55"/>
      <c r="E364" s="55"/>
      <c r="F364" s="55"/>
      <c r="G364" s="55"/>
      <c r="H364" s="55"/>
      <c r="I364" s="57"/>
      <c r="J364" s="58"/>
      <c r="K364" s="58"/>
      <c r="L364" s="58"/>
    </row>
    <row r="365" ht="14.25">
      <c r="A365" s="80"/>
      <c r="B365" s="81"/>
      <c r="C365" s="55" t="s">
        <v>114</v>
      </c>
      <c r="D365" s="55"/>
      <c r="E365" s="55"/>
      <c r="F365" s="55"/>
      <c r="G365" s="55"/>
      <c r="H365" s="55"/>
      <c r="I365" s="57"/>
      <c r="J365" s="58">
        <f>SUM(X58:X354)</f>
        <v>8.9500000000000011</v>
      </c>
      <c r="K365" s="58"/>
      <c r="L365" s="58">
        <f>SUM(AT58:AT354)</f>
        <v>495.12000000000006</v>
      </c>
    </row>
    <row r="366" ht="14.25" hidden="1">
      <c r="A366" s="80"/>
      <c r="B366" s="81"/>
      <c r="C366" s="55" t="s">
        <v>115</v>
      </c>
      <c r="D366" s="55"/>
      <c r="E366" s="55"/>
      <c r="F366" s="55"/>
      <c r="G366" s="55"/>
      <c r="H366" s="55"/>
      <c r="I366" s="57"/>
      <c r="J366" s="58">
        <f>SUM(Z58:Z354)</f>
        <v>0</v>
      </c>
      <c r="K366" s="58"/>
      <c r="L366" s="58">
        <f>SUM(AV58:AV354)</f>
        <v>0</v>
      </c>
    </row>
    <row r="367" ht="14.25">
      <c r="A367" s="80"/>
      <c r="B367" s="81"/>
      <c r="C367" s="55" t="s">
        <v>116</v>
      </c>
      <c r="D367" s="55"/>
      <c r="E367" s="55"/>
      <c r="F367" s="55"/>
      <c r="G367" s="55"/>
      <c r="H367" s="55"/>
      <c r="I367" s="57"/>
      <c r="J367" s="58">
        <f>J369+J370</f>
        <v>9374.5600000000013</v>
      </c>
      <c r="K367" s="58"/>
      <c r="L367" s="58">
        <f>L369+L370</f>
        <v>89527.050000000003</v>
      </c>
    </row>
    <row r="368" ht="14.25">
      <c r="A368" s="80"/>
      <c r="B368" s="81"/>
      <c r="C368" s="82" t="s">
        <v>111</v>
      </c>
      <c r="D368" s="55"/>
      <c r="E368" s="55"/>
      <c r="F368" s="55"/>
      <c r="G368" s="55"/>
      <c r="H368" s="55"/>
      <c r="I368" s="57"/>
      <c r="J368" s="58"/>
      <c r="K368" s="58"/>
      <c r="L368" s="58"/>
    </row>
    <row r="369" ht="14.25">
      <c r="A369" s="80"/>
      <c r="B369" s="81"/>
      <c r="C369" s="55" t="s">
        <v>117</v>
      </c>
      <c r="D369" s="55"/>
      <c r="E369" s="55"/>
      <c r="F369" s="55"/>
      <c r="G369" s="55"/>
      <c r="H369" s="55"/>
      <c r="I369" s="57"/>
      <c r="J369" s="58">
        <f>SUM(AA58:AA354)-SUM(BJ58:BJ354)</f>
        <v>9374.5600000000013</v>
      </c>
      <c r="K369" s="58"/>
      <c r="L369" s="58">
        <f>ROUND(J369*Source!D140, 2)</f>
        <v>89527.050000000003</v>
      </c>
    </row>
    <row r="370" ht="14.25" hidden="1">
      <c r="A370" s="80"/>
      <c r="B370" s="81"/>
      <c r="C370" s="55" t="s">
        <v>118</v>
      </c>
      <c r="D370" s="55"/>
      <c r="E370" s="55"/>
      <c r="F370" s="55"/>
      <c r="G370" s="55"/>
      <c r="H370" s="55"/>
      <c r="I370" s="57"/>
      <c r="J370" s="58">
        <f>SUM(AG58:AG354)</f>
        <v>0</v>
      </c>
      <c r="K370" s="58"/>
      <c r="L370" s="58">
        <f>ROUND(J370*Source!L140, 2)</f>
        <v>0</v>
      </c>
    </row>
    <row r="371" ht="14.25" hidden="1">
      <c r="A371" s="80"/>
      <c r="B371" s="81"/>
      <c r="C371" s="55" t="s">
        <v>119</v>
      </c>
      <c r="D371" s="55"/>
      <c r="E371" s="55"/>
      <c r="F371" s="55"/>
      <c r="G371" s="55"/>
      <c r="H371" s="55"/>
      <c r="I371" s="57"/>
      <c r="J371" s="58">
        <f>SUM(AF58:AF354)</f>
        <v>0</v>
      </c>
      <c r="K371" s="58"/>
      <c r="L371" s="58">
        <f>ROUND(J371*Source!L140, 2)</f>
        <v>0</v>
      </c>
    </row>
    <row r="372" ht="14.25">
      <c r="A372" s="80"/>
      <c r="B372" s="81"/>
      <c r="C372" s="55" t="s">
        <v>132</v>
      </c>
      <c r="D372" s="55"/>
      <c r="E372" s="55"/>
      <c r="F372" s="55"/>
      <c r="G372" s="55"/>
      <c r="H372" s="55"/>
      <c r="I372" s="57"/>
      <c r="J372" s="58">
        <f>SUM(S58:S354)+SUM(X58:X354)+SUM(Z58:Z354)</f>
        <v>495.38999999999999</v>
      </c>
      <c r="K372" s="58"/>
      <c r="L372" s="58">
        <f>SUM(AR58:AR354)+SUM(AT58:AT354)+SUM(AV58:AV354)</f>
        <v>27404.990000000002</v>
      </c>
    </row>
    <row r="373" ht="14.25">
      <c r="A373" s="80"/>
      <c r="B373" s="81"/>
      <c r="C373" s="55" t="s">
        <v>133</v>
      </c>
      <c r="D373" s="55"/>
      <c r="E373" s="55"/>
      <c r="F373" s="55"/>
      <c r="G373" s="55"/>
      <c r="H373" s="55"/>
      <c r="I373" s="57"/>
      <c r="J373" s="58">
        <f>SUM(AD58:AD354)</f>
        <v>517.88999999999999</v>
      </c>
      <c r="K373" s="58"/>
      <c r="L373" s="58">
        <f>SUM(AZ58:AZ354)</f>
        <v>28649.579999999998</v>
      </c>
    </row>
    <row r="374" ht="14.25">
      <c r="A374" s="80"/>
      <c r="B374" s="81"/>
      <c r="C374" s="55" t="s">
        <v>134</v>
      </c>
      <c r="D374" s="55"/>
      <c r="E374" s="55"/>
      <c r="F374" s="55"/>
      <c r="G374" s="55"/>
      <c r="H374" s="55"/>
      <c r="I374" s="57"/>
      <c r="J374" s="58">
        <f>SUM(AE58:AE354)</f>
        <v>287.06</v>
      </c>
      <c r="K374" s="58"/>
      <c r="L374" s="58">
        <f>SUM(BA58:BA354)</f>
        <v>15880.369999999999</v>
      </c>
    </row>
    <row r="375" ht="14.25" hidden="1">
      <c r="A375" s="80"/>
      <c r="B375" s="81"/>
      <c r="C375" s="55" t="s">
        <v>135</v>
      </c>
      <c r="D375" s="55"/>
      <c r="E375" s="55"/>
      <c r="F375" s="55"/>
      <c r="G375" s="55"/>
      <c r="H375" s="55"/>
      <c r="I375" s="57"/>
      <c r="J375" s="58">
        <f>J377+J378</f>
        <v>0</v>
      </c>
      <c r="K375" s="58"/>
      <c r="L375" s="58">
        <f>L377+L378</f>
        <v>0</v>
      </c>
    </row>
    <row r="376" ht="14.25" hidden="1">
      <c r="A376" s="80"/>
      <c r="B376" s="81"/>
      <c r="C376" s="82" t="s">
        <v>107</v>
      </c>
      <c r="D376" s="55"/>
      <c r="E376" s="55"/>
      <c r="F376" s="55"/>
      <c r="G376" s="55"/>
      <c r="H376" s="55"/>
      <c r="I376" s="57"/>
      <c r="J376" s="58"/>
      <c r="K376" s="58"/>
      <c r="L376" s="58"/>
    </row>
    <row r="377" ht="14.25" hidden="1">
      <c r="A377" s="80"/>
      <c r="B377" s="81"/>
      <c r="C377" s="55" t="s">
        <v>125</v>
      </c>
      <c r="D377" s="55"/>
      <c r="E377" s="55"/>
      <c r="F377" s="55"/>
      <c r="G377" s="55"/>
      <c r="H377" s="55"/>
      <c r="I377" s="57"/>
      <c r="J377" s="58">
        <f>SUM(BJ58:BJ354)</f>
        <v>0</v>
      </c>
      <c r="K377" s="58"/>
      <c r="L377" s="58">
        <f>ROUND(J377*Source!H140, 2)</f>
        <v>0</v>
      </c>
    </row>
    <row r="378" ht="14.25" hidden="1">
      <c r="A378" s="80"/>
      <c r="B378" s="81"/>
      <c r="C378" s="55" t="s">
        <v>126</v>
      </c>
      <c r="D378" s="55"/>
      <c r="E378" s="55"/>
      <c r="F378" s="55"/>
      <c r="G378" s="55"/>
      <c r="H378" s="55"/>
      <c r="I378" s="57"/>
      <c r="J378" s="58">
        <f>SUM(AH58:AH354)</f>
        <v>0</v>
      </c>
      <c r="K378" s="58"/>
      <c r="L378" s="58">
        <f>ROUND(J378*Source!L140, 2)</f>
        <v>0</v>
      </c>
    </row>
    <row r="379" ht="14.25" hidden="1">
      <c r="A379" s="80"/>
      <c r="B379" s="81"/>
      <c r="C379" s="55" t="s">
        <v>136</v>
      </c>
      <c r="D379" s="55"/>
      <c r="E379" s="55"/>
      <c r="F379" s="55"/>
      <c r="G379" s="55"/>
      <c r="H379" s="55"/>
      <c r="I379" s="57"/>
      <c r="J379" s="58">
        <f>J332</f>
        <v>0</v>
      </c>
      <c r="K379" s="58"/>
      <c r="L379" s="58">
        <f>L332</f>
        <v>0</v>
      </c>
    </row>
    <row r="380" ht="14.25">
      <c r="A380" s="80"/>
      <c r="B380" s="81"/>
      <c r="C380" s="77" t="s">
        <v>137</v>
      </c>
      <c r="D380" s="55"/>
      <c r="E380" s="55"/>
      <c r="F380" s="55"/>
      <c r="G380" s="55"/>
      <c r="H380" s="55"/>
      <c r="I380" s="57"/>
      <c r="J380" s="58"/>
      <c r="K380" s="58"/>
      <c r="L380" s="58"/>
    </row>
    <row r="381" ht="14.25">
      <c r="A381" s="80"/>
      <c r="B381" s="81"/>
      <c r="C381" s="55" t="s">
        <v>138</v>
      </c>
      <c r="D381" s="55"/>
      <c r="E381" s="55"/>
      <c r="F381" s="55"/>
      <c r="G381" s="55"/>
      <c r="H381" s="55"/>
      <c r="I381" s="57"/>
      <c r="J381" s="58">
        <f>SUM(AB58:AB354)</f>
        <v>7862.1400000000003</v>
      </c>
      <c r="K381" s="58"/>
      <c r="L381" s="58">
        <f>SUM(AX58:AX354)</f>
        <v>75083.400000000023</v>
      </c>
    </row>
    <row r="382" ht="14.25" hidden="1">
      <c r="A382" s="80"/>
      <c r="B382" s="81"/>
      <c r="C382" s="55" t="s">
        <v>139</v>
      </c>
      <c r="D382" s="55"/>
      <c r="E382" s="55"/>
      <c r="F382" s="55"/>
      <c r="G382" s="55"/>
      <c r="H382" s="55"/>
      <c r="I382" s="57"/>
      <c r="J382" s="58">
        <f>SUM(AC58:AC354)</f>
        <v>0</v>
      </c>
      <c r="K382" s="58"/>
      <c r="L382" s="58">
        <f>SUM(AY58:AY354)</f>
        <v>0</v>
      </c>
    </row>
    <row r="383" ht="14.25">
      <c r="A383" s="80"/>
      <c r="B383" s="81"/>
      <c r="C383" s="55" t="s">
        <v>140</v>
      </c>
      <c r="D383" s="55"/>
      <c r="E383" s="55"/>
      <c r="F383" s="59"/>
      <c r="G383" s="83">
        <f>Source!F75</f>
        <v>54.994399999999999</v>
      </c>
      <c r="H383" s="80"/>
      <c r="I383" s="80"/>
      <c r="J383" s="80"/>
      <c r="K383" s="80"/>
      <c r="L383" s="80"/>
    </row>
    <row r="384" ht="14.25">
      <c r="A384" s="80"/>
      <c r="B384" s="81"/>
      <c r="C384" s="55" t="s">
        <v>141</v>
      </c>
      <c r="D384" s="55"/>
      <c r="E384" s="55"/>
      <c r="F384" s="59"/>
      <c r="G384" s="83">
        <f>Source!F76</f>
        <v>0.7137</v>
      </c>
      <c r="H384" s="80"/>
      <c r="I384" s="80"/>
      <c r="J384" s="80"/>
      <c r="K384" s="80"/>
      <c r="L384" s="84"/>
    </row>
    <row r="385" ht="14.25">
      <c r="A385" s="80"/>
      <c r="B385" s="81"/>
      <c r="C385" s="55" t="s">
        <v>142</v>
      </c>
      <c r="D385" s="55"/>
      <c r="E385" s="55"/>
      <c r="F385" s="59"/>
      <c r="G385" s="83"/>
      <c r="H385" s="80"/>
      <c r="I385" s="80"/>
      <c r="J385" s="80"/>
      <c r="K385" s="80"/>
      <c r="L385" s="84">
        <v>18528.259999999998</v>
      </c>
    </row>
    <row r="386" ht="14.25">
      <c r="A386" s="80"/>
      <c r="B386" s="81"/>
      <c r="C386" s="55" t="s">
        <v>143</v>
      </c>
      <c r="D386" s="55"/>
      <c r="E386" s="55"/>
      <c r="F386" s="59"/>
      <c r="G386" s="83"/>
      <c r="H386" s="80"/>
      <c r="I386" s="80"/>
      <c r="J386" s="80"/>
      <c r="K386" s="80"/>
      <c r="L386" s="84">
        <f>L356*0.1</f>
        <v>16177.013999999999</v>
      </c>
    </row>
    <row r="388" s="85" customFormat="1" ht="15.75">
      <c r="C388" s="85" t="s">
        <v>144</v>
      </c>
      <c r="L388" s="86">
        <f>L356+L385+L386</f>
        <v>196475.41399999999</v>
      </c>
      <c r="CX388" s="87"/>
    </row>
    <row r="389" s="85" customFormat="1" ht="15.75">
      <c r="C389" s="85" t="s">
        <v>145</v>
      </c>
      <c r="L389" s="88">
        <f>L388*0.22</f>
        <v>43224.591079999998</v>
      </c>
    </row>
    <row r="390" s="85" customFormat="1" ht="15.75">
      <c r="C390" s="85" t="s">
        <v>146</v>
      </c>
      <c r="L390" s="87">
        <f>L388+L389-0.01</f>
        <v>239699.99507999996</v>
      </c>
    </row>
    <row r="391" ht="15.75">
      <c r="C391" s="85" t="s">
        <v>147</v>
      </c>
    </row>
    <row r="392" ht="15.75">
      <c r="C392" s="85" t="s">
        <v>148</v>
      </c>
      <c r="L392" s="89">
        <f>L367*1.22</f>
        <v>109223.001</v>
      </c>
    </row>
    <row r="393" ht="15.75">
      <c r="C393" s="85" t="s">
        <v>149</v>
      </c>
      <c r="L393" s="90">
        <f>L390-L392</f>
        <v>130476.99407999996</v>
      </c>
    </row>
    <row r="394" ht="14.25" customHeight="1">
      <c r="A394" s="91" t="s">
        <v>150</v>
      </c>
      <c r="B394" s="91"/>
      <c r="C394" s="92" t="str">
        <f>IF(Source!AC12&lt;&gt;"", Source!AC12," ")</f>
        <v xml:space="preserve"> </v>
      </c>
      <c r="D394" s="37"/>
      <c r="E394" s="37"/>
      <c r="F394" s="37"/>
      <c r="G394" s="37"/>
      <c r="H394" s="6" t="str">
        <f>IF(Source!AB12&lt;&gt;"", Source!AB12," ")</f>
        <v xml:space="preserve"> </v>
      </c>
      <c r="I394" s="5"/>
      <c r="J394" s="5"/>
      <c r="K394" s="5"/>
      <c r="L394" s="2"/>
    </row>
    <row r="395" ht="14.25" customHeight="1">
      <c r="A395" s="5"/>
      <c r="B395" s="5"/>
      <c r="C395" s="93" t="s">
        <v>151</v>
      </c>
      <c r="D395" s="93"/>
      <c r="E395" s="93"/>
      <c r="F395" s="93"/>
      <c r="G395" s="93"/>
      <c r="H395" s="5"/>
      <c r="I395" s="5"/>
      <c r="J395" s="5"/>
      <c r="K395" s="5"/>
      <c r="L395" s="2"/>
    </row>
    <row r="39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2"/>
    </row>
    <row r="397" ht="14.25" customHeight="1">
      <c r="A397" s="91" t="s">
        <v>152</v>
      </c>
      <c r="B397" s="91"/>
      <c r="C397" s="92" t="str">
        <f>IF(Source!AE12&lt;&gt;"", Source!AE12," ")</f>
        <v xml:space="preserve"> </v>
      </c>
      <c r="D397" s="37"/>
      <c r="E397" s="37"/>
      <c r="F397" s="37"/>
      <c r="G397" s="37"/>
      <c r="H397" s="6" t="str">
        <f>IF(Source!AD12&lt;&gt;"", Source!AD12," ")</f>
        <v xml:space="preserve"> </v>
      </c>
      <c r="I397" s="5"/>
      <c r="J397" s="5"/>
      <c r="K397" s="5"/>
      <c r="L397" s="2"/>
    </row>
    <row r="398" ht="14.25" customHeight="1">
      <c r="A398" s="5"/>
      <c r="B398" s="5"/>
      <c r="C398" s="93" t="s">
        <v>151</v>
      </c>
      <c r="D398" s="93"/>
      <c r="E398" s="93"/>
      <c r="F398" s="93"/>
      <c r="G398" s="93"/>
      <c r="H398" s="5"/>
      <c r="I398" s="5"/>
      <c r="J398" s="5"/>
      <c r="K398" s="5"/>
      <c r="L398" s="2"/>
    </row>
  </sheetData>
  <mergeCells count="174">
    <mergeCell ref="B3:E3"/>
    <mergeCell ref="H3:L3"/>
    <mergeCell ref="B4:E4"/>
    <mergeCell ref="H4:L4"/>
    <mergeCell ref="B6:E6"/>
    <mergeCell ref="H6:L6"/>
    <mergeCell ref="B7:E7"/>
    <mergeCell ref="H7:L7"/>
    <mergeCell ref="A10:E10"/>
    <mergeCell ref="F10:L10"/>
    <mergeCell ref="A12:E12"/>
    <mergeCell ref="F12:L12"/>
    <mergeCell ref="A14:E14"/>
    <mergeCell ref="F14:L14"/>
    <mergeCell ref="A16:E16"/>
    <mergeCell ref="F16:L16"/>
    <mergeCell ref="A18:E18"/>
    <mergeCell ref="F18:L18"/>
    <mergeCell ref="A20:E20"/>
    <mergeCell ref="F20:L20"/>
    <mergeCell ref="A22:E22"/>
    <mergeCell ref="F22:L22"/>
    <mergeCell ref="A25:L25"/>
    <mergeCell ref="A26:L26"/>
    <mergeCell ref="A28:L28"/>
    <mergeCell ref="A29:L29"/>
    <mergeCell ref="A31:L31"/>
    <mergeCell ref="A33:L33"/>
    <mergeCell ref="A34:L34"/>
    <mergeCell ref="C39:L39"/>
    <mergeCell ref="C40:L40"/>
    <mergeCell ref="D44:E44"/>
    <mergeCell ref="D47:E47"/>
    <mergeCell ref="D48:E48"/>
    <mergeCell ref="D49:E49"/>
    <mergeCell ref="D50:E50"/>
    <mergeCell ref="A52:A56"/>
    <mergeCell ref="B52:B56"/>
    <mergeCell ref="C52:C56"/>
    <mergeCell ref="D52:D56"/>
    <mergeCell ref="E52:G55"/>
    <mergeCell ref="H52:J55"/>
    <mergeCell ref="K52:K56"/>
    <mergeCell ref="L52:L56"/>
    <mergeCell ref="C70:H70"/>
    <mergeCell ref="I70:J70"/>
    <mergeCell ref="C83:H83"/>
    <mergeCell ref="I83:J83"/>
    <mergeCell ref="C85:L85"/>
    <mergeCell ref="C98:H98"/>
    <mergeCell ref="I98:J98"/>
    <mergeCell ref="C111:H111"/>
    <mergeCell ref="I111:J111"/>
    <mergeCell ref="C124:H124"/>
    <mergeCell ref="I124:J124"/>
    <mergeCell ref="C137:H137"/>
    <mergeCell ref="I137:J137"/>
    <mergeCell ref="C150:H150"/>
    <mergeCell ref="I150:J150"/>
    <mergeCell ref="C163:H163"/>
    <mergeCell ref="I163:J163"/>
    <mergeCell ref="C178:H178"/>
    <mergeCell ref="I178:J178"/>
    <mergeCell ref="C193:H193"/>
    <mergeCell ref="I193:J193"/>
    <mergeCell ref="C208:H208"/>
    <mergeCell ref="I208:J208"/>
    <mergeCell ref="C228:H228"/>
    <mergeCell ref="I228:J228"/>
    <mergeCell ref="C248:H248"/>
    <mergeCell ref="I248:J248"/>
    <mergeCell ref="C270:H270"/>
    <mergeCell ref="I270:J270"/>
    <mergeCell ref="C283:H283"/>
    <mergeCell ref="I283:J283"/>
    <mergeCell ref="C285:H285"/>
    <mergeCell ref="C287:H287"/>
    <mergeCell ref="C288:H288"/>
    <mergeCell ref="C289:H289"/>
    <mergeCell ref="C290:H290"/>
    <mergeCell ref="C291:H291"/>
    <mergeCell ref="C292:H292"/>
    <mergeCell ref="C293:H293"/>
    <mergeCell ref="C294:H294"/>
    <mergeCell ref="C295:H295"/>
    <mergeCell ref="C296:H296"/>
    <mergeCell ref="C297:H297"/>
    <mergeCell ref="C298:H298"/>
    <mergeCell ref="C299:H299"/>
    <mergeCell ref="C300:H300"/>
    <mergeCell ref="C301:H301"/>
    <mergeCell ref="C302:H302"/>
    <mergeCell ref="C303:H303"/>
    <mergeCell ref="C304:H304"/>
    <mergeCell ref="C305:H305"/>
    <mergeCell ref="C307:H307"/>
    <mergeCell ref="C308:H308"/>
    <mergeCell ref="C309:H309"/>
    <mergeCell ref="C310:H310"/>
    <mergeCell ref="C311:H311"/>
    <mergeCell ref="C312:H312"/>
    <mergeCell ref="C313:H313"/>
    <mergeCell ref="C314:H314"/>
    <mergeCell ref="C315:H315"/>
    <mergeCell ref="C316:H316"/>
    <mergeCell ref="C317:H317"/>
    <mergeCell ref="C318:H318"/>
    <mergeCell ref="C319:H319"/>
    <mergeCell ref="C320:H320"/>
    <mergeCell ref="C321:H321"/>
    <mergeCell ref="C322:H322"/>
    <mergeCell ref="C323:H323"/>
    <mergeCell ref="C324:H324"/>
    <mergeCell ref="C325:H325"/>
    <mergeCell ref="C327:H327"/>
    <mergeCell ref="C328:H328"/>
    <mergeCell ref="C329:H329"/>
    <mergeCell ref="C330:H330"/>
    <mergeCell ref="C332:H332"/>
    <mergeCell ref="C333:H333"/>
    <mergeCell ref="C334:H334"/>
    <mergeCell ref="C335:H335"/>
    <mergeCell ref="C336:H336"/>
    <mergeCell ref="C337:H337"/>
    <mergeCell ref="C338:H338"/>
    <mergeCell ref="C339:H339"/>
    <mergeCell ref="C340:H340"/>
    <mergeCell ref="C341:H341"/>
    <mergeCell ref="C342:H342"/>
    <mergeCell ref="C343:H343"/>
    <mergeCell ref="C344:H344"/>
    <mergeCell ref="C345:H345"/>
    <mergeCell ref="C346:H346"/>
    <mergeCell ref="C347:H347"/>
    <mergeCell ref="C348:H348"/>
    <mergeCell ref="C349:H349"/>
    <mergeCell ref="C350:H350"/>
    <mergeCell ref="C351:H351"/>
    <mergeCell ref="C352:H352"/>
    <mergeCell ref="C353:H353"/>
    <mergeCell ref="C354:H354"/>
    <mergeCell ref="C356:H356"/>
    <mergeCell ref="C357:H357"/>
    <mergeCell ref="C358:H358"/>
    <mergeCell ref="C359:H359"/>
    <mergeCell ref="C360:H360"/>
    <mergeCell ref="C361:H361"/>
    <mergeCell ref="C362:H362"/>
    <mergeCell ref="C363:H363"/>
    <mergeCell ref="C364:H364"/>
    <mergeCell ref="C365:H365"/>
    <mergeCell ref="C366:H366"/>
    <mergeCell ref="C367:H367"/>
    <mergeCell ref="C368:H368"/>
    <mergeCell ref="C369:H369"/>
    <mergeCell ref="C370:H370"/>
    <mergeCell ref="C371:H371"/>
    <mergeCell ref="C372:H372"/>
    <mergeCell ref="C373:H373"/>
    <mergeCell ref="C374:H374"/>
    <mergeCell ref="C375:H375"/>
    <mergeCell ref="C376:H376"/>
    <mergeCell ref="C377:H377"/>
    <mergeCell ref="C378:H378"/>
    <mergeCell ref="C379:H379"/>
    <mergeCell ref="C380:H380"/>
    <mergeCell ref="C381:H381"/>
    <mergeCell ref="C382:H382"/>
    <mergeCell ref="C383:F383"/>
    <mergeCell ref="C384:F384"/>
    <mergeCell ref="A394:B394"/>
    <mergeCell ref="C395:G395"/>
    <mergeCell ref="A397:B397"/>
    <mergeCell ref="C398:G398"/>
  </mergeCells>
  <printOptions headings="0" gridLines="0"/>
  <pageMargins left="0.40000000000000008" right="0.20000000000000004" top="0.20000000000000004" bottom="0.40000000000000008" header="0.20000000000000004" footer="0.20000000000000004"/>
  <pageSetup paperSize="9" scale="50" fitToWidth="1" fitToHeight="0" pageOrder="downThenOver" orientation="portrait" usePrinterDefaults="1" blackAndWhite="0" draft="0" cellComments="none" useFirstPageNumber="0" errors="displayed" horizontalDpi="600" verticalDpi="600" copies="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1"/>
  </sheetPr>
  <sheetViews>
    <sheetView view="pageBreakPreview" topLeftCell="A338" zoomScale="60" workbookViewId="0">
      <selection activeCell="K376" activeCellId="0" sqref="K376"/>
    </sheetView>
  </sheetViews>
  <sheetFormatPr defaultRowHeight="12.75"/>
  <cols>
    <col customWidth="1" min="1" max="2" width="5.7109375"/>
    <col customWidth="1" min="3" max="3" width="20.7109375"/>
    <col customWidth="1" min="4" max="4" width="40.7109375"/>
    <col customWidth="1" min="5" max="5" width="10.7109375"/>
    <col customWidth="1" min="6" max="12" width="15.7109375"/>
    <col customWidth="1" min="13" max="13" width="19.28515625"/>
    <col customWidth="1" hidden="1" min="15" max="101" width="0"/>
  </cols>
  <sheetData>
    <row r="1">
      <c r="A1" s="1" t="str">
        <f>Source!B1</f>
        <v xml:space="preserve">Smeta.RU  (495) 974-1589</v>
      </c>
    </row>
    <row r="2" ht="12.75" customHeight="1">
      <c r="A2" s="26"/>
      <c r="B2" s="26"/>
      <c r="C2" s="26"/>
      <c r="D2" s="26"/>
      <c r="E2" s="26"/>
      <c r="F2" s="26"/>
      <c r="G2" s="26"/>
      <c r="H2" s="26"/>
      <c r="I2" s="26"/>
      <c r="J2" s="94" t="s">
        <v>153</v>
      </c>
      <c r="K2" s="94"/>
      <c r="L2" s="94"/>
      <c r="M2" s="94"/>
    </row>
    <row r="3" ht="12.75" customHeight="1">
      <c r="A3" s="26"/>
      <c r="B3" s="26"/>
      <c r="C3" s="26"/>
      <c r="D3" s="26"/>
      <c r="E3" s="26"/>
      <c r="F3" s="26"/>
      <c r="G3" s="26"/>
      <c r="H3" s="26"/>
      <c r="I3" s="94" t="s">
        <v>154</v>
      </c>
      <c r="J3" s="94"/>
      <c r="K3" s="94"/>
      <c r="L3" s="94"/>
      <c r="M3" s="94"/>
    </row>
    <row r="4" ht="12.75" customHeight="1">
      <c r="A4" s="26"/>
      <c r="B4" s="26"/>
      <c r="C4" s="26"/>
      <c r="D4" s="26"/>
      <c r="E4" s="26"/>
      <c r="F4" s="26"/>
      <c r="G4" s="26"/>
      <c r="H4" s="26"/>
      <c r="I4" s="26"/>
      <c r="J4" s="94" t="s">
        <v>155</v>
      </c>
      <c r="K4" s="94"/>
      <c r="L4" s="94"/>
      <c r="M4" s="94"/>
    </row>
    <row r="5" ht="12.7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ht="14.2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95" t="s">
        <v>156</v>
      </c>
      <c r="L6" s="95"/>
      <c r="M6" s="95"/>
    </row>
    <row r="7" ht="28.5" customHeight="1">
      <c r="A7" s="26"/>
      <c r="B7" s="26"/>
      <c r="C7" s="26"/>
      <c r="D7" s="26"/>
      <c r="E7" s="26"/>
      <c r="F7" s="26"/>
      <c r="G7" s="26"/>
      <c r="H7" s="26"/>
      <c r="I7" s="26"/>
      <c r="J7" s="96" t="s">
        <v>157</v>
      </c>
      <c r="K7" s="97">
        <v>322005</v>
      </c>
      <c r="L7" s="98"/>
      <c r="M7" s="99"/>
    </row>
    <row r="8" ht="12.7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100" t="str">
        <f>IF(Source!AT15 &lt;&gt; "", Source!AT15, "")</f>
        <v/>
      </c>
      <c r="L8" s="101"/>
      <c r="M8" s="102"/>
    </row>
    <row r="9" ht="14.25" customHeight="1">
      <c r="A9" s="7" t="s">
        <v>158</v>
      </c>
      <c r="B9" s="7"/>
      <c r="C9" s="103" t="str">
        <f>IF(Source!BA15 &lt;&gt; "", Source!BA15, IF(Source!AU15 &lt;&gt; "", Source!AU15, ""))</f>
        <v/>
      </c>
      <c r="D9" s="103"/>
      <c r="E9" s="103"/>
      <c r="F9" s="103"/>
      <c r="G9" s="103"/>
      <c r="H9" s="103"/>
      <c r="I9" s="103"/>
      <c r="J9" s="96" t="s">
        <v>159</v>
      </c>
      <c r="K9" s="104"/>
      <c r="L9" s="95"/>
      <c r="M9" s="105"/>
    </row>
    <row r="10" ht="12.75" customHeight="1">
      <c r="A10" s="26"/>
      <c r="B10" s="26"/>
      <c r="C10" s="106" t="s">
        <v>160</v>
      </c>
      <c r="D10" s="106"/>
      <c r="E10" s="106"/>
      <c r="F10" s="106"/>
      <c r="G10" s="106"/>
      <c r="H10" s="106"/>
      <c r="I10" s="106"/>
      <c r="J10" s="26"/>
      <c r="K10" s="100" t="str">
        <f>IF(Source!AK15 &lt;&gt; "", Source!AK15, "")</f>
        <v/>
      </c>
      <c r="L10" s="101"/>
      <c r="M10" s="102"/>
    </row>
    <row r="11" ht="14.25" customHeight="1">
      <c r="A11" s="7" t="s">
        <v>161</v>
      </c>
      <c r="B11" s="7"/>
      <c r="C11" s="103" t="str">
        <f>IF(Source!AX12&lt;&gt; "", Source!AX12, IF(Source!AJ12 &lt;&gt; "", Source!AJ12, ""))</f>
        <v/>
      </c>
      <c r="D11" s="103"/>
      <c r="E11" s="103"/>
      <c r="F11" s="103"/>
      <c r="G11" s="103"/>
      <c r="H11" s="103"/>
      <c r="I11" s="103"/>
      <c r="J11" s="96" t="s">
        <v>159</v>
      </c>
      <c r="K11" s="104"/>
      <c r="L11" s="95"/>
      <c r="M11" s="105"/>
    </row>
    <row r="12" ht="12.75" customHeight="1">
      <c r="A12" s="26"/>
      <c r="B12" s="26"/>
      <c r="C12" s="106" t="s">
        <v>160</v>
      </c>
      <c r="D12" s="106"/>
      <c r="E12" s="106"/>
      <c r="F12" s="106"/>
      <c r="G12" s="106"/>
      <c r="H12" s="106"/>
      <c r="I12" s="106"/>
      <c r="J12" s="26"/>
      <c r="K12" s="100" t="str">
        <f>IF(Source!AO15 &lt;&gt; "", Source!AO15, "")</f>
        <v/>
      </c>
      <c r="L12" s="101"/>
      <c r="M12" s="102"/>
    </row>
    <row r="13" ht="14.25" customHeight="1">
      <c r="A13" s="7" t="s">
        <v>162</v>
      </c>
      <c r="B13" s="7"/>
      <c r="C13" s="103" t="str">
        <f>IF(Source!AY12&lt;&gt; "", Source!AY12, IF(Source!AN12 &lt;&gt; "", Source!AN12, ""))</f>
        <v/>
      </c>
      <c r="D13" s="103"/>
      <c r="E13" s="103"/>
      <c r="F13" s="103"/>
      <c r="G13" s="103"/>
      <c r="H13" s="103"/>
      <c r="I13" s="103"/>
      <c r="J13" s="96" t="s">
        <v>159</v>
      </c>
      <c r="K13" s="104"/>
      <c r="L13" s="95"/>
      <c r="M13" s="105"/>
    </row>
    <row r="14" ht="12.75" customHeight="1">
      <c r="A14" s="26"/>
      <c r="B14" s="26"/>
      <c r="C14" s="106" t="s">
        <v>160</v>
      </c>
      <c r="D14" s="106"/>
      <c r="E14" s="106"/>
      <c r="F14" s="106"/>
      <c r="G14" s="106"/>
      <c r="H14" s="106"/>
      <c r="I14" s="106"/>
      <c r="J14" s="26"/>
      <c r="K14" s="100" t="str">
        <f>IF(Source!CO15 &lt;&gt; "", Source!CO15, "")</f>
        <v/>
      </c>
      <c r="L14" s="101"/>
      <c r="M14" s="102"/>
    </row>
    <row r="15" ht="14.25" customHeight="1">
      <c r="A15" s="7" t="s">
        <v>163</v>
      </c>
      <c r="B15" s="7"/>
      <c r="C15" s="103" t="s">
        <v>164</v>
      </c>
      <c r="D15" s="103"/>
      <c r="E15" s="103"/>
      <c r="F15" s="103"/>
      <c r="G15" s="103"/>
      <c r="H15" s="103"/>
      <c r="I15" s="103"/>
      <c r="J15" s="107"/>
      <c r="K15" s="104"/>
      <c r="L15" s="95"/>
      <c r="M15" s="105"/>
    </row>
    <row r="16" ht="12.75" customHeight="1">
      <c r="A16" s="26"/>
      <c r="B16" s="26"/>
      <c r="C16" s="106" t="s">
        <v>165</v>
      </c>
      <c r="D16" s="106"/>
      <c r="E16" s="106"/>
      <c r="F16" s="106"/>
      <c r="G16" s="106"/>
      <c r="H16" s="106"/>
      <c r="I16" s="106"/>
      <c r="J16" s="26"/>
      <c r="K16" s="100" t="str">
        <f>IF(Source!CP15 &lt;&gt; "", Source!CP15, "")</f>
        <v/>
      </c>
      <c r="L16" s="101"/>
      <c r="M16" s="102"/>
    </row>
    <row r="17" ht="14.25" customHeight="1">
      <c r="A17" s="7" t="s">
        <v>166</v>
      </c>
      <c r="B17" s="7"/>
      <c r="C17" s="103" t="str">
        <f>IF(Source!G12&lt;&gt;"Новый объект", Source!G12, "")</f>
        <v>Астрахань</v>
      </c>
      <c r="D17" s="103"/>
      <c r="E17" s="103"/>
      <c r="F17" s="103"/>
      <c r="G17" s="103"/>
      <c r="H17" s="103"/>
      <c r="I17" s="103"/>
      <c r="J17" s="107"/>
      <c r="K17" s="104"/>
      <c r="L17" s="95"/>
      <c r="M17" s="105"/>
    </row>
    <row r="18" ht="12.75" customHeight="1">
      <c r="A18" s="26"/>
      <c r="B18" s="26"/>
      <c r="C18" s="106" t="s">
        <v>167</v>
      </c>
      <c r="D18" s="106"/>
      <c r="E18" s="106"/>
      <c r="F18" s="106"/>
      <c r="G18" s="106"/>
      <c r="H18" s="106"/>
      <c r="I18" s="106"/>
      <c r="J18" s="26"/>
      <c r="K18" s="108"/>
      <c r="L18" s="108"/>
      <c r="M18" s="108"/>
    </row>
    <row r="19" ht="14.25" customHeight="1">
      <c r="A19" s="26"/>
      <c r="B19" s="26"/>
      <c r="C19" s="26"/>
      <c r="D19" s="26"/>
      <c r="E19" s="26"/>
      <c r="F19" s="26"/>
      <c r="G19" s="26"/>
      <c r="H19" s="109" t="s">
        <v>168</v>
      </c>
      <c r="I19" s="109"/>
      <c r="J19" s="110"/>
      <c r="K19" s="97" t="str">
        <f>IF(Source!CQ15 &lt;&gt; "", Source!CQ15, "")</f>
        <v/>
      </c>
      <c r="L19" s="98"/>
      <c r="M19" s="99"/>
    </row>
    <row r="20" ht="14.25" customHeight="1">
      <c r="A20" s="26"/>
      <c r="B20" s="26"/>
      <c r="C20" s="26"/>
      <c r="D20" s="26"/>
      <c r="E20" s="26"/>
      <c r="F20" s="26"/>
      <c r="G20" s="26"/>
      <c r="H20" s="111" t="s">
        <v>169</v>
      </c>
      <c r="I20" s="112"/>
      <c r="J20" s="113" t="s">
        <v>170</v>
      </c>
      <c r="K20" s="97" t="str">
        <f>IF(Source!CR15 &lt;&gt; "", Source!CR15, "")</f>
        <v/>
      </c>
      <c r="L20" s="98"/>
      <c r="M20" s="99"/>
    </row>
    <row r="21" ht="14.25" customHeight="1">
      <c r="A21" s="26"/>
      <c r="B21" s="26"/>
      <c r="C21" s="26"/>
      <c r="D21" s="26"/>
      <c r="E21" s="26"/>
      <c r="F21" s="26"/>
      <c r="G21" s="26"/>
      <c r="H21" s="26"/>
      <c r="I21" s="107"/>
      <c r="J21" s="113" t="s">
        <v>171</v>
      </c>
      <c r="K21" s="114" t="str">
        <f>IF(Source!CS15 &lt;&gt; 0, Source!CS15, "")</f>
        <v/>
      </c>
      <c r="L21" s="115"/>
      <c r="M21" s="116"/>
    </row>
    <row r="22" ht="14.25" customHeight="1">
      <c r="A22" s="26"/>
      <c r="B22" s="26"/>
      <c r="C22" s="26"/>
      <c r="D22" s="26"/>
      <c r="E22" s="26"/>
      <c r="F22" s="26"/>
      <c r="G22" s="26"/>
      <c r="H22" s="26"/>
      <c r="I22" s="26"/>
      <c r="J22" s="112" t="s">
        <v>172</v>
      </c>
      <c r="K22" s="97" t="str">
        <f>IF(Source!CT15 &lt;&gt; "", Source!CT15, "")</f>
        <v/>
      </c>
      <c r="L22" s="98"/>
      <c r="M22" s="99"/>
    </row>
    <row r="23" ht="12.75" customHeight="1">
      <c r="A23" s="26"/>
      <c r="B23" s="26"/>
      <c r="C23" s="26"/>
      <c r="D23" s="26"/>
      <c r="E23" s="26"/>
      <c r="F23" s="26"/>
      <c r="G23" s="117"/>
      <c r="H23" s="117"/>
      <c r="I23" s="117"/>
      <c r="J23" s="117"/>
      <c r="K23" s="118"/>
      <c r="L23" s="118"/>
      <c r="M23" s="118"/>
    </row>
    <row r="24" ht="12.75" customHeight="1">
      <c r="A24" s="26"/>
      <c r="B24" s="26"/>
      <c r="C24" s="26"/>
      <c r="D24" s="26"/>
      <c r="E24" s="26"/>
      <c r="F24" s="26"/>
      <c r="G24" s="38" t="s">
        <v>173</v>
      </c>
      <c r="H24" s="38" t="s">
        <v>174</v>
      </c>
      <c r="I24" s="119" t="s">
        <v>175</v>
      </c>
      <c r="J24" s="120"/>
      <c r="K24" s="121"/>
      <c r="L24" s="26"/>
      <c r="M24" s="26"/>
    </row>
    <row r="25" ht="12.75" customHeight="1">
      <c r="A25" s="26"/>
      <c r="B25" s="26"/>
      <c r="C25" s="26"/>
      <c r="D25" s="26"/>
      <c r="E25" s="26"/>
      <c r="F25" s="107"/>
      <c r="G25" s="49"/>
      <c r="H25" s="49"/>
      <c r="I25" s="50" t="s">
        <v>176</v>
      </c>
      <c r="J25" s="50" t="s">
        <v>177</v>
      </c>
      <c r="K25" s="121"/>
      <c r="L25" s="26"/>
      <c r="M25" s="26"/>
    </row>
    <row r="26" ht="12.75" customHeight="1">
      <c r="A26" s="26"/>
      <c r="B26" s="26"/>
      <c r="C26" s="26"/>
      <c r="D26" s="26"/>
      <c r="E26" s="26"/>
      <c r="F26" s="107"/>
      <c r="G26" s="122" t="str">
        <f>IF(Source!CN15 &lt;&gt; "", Source!CN15, "")</f>
        <v/>
      </c>
      <c r="H26" s="123" t="str">
        <f>IF(Source!CX15 &lt;&gt; 0, Source!CX15, "")</f>
        <v/>
      </c>
      <c r="I26" s="123" t="str">
        <f>IF(Source!CV15 &lt;&gt; 0, Source!CV15, "")</f>
        <v/>
      </c>
      <c r="J26" s="123" t="str">
        <f>IF(Source!CW15 &lt;&gt; 0, Source!CW15, "")</f>
        <v/>
      </c>
      <c r="K26" s="121"/>
      <c r="L26" s="26"/>
      <c r="M26" s="26"/>
    </row>
    <row r="27" ht="12.75" customHeight="1">
      <c r="A27" s="26"/>
      <c r="B27" s="26"/>
      <c r="C27" s="26"/>
      <c r="D27" s="26"/>
      <c r="E27" s="26"/>
      <c r="F27" s="26"/>
      <c r="G27" s="118"/>
      <c r="H27" s="118"/>
      <c r="I27" s="118"/>
      <c r="J27" s="118"/>
      <c r="K27" s="26"/>
      <c r="L27" s="26"/>
      <c r="M27" s="26"/>
    </row>
    <row r="28" ht="18" customHeight="1">
      <c r="A28" s="124" t="s">
        <v>178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ht="18" customHeight="1">
      <c r="A29" s="124" t="s">
        <v>179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  <row r="30" ht="12.75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ht="14.25" customHeight="1">
      <c r="A31" s="125" t="s">
        <v>180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</row>
    <row r="32" ht="12.75" customHeight="1">
      <c r="A32" s="119" t="s">
        <v>35</v>
      </c>
      <c r="B32" s="126"/>
      <c r="C32" s="38" t="s">
        <v>36</v>
      </c>
      <c r="D32" s="38" t="s">
        <v>37</v>
      </c>
      <c r="E32" s="38" t="s">
        <v>38</v>
      </c>
      <c r="F32" s="39" t="s">
        <v>39</v>
      </c>
      <c r="G32" s="40"/>
      <c r="H32" s="41"/>
      <c r="I32" s="39" t="s">
        <v>181</v>
      </c>
      <c r="J32" s="40"/>
      <c r="K32" s="41"/>
      <c r="L32" s="38" t="s">
        <v>41</v>
      </c>
      <c r="M32" s="38" t="s">
        <v>42</v>
      </c>
    </row>
    <row r="33" ht="12.75" customHeight="1">
      <c r="A33" s="38" t="s">
        <v>35</v>
      </c>
      <c r="B33" s="38" t="s">
        <v>182</v>
      </c>
      <c r="C33" s="42"/>
      <c r="D33" s="42"/>
      <c r="E33" s="42"/>
      <c r="F33" s="43"/>
      <c r="G33" s="44"/>
      <c r="H33" s="45"/>
      <c r="I33" s="43"/>
      <c r="J33" s="44"/>
      <c r="K33" s="45"/>
      <c r="L33" s="42"/>
      <c r="M33" s="42"/>
    </row>
    <row r="34" ht="12.75" customHeight="1">
      <c r="A34" s="42"/>
      <c r="B34" s="42"/>
      <c r="C34" s="42"/>
      <c r="D34" s="42"/>
      <c r="E34" s="42"/>
      <c r="F34" s="46"/>
      <c r="G34" s="47"/>
      <c r="H34" s="48"/>
      <c r="I34" s="46"/>
      <c r="J34" s="47"/>
      <c r="K34" s="48"/>
      <c r="L34" s="42"/>
      <c r="M34" s="42"/>
    </row>
    <row r="35" ht="25.5" customHeight="1">
      <c r="A35" s="49"/>
      <c r="B35" s="49"/>
      <c r="C35" s="49"/>
      <c r="D35" s="49"/>
      <c r="E35" s="49"/>
      <c r="F35" s="50" t="s">
        <v>183</v>
      </c>
      <c r="G35" s="50" t="s">
        <v>44</v>
      </c>
      <c r="H35" s="51" t="s">
        <v>45</v>
      </c>
      <c r="I35" s="50" t="s">
        <v>183</v>
      </c>
      <c r="J35" s="50" t="s">
        <v>44</v>
      </c>
      <c r="K35" s="50" t="s">
        <v>46</v>
      </c>
      <c r="L35" s="49"/>
      <c r="M35" s="49"/>
    </row>
    <row r="36" ht="14.25" customHeight="1">
      <c r="A36" s="127">
        <v>1</v>
      </c>
      <c r="B36" s="127">
        <v>2</v>
      </c>
      <c r="C36" s="127">
        <v>3</v>
      </c>
      <c r="D36" s="127">
        <v>4</v>
      </c>
      <c r="E36" s="127">
        <v>5</v>
      </c>
      <c r="F36" s="127">
        <v>6</v>
      </c>
      <c r="G36" s="127">
        <v>7</v>
      </c>
      <c r="H36" s="127">
        <v>8</v>
      </c>
      <c r="I36" s="127">
        <v>9</v>
      </c>
      <c r="J36" s="127">
        <v>10</v>
      </c>
      <c r="K36" s="127">
        <v>11</v>
      </c>
      <c r="L36" s="127">
        <v>12</v>
      </c>
      <c r="M36" s="53">
        <v>13</v>
      </c>
    </row>
    <row r="38" ht="16.5">
      <c r="A38" s="128" t="s">
        <v>184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</row>
    <row r="39" ht="14.25">
      <c r="A39" s="54" t="s">
        <v>47</v>
      </c>
      <c r="B39" s="54" t="s">
        <v>47</v>
      </c>
      <c r="C39" s="55" t="s">
        <v>185</v>
      </c>
      <c r="D39" s="55" t="str">
        <f>Source!G24</f>
        <v xml:space="preserve">Демонтаж: умывальников и раковин</v>
      </c>
      <c r="E39" s="56" t="str">
        <f>Source!H24</f>
        <v xml:space="preserve">100 ШТ</v>
      </c>
      <c r="F39" s="57">
        <f>Source!K24</f>
        <v>0.049999999999999996</v>
      </c>
      <c r="G39" s="57"/>
      <c r="H39" s="57">
        <f>Source!I24</f>
        <v>0.049999999999999996</v>
      </c>
      <c r="I39" s="58"/>
      <c r="J39" s="59"/>
      <c r="K39" s="58"/>
      <c r="L39" s="59"/>
      <c r="M39" s="58"/>
    </row>
    <row r="40">
      <c r="D40" s="60" t="str">
        <f>"Объем: "&amp;Source!I24&amp;"=5/"&amp;"100"</f>
        <v xml:space="preserve">Объем: 0,049999999999999996=5/100</v>
      </c>
    </row>
    <row r="41" ht="14.25">
      <c r="A41" s="55"/>
      <c r="B41" s="55"/>
      <c r="C41" s="59">
        <v>1</v>
      </c>
      <c r="D41" s="55" t="s">
        <v>48</v>
      </c>
      <c r="E41" s="56"/>
      <c r="F41" s="57"/>
      <c r="G41" s="57"/>
      <c r="H41" s="57"/>
      <c r="I41" s="58">
        <f>Source!AO24</f>
        <v>437.58999999999997</v>
      </c>
      <c r="J41" s="59"/>
      <c r="K41" s="58">
        <f>ROUND(Source!AF24*Source!I24, 2)</f>
        <v>21.879999999999999</v>
      </c>
      <c r="L41" s="59">
        <f>IF(Source!BA24&lt;&gt; 0, Source!BA24, 1)</f>
        <v>55.32</v>
      </c>
      <c r="M41" s="58">
        <f>Source!HJ24</f>
        <v>1210.4000000000001</v>
      </c>
    </row>
    <row r="42" ht="14.25">
      <c r="A42" s="55"/>
      <c r="B42" s="55"/>
      <c r="C42" s="59">
        <v>2</v>
      </c>
      <c r="D42" s="55" t="s">
        <v>49</v>
      </c>
      <c r="E42" s="56"/>
      <c r="F42" s="57"/>
      <c r="G42" s="57"/>
      <c r="H42" s="57"/>
      <c r="I42" s="58">
        <f>Source!AM24</f>
        <v>8.1300000000000008</v>
      </c>
      <c r="J42" s="59"/>
      <c r="K42" s="58">
        <f>ROUND((((Source!ET24)-(Source!EU24))+Source!AE24)*Source!I24, 2)</f>
        <v>0.41000000000000003</v>
      </c>
      <c r="L42" s="59"/>
      <c r="M42" s="58"/>
    </row>
    <row r="43" ht="14.25">
      <c r="A43" s="55"/>
      <c r="B43" s="55"/>
      <c r="C43" s="59">
        <v>3</v>
      </c>
      <c r="D43" s="55" t="s">
        <v>50</v>
      </c>
      <c r="E43" s="56"/>
      <c r="F43" s="57"/>
      <c r="G43" s="57"/>
      <c r="H43" s="57"/>
      <c r="I43" s="58">
        <f>Source!AN24</f>
        <v>3.5099999999999998</v>
      </c>
      <c r="J43" s="59"/>
      <c r="K43" s="61">
        <f>ROUND(Source!AE24*Source!I24, 2)</f>
        <v>0.17999999999999999</v>
      </c>
      <c r="L43" s="59">
        <f>IF(Source!BS24&lt;&gt; 0, Source!BS24, 1)</f>
        <v>55.32</v>
      </c>
      <c r="M43" s="61">
        <f>Source!HI24</f>
        <v>9.9600000000000009</v>
      </c>
    </row>
    <row r="44" ht="14.25">
      <c r="A44" s="55"/>
      <c r="B44" s="55"/>
      <c r="C44" s="59">
        <v>4</v>
      </c>
      <c r="D44" s="55" t="s">
        <v>51</v>
      </c>
      <c r="E44" s="56"/>
      <c r="F44" s="57"/>
      <c r="G44" s="57"/>
      <c r="H44" s="57"/>
      <c r="I44" s="58">
        <f>Source!AL24</f>
        <v>0</v>
      </c>
      <c r="J44" s="59"/>
      <c r="K44" s="58">
        <f>ROUND(Source!AC24*Source!I24, 2)</f>
        <v>0</v>
      </c>
      <c r="L44" s="59"/>
      <c r="M44" s="58"/>
    </row>
    <row r="45" ht="14.25">
      <c r="A45" s="55"/>
      <c r="B45" s="55"/>
      <c r="C45" s="55"/>
      <c r="D45" s="55" t="s">
        <v>52</v>
      </c>
      <c r="E45" s="56" t="s">
        <v>30</v>
      </c>
      <c r="F45" s="57">
        <f>Source!AQ24</f>
        <v>51.299999999999997</v>
      </c>
      <c r="G45" s="57"/>
      <c r="H45" s="57">
        <f>ROUND(Source!U24, 7)</f>
        <v>2.5649999999999999</v>
      </c>
      <c r="I45" s="58"/>
      <c r="J45" s="59"/>
      <c r="K45" s="58"/>
      <c r="L45" s="59"/>
      <c r="M45" s="58"/>
    </row>
    <row r="46" ht="14.25">
      <c r="A46" s="55"/>
      <c r="B46" s="55"/>
      <c r="C46" s="55"/>
      <c r="D46" s="62" t="s">
        <v>53</v>
      </c>
      <c r="E46" s="63" t="s">
        <v>30</v>
      </c>
      <c r="F46" s="64">
        <f>Source!AR24</f>
        <v>0.26000000000000001</v>
      </c>
      <c r="G46" s="64"/>
      <c r="H46" s="64">
        <f>ROUND(Source!V24, 7)</f>
        <v>0.012999999999999999</v>
      </c>
      <c r="I46" s="65"/>
      <c r="J46" s="66"/>
      <c r="K46" s="65"/>
      <c r="L46" s="66"/>
      <c r="M46" s="65"/>
    </row>
    <row r="47" ht="14.25">
      <c r="A47" s="55"/>
      <c r="B47" s="55"/>
      <c r="C47" s="55"/>
      <c r="D47" s="55" t="s">
        <v>54</v>
      </c>
      <c r="E47" s="56"/>
      <c r="F47" s="57"/>
      <c r="G47" s="57"/>
      <c r="H47" s="57"/>
      <c r="I47" s="58">
        <f>I41+I42+I44</f>
        <v>445.71999999999997</v>
      </c>
      <c r="J47" s="59"/>
      <c r="K47" s="58">
        <f>K41+K42+K44</f>
        <v>22.289999999999999</v>
      </c>
      <c r="L47" s="59"/>
      <c r="M47" s="58"/>
    </row>
    <row r="48" ht="14.25">
      <c r="A48" s="55"/>
      <c r="B48" s="55"/>
      <c r="C48" s="55"/>
      <c r="D48" s="55" t="s">
        <v>55</v>
      </c>
      <c r="E48" s="56"/>
      <c r="F48" s="57"/>
      <c r="G48" s="57"/>
      <c r="H48" s="57"/>
      <c r="I48" s="58"/>
      <c r="J48" s="59"/>
      <c r="K48" s="58">
        <f>SUM(S39:S51)+SUM(T39:T51)+SUM(X39:X51)+SUM(Y39:Y51)+SUM(Z39:Z51)</f>
        <v>22.059999999999999</v>
      </c>
      <c r="L48" s="59"/>
      <c r="M48" s="58">
        <f>SUM(AR39:AR51)+SUM(AS39:AS51)+SUM(AT39:AT51)+SUM(AU39:AU51)+SUM(AV39:AV51)</f>
        <v>1220.3600000000001</v>
      </c>
    </row>
    <row r="49" ht="28.5">
      <c r="A49" s="55"/>
      <c r="B49" s="55"/>
      <c r="C49" s="55" t="s">
        <v>56</v>
      </c>
      <c r="D49" s="55" t="s">
        <v>57</v>
      </c>
      <c r="E49" s="56" t="s">
        <v>58</v>
      </c>
      <c r="F49" s="57">
        <f>Source!BZ24</f>
        <v>87</v>
      </c>
      <c r="G49" s="57"/>
      <c r="H49" s="57">
        <f>Source!AT24</f>
        <v>87</v>
      </c>
      <c r="I49" s="58"/>
      <c r="J49" s="59"/>
      <c r="K49" s="58">
        <f>SUM(AD39:AD51)</f>
        <v>19.190000000000001</v>
      </c>
      <c r="L49" s="59"/>
      <c r="M49" s="58">
        <f>SUM(AZ39:AZ51)</f>
        <v>1061.71</v>
      </c>
    </row>
    <row r="50" ht="28.5">
      <c r="A50" s="62"/>
      <c r="B50" s="62"/>
      <c r="C50" s="62" t="s">
        <v>59</v>
      </c>
      <c r="D50" s="62" t="s">
        <v>60</v>
      </c>
      <c r="E50" s="63" t="s">
        <v>58</v>
      </c>
      <c r="F50" s="64">
        <f>Source!CA24</f>
        <v>44</v>
      </c>
      <c r="G50" s="64"/>
      <c r="H50" s="64">
        <f>Source!AU24</f>
        <v>44</v>
      </c>
      <c r="I50" s="65"/>
      <c r="J50" s="66"/>
      <c r="K50" s="65">
        <f>SUM(AE39:AE51)</f>
        <v>9.7100000000000009</v>
      </c>
      <c r="L50" s="66"/>
      <c r="M50" s="65">
        <f>SUM(BA39:BA51)</f>
        <v>536.96000000000004</v>
      </c>
    </row>
    <row r="51" ht="15">
      <c r="D51" s="67" t="s">
        <v>61</v>
      </c>
      <c r="E51" s="67"/>
      <c r="F51" s="67"/>
      <c r="G51" s="67"/>
      <c r="H51" s="67"/>
      <c r="I51" s="67"/>
      <c r="J51" s="68">
        <f>K41+K42+K44+K49+K50</f>
        <v>51.190000000000005</v>
      </c>
      <c r="K51" s="68"/>
      <c r="O51" s="69">
        <f>K41+K42+K44+K49+K50</f>
        <v>51.190000000000005</v>
      </c>
      <c r="P51" s="69">
        <f>K42</f>
        <v>0.41000000000000003</v>
      </c>
      <c r="R51" t="s">
        <v>62</v>
      </c>
      <c r="S51" s="69">
        <f>K41</f>
        <v>21.879999999999999</v>
      </c>
      <c r="U51" s="69">
        <f>K41</f>
        <v>21.879999999999999</v>
      </c>
      <c r="X51" s="69">
        <f>K43</f>
        <v>0.17999999999999999</v>
      </c>
      <c r="Z51" t="s">
        <v>62</v>
      </c>
      <c r="AA51" s="69">
        <f>K44</f>
        <v>0</v>
      </c>
      <c r="AD51">
        <f>Source!X24</f>
        <v>19.190000000000001</v>
      </c>
      <c r="AE51">
        <f>Source!Y24</f>
        <v>9.7100000000000009</v>
      </c>
      <c r="AN51" s="69">
        <f>M41+M42+M44+M49+M50</f>
        <v>2809.0700000000002</v>
      </c>
      <c r="AO51" s="69">
        <f>M42</f>
        <v>0</v>
      </c>
      <c r="AQ51" t="s">
        <v>62</v>
      </c>
      <c r="AR51" s="69">
        <f>M41</f>
        <v>1210.4000000000001</v>
      </c>
      <c r="AT51" s="69">
        <f>M43</f>
        <v>9.9600000000000009</v>
      </c>
      <c r="AV51" t="s">
        <v>62</v>
      </c>
      <c r="AW51" s="69">
        <f>M44</f>
        <v>0</v>
      </c>
      <c r="AZ51">
        <f>Source!HK24</f>
        <v>1061.71</v>
      </c>
      <c r="BA51">
        <f>Source!HL24</f>
        <v>536.96000000000004</v>
      </c>
      <c r="BH51" s="69">
        <f>K41+K42+K44+K49+K50</f>
        <v>51.190000000000005</v>
      </c>
      <c r="CD51">
        <v>1</v>
      </c>
    </row>
    <row r="52" ht="14.25">
      <c r="A52" s="54" t="s">
        <v>63</v>
      </c>
      <c r="B52" s="54" t="s">
        <v>63</v>
      </c>
      <c r="C52" s="55" t="s">
        <v>186</v>
      </c>
      <c r="D52" s="55" t="str">
        <f>Source!G25</f>
        <v xml:space="preserve">Демонтаж: унитазов</v>
      </c>
      <c r="E52" s="56" t="str">
        <f>Source!H25</f>
        <v xml:space="preserve">100 ШТ</v>
      </c>
      <c r="F52" s="57">
        <f>Source!K25</f>
        <v>0.029999999999999999</v>
      </c>
      <c r="G52" s="57"/>
      <c r="H52" s="57">
        <f>Source!I25</f>
        <v>0.029999999999999999</v>
      </c>
      <c r="I52" s="58"/>
      <c r="J52" s="59"/>
      <c r="K52" s="58"/>
      <c r="L52" s="59"/>
      <c r="M52" s="58"/>
    </row>
    <row r="53">
      <c r="D53" s="60" t="str">
        <f>"Объем: "&amp;Source!I25&amp;"=3/"&amp;"100"</f>
        <v xml:space="preserve">Объем: 0,03=3/100</v>
      </c>
    </row>
    <row r="54" ht="14.25">
      <c r="A54" s="55"/>
      <c r="B54" s="55"/>
      <c r="C54" s="59">
        <v>1</v>
      </c>
      <c r="D54" s="55" t="s">
        <v>48</v>
      </c>
      <c r="E54" s="56"/>
      <c r="F54" s="57"/>
      <c r="G54" s="57"/>
      <c r="H54" s="57"/>
      <c r="I54" s="58">
        <f>Source!AO25</f>
        <v>544.55999999999995</v>
      </c>
      <c r="J54" s="59"/>
      <c r="K54" s="58">
        <f>ROUND(Source!AF25*Source!I25, 2)</f>
        <v>16.34</v>
      </c>
      <c r="L54" s="59">
        <f>IF(Source!BA25&lt;&gt; 0, Source!BA25, 1)</f>
        <v>55.32</v>
      </c>
      <c r="M54" s="58">
        <f>Source!HJ25</f>
        <v>903.93000000000006</v>
      </c>
    </row>
    <row r="55" ht="14.25">
      <c r="A55" s="55"/>
      <c r="B55" s="55"/>
      <c r="C55" s="59">
        <v>2</v>
      </c>
      <c r="D55" s="55" t="s">
        <v>49</v>
      </c>
      <c r="E55" s="56"/>
      <c r="F55" s="57"/>
      <c r="G55" s="57"/>
      <c r="H55" s="57"/>
      <c r="I55" s="58">
        <f>Source!AM25</f>
        <v>9.0700000000000003</v>
      </c>
      <c r="J55" s="59"/>
      <c r="K55" s="58">
        <f>ROUND((((Source!ET25)-(Source!EU25))+Source!AE25)*Source!I25, 2)</f>
        <v>0.27000000000000002</v>
      </c>
      <c r="L55" s="59"/>
      <c r="M55" s="58"/>
    </row>
    <row r="56" ht="14.25">
      <c r="A56" s="55"/>
      <c r="B56" s="55"/>
      <c r="C56" s="59">
        <v>3</v>
      </c>
      <c r="D56" s="55" t="s">
        <v>50</v>
      </c>
      <c r="E56" s="56"/>
      <c r="F56" s="57"/>
      <c r="G56" s="57"/>
      <c r="H56" s="57"/>
      <c r="I56" s="58">
        <f>Source!AN25</f>
        <v>3.9199999999999999</v>
      </c>
      <c r="J56" s="59"/>
      <c r="K56" s="61">
        <f>ROUND(Source!AE25*Source!I25, 2)</f>
        <v>0.12</v>
      </c>
      <c r="L56" s="59">
        <f>IF(Source!BS25&lt;&gt; 0, Source!BS25, 1)</f>
        <v>55.32</v>
      </c>
      <c r="M56" s="61">
        <f>Source!HI25</f>
        <v>6.6400000000000006</v>
      </c>
    </row>
    <row r="57" ht="14.25">
      <c r="A57" s="55"/>
      <c r="B57" s="55"/>
      <c r="C57" s="59">
        <v>4</v>
      </c>
      <c r="D57" s="55" t="s">
        <v>51</v>
      </c>
      <c r="E57" s="56"/>
      <c r="F57" s="57"/>
      <c r="G57" s="57"/>
      <c r="H57" s="57"/>
      <c r="I57" s="58">
        <f>Source!AL25</f>
        <v>0</v>
      </c>
      <c r="J57" s="59"/>
      <c r="K57" s="58">
        <f>ROUND(Source!AC25*Source!I25, 2)</f>
        <v>0</v>
      </c>
      <c r="L57" s="59"/>
      <c r="M57" s="58"/>
    </row>
    <row r="58" ht="14.25">
      <c r="A58" s="55"/>
      <c r="B58" s="55"/>
      <c r="C58" s="55"/>
      <c r="D58" s="55" t="s">
        <v>52</v>
      </c>
      <c r="E58" s="56" t="s">
        <v>30</v>
      </c>
      <c r="F58" s="57">
        <f>Source!AQ25</f>
        <v>63.840000000000003</v>
      </c>
      <c r="G58" s="57"/>
      <c r="H58" s="57">
        <f>ROUND(Source!U25, 7)</f>
        <v>1.9152</v>
      </c>
      <c r="I58" s="58"/>
      <c r="J58" s="59"/>
      <c r="K58" s="58"/>
      <c r="L58" s="59"/>
      <c r="M58" s="58"/>
    </row>
    <row r="59" ht="14.25">
      <c r="A59" s="55"/>
      <c r="B59" s="55"/>
      <c r="C59" s="55"/>
      <c r="D59" s="62" t="s">
        <v>53</v>
      </c>
      <c r="E59" s="63" t="s">
        <v>30</v>
      </c>
      <c r="F59" s="64">
        <f>Source!AR25</f>
        <v>0.28999999999999998</v>
      </c>
      <c r="G59" s="64"/>
      <c r="H59" s="64">
        <f>ROUND(Source!V25, 7)</f>
        <v>0.0086999999999999994</v>
      </c>
      <c r="I59" s="65"/>
      <c r="J59" s="66"/>
      <c r="K59" s="65"/>
      <c r="L59" s="66"/>
      <c r="M59" s="65"/>
    </row>
    <row r="60" ht="14.25">
      <c r="A60" s="55"/>
      <c r="B60" s="55"/>
      <c r="C60" s="55"/>
      <c r="D60" s="55" t="s">
        <v>54</v>
      </c>
      <c r="E60" s="56"/>
      <c r="F60" s="57"/>
      <c r="G60" s="57"/>
      <c r="H60" s="57"/>
      <c r="I60" s="58">
        <f>I54+I55+I57</f>
        <v>553.63</v>
      </c>
      <c r="J60" s="59"/>
      <c r="K60" s="58">
        <f>K54+K55+K57</f>
        <v>16.609999999999999</v>
      </c>
      <c r="L60" s="59"/>
      <c r="M60" s="58"/>
    </row>
    <row r="61" ht="14.25">
      <c r="A61" s="55"/>
      <c r="B61" s="55"/>
      <c r="C61" s="55"/>
      <c r="D61" s="55" t="s">
        <v>55</v>
      </c>
      <c r="E61" s="56"/>
      <c r="F61" s="57"/>
      <c r="G61" s="57"/>
      <c r="H61" s="57"/>
      <c r="I61" s="58"/>
      <c r="J61" s="59"/>
      <c r="K61" s="58">
        <f>SUM(S52:S64)+SUM(T52:T64)+SUM(X52:X64)+SUM(Y52:Y64)+SUM(Z52:Z64)</f>
        <v>16.460000000000001</v>
      </c>
      <c r="L61" s="59"/>
      <c r="M61" s="58">
        <f>SUM(AR52:AR64)+SUM(AS52:AS64)+SUM(AT52:AT64)+SUM(AU52:AU64)+SUM(AV52:AV64)</f>
        <v>910.57000000000005</v>
      </c>
    </row>
    <row r="62" ht="28.5">
      <c r="A62" s="55"/>
      <c r="B62" s="55"/>
      <c r="C62" s="55" t="s">
        <v>56</v>
      </c>
      <c r="D62" s="55" t="s">
        <v>57</v>
      </c>
      <c r="E62" s="56" t="s">
        <v>58</v>
      </c>
      <c r="F62" s="57">
        <f>Source!BZ25</f>
        <v>87</v>
      </c>
      <c r="G62" s="57"/>
      <c r="H62" s="57">
        <f>Source!AT25</f>
        <v>87</v>
      </c>
      <c r="I62" s="58"/>
      <c r="J62" s="59"/>
      <c r="K62" s="58">
        <f>SUM(AD52:AD64)</f>
        <v>14.32</v>
      </c>
      <c r="L62" s="59"/>
      <c r="M62" s="58">
        <f>SUM(AZ52:AZ64)</f>
        <v>792.20000000000005</v>
      </c>
    </row>
    <row r="63" ht="28.5">
      <c r="A63" s="62"/>
      <c r="B63" s="62"/>
      <c r="C63" s="62" t="s">
        <v>59</v>
      </c>
      <c r="D63" s="62" t="s">
        <v>60</v>
      </c>
      <c r="E63" s="63" t="s">
        <v>58</v>
      </c>
      <c r="F63" s="64">
        <f>Source!CA25</f>
        <v>44</v>
      </c>
      <c r="G63" s="64"/>
      <c r="H63" s="64">
        <f>Source!AU25</f>
        <v>44</v>
      </c>
      <c r="I63" s="65"/>
      <c r="J63" s="66"/>
      <c r="K63" s="65">
        <f>SUM(AE52:AE64)</f>
        <v>7.2400000000000002</v>
      </c>
      <c r="L63" s="66"/>
      <c r="M63" s="65">
        <f>SUM(BA52:BA64)</f>
        <v>400.65000000000003</v>
      </c>
    </row>
    <row r="64" ht="15">
      <c r="D64" s="67" t="s">
        <v>61</v>
      </c>
      <c r="E64" s="67"/>
      <c r="F64" s="67"/>
      <c r="G64" s="67"/>
      <c r="H64" s="67"/>
      <c r="I64" s="67"/>
      <c r="J64" s="68">
        <f>K54+K55+K57+K62+K63</f>
        <v>38.170000000000002</v>
      </c>
      <c r="K64" s="68"/>
      <c r="O64" s="69">
        <f>K54+K55+K57+K62+K63</f>
        <v>38.170000000000002</v>
      </c>
      <c r="P64" s="69">
        <f>K55</f>
        <v>0.27000000000000002</v>
      </c>
      <c r="R64" t="s">
        <v>62</v>
      </c>
      <c r="S64" s="69">
        <f>K54</f>
        <v>16.34</v>
      </c>
      <c r="U64" s="69">
        <f>K54</f>
        <v>16.34</v>
      </c>
      <c r="X64" s="69">
        <f>K56</f>
        <v>0.12</v>
      </c>
      <c r="Z64" t="s">
        <v>62</v>
      </c>
      <c r="AA64" s="69">
        <f>K57</f>
        <v>0</v>
      </c>
      <c r="AD64">
        <f>Source!X25</f>
        <v>14.32</v>
      </c>
      <c r="AE64">
        <f>Source!Y25</f>
        <v>7.2400000000000002</v>
      </c>
      <c r="AN64" s="69">
        <f>M54+M55+M57+M62+M63</f>
        <v>2096.7800000000002</v>
      </c>
      <c r="AO64" s="69">
        <f>M55</f>
        <v>0</v>
      </c>
      <c r="AQ64" t="s">
        <v>62</v>
      </c>
      <c r="AR64" s="69">
        <f>M54</f>
        <v>903.93000000000006</v>
      </c>
      <c r="AT64" s="69">
        <f>M56</f>
        <v>6.6400000000000006</v>
      </c>
      <c r="AV64" t="s">
        <v>62</v>
      </c>
      <c r="AW64" s="69">
        <f>M57</f>
        <v>0</v>
      </c>
      <c r="AZ64">
        <f>Source!HK25</f>
        <v>792.20000000000005</v>
      </c>
      <c r="BA64">
        <f>Source!HL25</f>
        <v>400.65000000000003</v>
      </c>
      <c r="BH64" s="69">
        <f>K54+K55+K57+K62+K63</f>
        <v>38.170000000000002</v>
      </c>
      <c r="CD64">
        <v>1</v>
      </c>
    </row>
    <row r="65" ht="14.25">
      <c r="A65" s="54" t="s">
        <v>64</v>
      </c>
      <c r="B65" s="54" t="s">
        <v>64</v>
      </c>
      <c r="C65" s="55" t="s">
        <v>187</v>
      </c>
      <c r="D65" s="55" t="str">
        <f>Source!G26</f>
        <v xml:space="preserve">Демонтаж  тумбы под раковину</v>
      </c>
      <c r="E65" s="56" t="str">
        <f>Source!H26</f>
        <v xml:space="preserve">100 ШТ</v>
      </c>
      <c r="F65" s="57">
        <f>Source!K26</f>
        <v>0.02</v>
      </c>
      <c r="G65" s="57"/>
      <c r="H65" s="57">
        <f>Source!I26</f>
        <v>0.02</v>
      </c>
      <c r="I65" s="58"/>
      <c r="J65" s="59"/>
      <c r="K65" s="58"/>
      <c r="L65" s="59"/>
      <c r="M65" s="58"/>
    </row>
    <row r="66" ht="25.5">
      <c r="C66" s="70" t="s">
        <v>65</v>
      </c>
      <c r="D66" s="70" t="s">
        <v>66</v>
      </c>
      <c r="E66" s="70"/>
      <c r="F66" s="70"/>
      <c r="G66" s="70"/>
      <c r="H66" s="70"/>
      <c r="I66" s="70"/>
      <c r="J66" s="70"/>
      <c r="K66" s="70"/>
      <c r="L66" s="70"/>
      <c r="M66" s="70"/>
    </row>
    <row r="67">
      <c r="D67" s="60" t="str">
        <f>"Объем: "&amp;Source!I26&amp;"=2/"&amp;"100"</f>
        <v xml:space="preserve">Объем: 0,02=2/100</v>
      </c>
    </row>
    <row r="68" ht="14.25">
      <c r="A68" s="55"/>
      <c r="B68" s="55"/>
      <c r="C68" s="59">
        <v>1</v>
      </c>
      <c r="D68" s="55" t="s">
        <v>48</v>
      </c>
      <c r="E68" s="56"/>
      <c r="F68" s="57"/>
      <c r="G68" s="57"/>
      <c r="H68" s="57"/>
      <c r="I68" s="58">
        <f>Source!AO26</f>
        <v>542.95000000000005</v>
      </c>
      <c r="J68" s="59">
        <f t="shared" ref="J68:J70" si="18">ROUND(0.8,7)</f>
        <v>0.79999999999999993</v>
      </c>
      <c r="K68" s="58">
        <f>ROUND(Source!AF26*Source!I26, 2)</f>
        <v>8.6899999999999995</v>
      </c>
      <c r="L68" s="59">
        <f>IF(Source!BA26&lt;&gt; 0, Source!BA26, 1)</f>
        <v>55.32</v>
      </c>
      <c r="M68" s="58">
        <f>Source!HJ26</f>
        <v>480.73000000000002</v>
      </c>
    </row>
    <row r="69" ht="14.25">
      <c r="A69" s="55"/>
      <c r="B69" s="55"/>
      <c r="C69" s="59">
        <v>2</v>
      </c>
      <c r="D69" s="55" t="s">
        <v>49</v>
      </c>
      <c r="E69" s="56"/>
      <c r="F69" s="57"/>
      <c r="G69" s="57"/>
      <c r="H69" s="57"/>
      <c r="I69" s="58">
        <f>Source!AM26</f>
        <v>216.38</v>
      </c>
      <c r="J69" s="59">
        <f t="shared" si="18"/>
        <v>0.79999999999999993</v>
      </c>
      <c r="K69" s="58">
        <f>ROUND(((((Source!ET26*ROUND(0.8,7)))-((Source!EU26*ROUND(0.8,7))))+Source!AE26)*Source!I26, 2)</f>
        <v>3.46</v>
      </c>
      <c r="L69" s="59"/>
      <c r="M69" s="58"/>
    </row>
    <row r="70" ht="14.25">
      <c r="A70" s="55"/>
      <c r="B70" s="55"/>
      <c r="C70" s="59">
        <v>3</v>
      </c>
      <c r="D70" s="55" t="s">
        <v>50</v>
      </c>
      <c r="E70" s="56"/>
      <c r="F70" s="57"/>
      <c r="G70" s="57"/>
      <c r="H70" s="57"/>
      <c r="I70" s="58">
        <f>Source!AN26</f>
        <v>52.009999999999998</v>
      </c>
      <c r="J70" s="59">
        <f t="shared" si="18"/>
        <v>0.79999999999999993</v>
      </c>
      <c r="K70" s="61">
        <f>ROUND(Source!AE26*Source!I26, 2)</f>
        <v>0.83000000000000007</v>
      </c>
      <c r="L70" s="59">
        <f>IF(Source!BS26&lt;&gt; 0, Source!BS26, 1)</f>
        <v>55.32</v>
      </c>
      <c r="M70" s="61">
        <f>Source!HI26</f>
        <v>45.920000000000002</v>
      </c>
    </row>
    <row r="71" ht="14.25">
      <c r="A71" s="55"/>
      <c r="B71" s="55"/>
      <c r="C71" s="59">
        <v>4</v>
      </c>
      <c r="D71" s="55" t="s">
        <v>51</v>
      </c>
      <c r="E71" s="56"/>
      <c r="F71" s="57"/>
      <c r="G71" s="57"/>
      <c r="H71" s="57"/>
      <c r="I71" s="58">
        <f>Source!AL26</f>
        <v>1633.3599999999999</v>
      </c>
      <c r="J71" s="59">
        <f>ROUND(0,7)</f>
        <v>0</v>
      </c>
      <c r="K71" s="58">
        <f>ROUND(Source!AC26*Source!I26, 2)</f>
        <v>0</v>
      </c>
      <c r="L71" s="59"/>
      <c r="M71" s="58"/>
    </row>
    <row r="72" ht="14.25">
      <c r="A72" s="55"/>
      <c r="B72" s="55"/>
      <c r="C72" s="55" t="str">
        <f>EtalonRes!I15</f>
        <v>11.2.07.12</v>
      </c>
      <c r="D72" s="55" t="str">
        <f>EtalonRes!K15</f>
        <v xml:space="preserve">Изделия штучные</v>
      </c>
      <c r="E72" s="56" t="str">
        <f>EtalonRes!O15</f>
        <v>ШТ</v>
      </c>
      <c r="F72" s="57">
        <f>EtalonRes!X15</f>
        <v>100</v>
      </c>
      <c r="G72" s="57">
        <f>ROUND(0,7)</f>
        <v>0</v>
      </c>
      <c r="H72" s="57">
        <f>ROUND(EtalonRes!AG15*Source!I26, 7)</f>
        <v>0</v>
      </c>
      <c r="I72" s="58"/>
      <c r="J72" s="59"/>
      <c r="K72" s="58"/>
      <c r="L72" s="59"/>
      <c r="M72" s="58"/>
    </row>
    <row r="73" ht="14.25">
      <c r="A73" s="55"/>
      <c r="B73" s="55"/>
      <c r="C73" s="55"/>
      <c r="D73" s="55" t="s">
        <v>52</v>
      </c>
      <c r="E73" s="56" t="s">
        <v>30</v>
      </c>
      <c r="F73" s="57">
        <f>Source!AQ26</f>
        <v>67.700000000000003</v>
      </c>
      <c r="G73" s="57">
        <f t="shared" ref="G73:G74" si="19">ROUND(0.8,7)</f>
        <v>0.79999999999999993</v>
      </c>
      <c r="H73" s="57">
        <f>ROUND(Source!U26, 7)</f>
        <v>1.0831999999999999</v>
      </c>
      <c r="I73" s="58"/>
      <c r="J73" s="59"/>
      <c r="K73" s="58"/>
      <c r="L73" s="59"/>
      <c r="M73" s="58"/>
    </row>
    <row r="74" ht="14.25">
      <c r="A74" s="55"/>
      <c r="B74" s="55"/>
      <c r="C74" s="55"/>
      <c r="D74" s="62" t="s">
        <v>53</v>
      </c>
      <c r="E74" s="63" t="s">
        <v>30</v>
      </c>
      <c r="F74" s="64">
        <f>Source!AR26</f>
        <v>4.2000000000000002</v>
      </c>
      <c r="G74" s="64">
        <f t="shared" si="19"/>
        <v>0.79999999999999993</v>
      </c>
      <c r="H74" s="64">
        <f>ROUND(Source!V26, 7)</f>
        <v>0.067199999999999996</v>
      </c>
      <c r="I74" s="65"/>
      <c r="J74" s="66"/>
      <c r="K74" s="65"/>
      <c r="L74" s="66"/>
      <c r="M74" s="65"/>
    </row>
    <row r="75" ht="14.25">
      <c r="A75" s="55"/>
      <c r="B75" s="55"/>
      <c r="C75" s="55"/>
      <c r="D75" s="55" t="s">
        <v>54</v>
      </c>
      <c r="E75" s="56"/>
      <c r="F75" s="57"/>
      <c r="G75" s="57"/>
      <c r="H75" s="57"/>
      <c r="I75" s="58">
        <f>I68+I69+I71</f>
        <v>2392.6900000000001</v>
      </c>
      <c r="J75" s="59"/>
      <c r="K75" s="58">
        <f>K68+K69+K71</f>
        <v>12.149999999999999</v>
      </c>
      <c r="L75" s="59"/>
      <c r="M75" s="58"/>
    </row>
    <row r="76" ht="14.25">
      <c r="A76" s="55"/>
      <c r="B76" s="55"/>
      <c r="C76" s="55"/>
      <c r="D76" s="55" t="s">
        <v>55</v>
      </c>
      <c r="E76" s="56"/>
      <c r="F76" s="57"/>
      <c r="G76" s="57"/>
      <c r="H76" s="57"/>
      <c r="I76" s="58"/>
      <c r="J76" s="59"/>
      <c r="K76" s="58">
        <f>SUM(S65:S79)+SUM(T65:T79)+SUM(X65:X79)+SUM(Y65:Y79)+SUM(Z65:Z79)</f>
        <v>9.5199999999999996</v>
      </c>
      <c r="L76" s="59"/>
      <c r="M76" s="58">
        <f>SUM(AR65:AR79)+SUM(AS65:AS79)+SUM(AT65:AT79)+SUM(AU65:AU79)+SUM(AV65:AV79)</f>
        <v>526.64999999999998</v>
      </c>
    </row>
    <row r="77" ht="14.25">
      <c r="A77" s="55"/>
      <c r="B77" s="55"/>
      <c r="C77" s="55" t="s">
        <v>67</v>
      </c>
      <c r="D77" s="55" t="s">
        <v>68</v>
      </c>
      <c r="E77" s="56" t="s">
        <v>58</v>
      </c>
      <c r="F77" s="57">
        <f>Source!BZ26</f>
        <v>108</v>
      </c>
      <c r="G77" s="57"/>
      <c r="H77" s="57">
        <f>Source!AT26</f>
        <v>108</v>
      </c>
      <c r="I77" s="58"/>
      <c r="J77" s="59"/>
      <c r="K77" s="58">
        <f>SUM(AD65:AD79)</f>
        <v>10.279999999999999</v>
      </c>
      <c r="L77" s="59"/>
      <c r="M77" s="58">
        <f>SUM(AZ65:AZ79)</f>
        <v>568.77999999999997</v>
      </c>
    </row>
    <row r="78" ht="14.25">
      <c r="A78" s="62"/>
      <c r="B78" s="62"/>
      <c r="C78" s="62" t="s">
        <v>69</v>
      </c>
      <c r="D78" s="62" t="s">
        <v>70</v>
      </c>
      <c r="E78" s="63" t="s">
        <v>58</v>
      </c>
      <c r="F78" s="64">
        <f>Source!CA26</f>
        <v>55</v>
      </c>
      <c r="G78" s="64"/>
      <c r="H78" s="64">
        <f>Source!AU26</f>
        <v>55</v>
      </c>
      <c r="I78" s="65"/>
      <c r="J78" s="66"/>
      <c r="K78" s="65">
        <f>SUM(AE65:AE79)</f>
        <v>5.2400000000000002</v>
      </c>
      <c r="L78" s="66"/>
      <c r="M78" s="65">
        <f>SUM(BA65:BA79)</f>
        <v>289.66000000000003</v>
      </c>
    </row>
    <row r="79" ht="15">
      <c r="D79" s="67" t="s">
        <v>61</v>
      </c>
      <c r="E79" s="67"/>
      <c r="F79" s="67"/>
      <c r="G79" s="67"/>
      <c r="H79" s="67"/>
      <c r="I79" s="67"/>
      <c r="J79" s="68">
        <f>K68+K69+K71+K77+K78</f>
        <v>27.670000000000002</v>
      </c>
      <c r="K79" s="68"/>
      <c r="O79" s="69">
        <f>K68+K69+K71+K77+K78</f>
        <v>27.670000000000002</v>
      </c>
      <c r="P79" s="69">
        <f>K69</f>
        <v>3.46</v>
      </c>
      <c r="R79" t="s">
        <v>62</v>
      </c>
      <c r="S79" s="69">
        <f>K68</f>
        <v>8.6899999999999995</v>
      </c>
      <c r="U79" s="69">
        <f>K68</f>
        <v>8.6899999999999995</v>
      </c>
      <c r="X79" s="69">
        <f>K70</f>
        <v>0.83000000000000007</v>
      </c>
      <c r="Z79" t="s">
        <v>62</v>
      </c>
      <c r="AA79" s="69">
        <f>K71</f>
        <v>0</v>
      </c>
      <c r="AD79">
        <f>Source!X26</f>
        <v>10.279999999999999</v>
      </c>
      <c r="AE79">
        <f>Source!Y26</f>
        <v>5.2400000000000002</v>
      </c>
      <c r="AN79" s="69">
        <f>M68+M69+M71+M77+M78</f>
        <v>1339.1700000000001</v>
      </c>
      <c r="AO79" s="69">
        <f>M69</f>
        <v>0</v>
      </c>
      <c r="AQ79" t="s">
        <v>62</v>
      </c>
      <c r="AR79" s="69">
        <f>M68</f>
        <v>480.73000000000002</v>
      </c>
      <c r="AT79" s="69">
        <f>M70</f>
        <v>45.920000000000002</v>
      </c>
      <c r="AV79" t="s">
        <v>62</v>
      </c>
      <c r="AW79" s="69">
        <f>M71</f>
        <v>0</v>
      </c>
      <c r="AZ79">
        <f>Source!HK26</f>
        <v>568.77999999999997</v>
      </c>
      <c r="BA79">
        <f>Source!HL26</f>
        <v>289.66000000000003</v>
      </c>
      <c r="BH79" s="69">
        <f>K68+K69+K71+K77+K78</f>
        <v>27.670000000000002</v>
      </c>
      <c r="CD79">
        <v>1</v>
      </c>
    </row>
    <row r="80" ht="28.5">
      <c r="A80" s="54" t="s">
        <v>71</v>
      </c>
      <c r="B80" s="54" t="s">
        <v>71</v>
      </c>
      <c r="C80" s="55" t="s">
        <v>188</v>
      </c>
      <c r="D80" s="55" t="str">
        <f>Source!G27</f>
        <v xml:space="preserve">Снятие кранов водоразборных или туалетных</v>
      </c>
      <c r="E80" s="56" t="str">
        <f>Source!H27</f>
        <v xml:space="preserve">100 ШТ</v>
      </c>
      <c r="F80" s="57">
        <f>Source!K27</f>
        <v>0.13</v>
      </c>
      <c r="G80" s="57"/>
      <c r="H80" s="57">
        <f>Source!I27</f>
        <v>0.13</v>
      </c>
      <c r="I80" s="58"/>
      <c r="J80" s="59"/>
      <c r="K80" s="58"/>
      <c r="L80" s="59"/>
      <c r="M80" s="58"/>
    </row>
    <row r="81">
      <c r="D81" s="60" t="str">
        <f>"Объем: "&amp;Source!I27&amp;"=13/"&amp;"100"</f>
        <v xml:space="preserve">Объем: 0,13=13/100</v>
      </c>
    </row>
    <row r="82" ht="14.25">
      <c r="A82" s="55"/>
      <c r="B82" s="55"/>
      <c r="C82" s="59">
        <v>1</v>
      </c>
      <c r="D82" s="55" t="s">
        <v>48</v>
      </c>
      <c r="E82" s="56"/>
      <c r="F82" s="57"/>
      <c r="G82" s="57"/>
      <c r="H82" s="57"/>
      <c r="I82" s="58">
        <f>Source!AO27</f>
        <v>48.619999999999997</v>
      </c>
      <c r="J82" s="59"/>
      <c r="K82" s="58">
        <f>ROUND(Source!AF27*Source!I27, 2)</f>
        <v>6.3200000000000003</v>
      </c>
      <c r="L82" s="59">
        <f>IF(Source!BA27&lt;&gt; 0, Source!BA27, 1)</f>
        <v>55.32</v>
      </c>
      <c r="M82" s="58">
        <f>Source!HJ27</f>
        <v>349.62</v>
      </c>
    </row>
    <row r="83" ht="14.25">
      <c r="A83" s="55"/>
      <c r="B83" s="55"/>
      <c r="C83" s="59">
        <v>2</v>
      </c>
      <c r="D83" s="55" t="s">
        <v>49</v>
      </c>
      <c r="E83" s="56"/>
      <c r="F83" s="57"/>
      <c r="G83" s="57"/>
      <c r="H83" s="57"/>
      <c r="I83" s="58">
        <f>Source!AM27</f>
        <v>0.31</v>
      </c>
      <c r="J83" s="59"/>
      <c r="K83" s="58">
        <f>ROUND((((Source!ET27)-(Source!EU27))+Source!AE27)*Source!I27, 2)</f>
        <v>0.040000000000000001</v>
      </c>
      <c r="L83" s="59"/>
      <c r="M83" s="58"/>
    </row>
    <row r="84" ht="14.25">
      <c r="A84" s="55"/>
      <c r="B84" s="55"/>
      <c r="C84" s="59">
        <v>3</v>
      </c>
      <c r="D84" s="55" t="s">
        <v>50</v>
      </c>
      <c r="E84" s="56"/>
      <c r="F84" s="57"/>
      <c r="G84" s="57"/>
      <c r="H84" s="57"/>
      <c r="I84" s="58">
        <f>Source!AN27</f>
        <v>0.14000000000000001</v>
      </c>
      <c r="J84" s="59"/>
      <c r="K84" s="61">
        <f>ROUND(Source!AE27*Source!I27, 2)</f>
        <v>0.02</v>
      </c>
      <c r="L84" s="59">
        <f>IF(Source!BS27&lt;&gt; 0, Source!BS27, 1)</f>
        <v>55.32</v>
      </c>
      <c r="M84" s="61">
        <f>Source!HI27</f>
        <v>1.1100000000000001</v>
      </c>
    </row>
    <row r="85" ht="14.25">
      <c r="A85" s="55"/>
      <c r="B85" s="55"/>
      <c r="C85" s="59">
        <v>4</v>
      </c>
      <c r="D85" s="55" t="s">
        <v>51</v>
      </c>
      <c r="E85" s="56"/>
      <c r="F85" s="57"/>
      <c r="G85" s="57"/>
      <c r="H85" s="57"/>
      <c r="I85" s="58">
        <f>Source!AL27</f>
        <v>0</v>
      </c>
      <c r="J85" s="59"/>
      <c r="K85" s="58">
        <f>ROUND(Source!AC27*Source!I27, 2)</f>
        <v>0</v>
      </c>
      <c r="L85" s="59"/>
      <c r="M85" s="58"/>
    </row>
    <row r="86" ht="14.25">
      <c r="A86" s="55"/>
      <c r="B86" s="55"/>
      <c r="C86" s="55"/>
      <c r="D86" s="55" t="s">
        <v>52</v>
      </c>
      <c r="E86" s="56" t="s">
        <v>30</v>
      </c>
      <c r="F86" s="57">
        <f>Source!AQ27</f>
        <v>5.7000000000000002</v>
      </c>
      <c r="G86" s="57"/>
      <c r="H86" s="57">
        <f>ROUND(Source!U27, 7)</f>
        <v>0.74099999999999999</v>
      </c>
      <c r="I86" s="58"/>
      <c r="J86" s="59"/>
      <c r="K86" s="58"/>
      <c r="L86" s="59"/>
      <c r="M86" s="58"/>
    </row>
    <row r="87" ht="14.25">
      <c r="A87" s="55"/>
      <c r="B87" s="55"/>
      <c r="C87" s="55"/>
      <c r="D87" s="62" t="s">
        <v>53</v>
      </c>
      <c r="E87" s="63" t="s">
        <v>30</v>
      </c>
      <c r="F87" s="64">
        <f>Source!AR27</f>
        <v>0.01</v>
      </c>
      <c r="G87" s="64"/>
      <c r="H87" s="64">
        <f>ROUND(Source!V27, 7)</f>
        <v>0.0012999999999999999</v>
      </c>
      <c r="I87" s="65"/>
      <c r="J87" s="66"/>
      <c r="K87" s="65"/>
      <c r="L87" s="66"/>
      <c r="M87" s="65"/>
    </row>
    <row r="88" ht="14.25">
      <c r="A88" s="55"/>
      <c r="B88" s="55"/>
      <c r="C88" s="55"/>
      <c r="D88" s="55" t="s">
        <v>54</v>
      </c>
      <c r="E88" s="56"/>
      <c r="F88" s="57"/>
      <c r="G88" s="57"/>
      <c r="H88" s="57"/>
      <c r="I88" s="58">
        <f>I82+I83+I85</f>
        <v>48.93</v>
      </c>
      <c r="J88" s="59"/>
      <c r="K88" s="58">
        <f>K82+K83+K85</f>
        <v>6.3600000000000003</v>
      </c>
      <c r="L88" s="59"/>
      <c r="M88" s="58"/>
    </row>
    <row r="89" ht="14.25">
      <c r="A89" s="55"/>
      <c r="B89" s="55"/>
      <c r="C89" s="55"/>
      <c r="D89" s="55" t="s">
        <v>55</v>
      </c>
      <c r="E89" s="56"/>
      <c r="F89" s="57"/>
      <c r="G89" s="57"/>
      <c r="H89" s="57"/>
      <c r="I89" s="58"/>
      <c r="J89" s="59"/>
      <c r="K89" s="58">
        <f>SUM(S80:S92)+SUM(T80:T92)+SUM(X80:X92)+SUM(Y80:Y92)+SUM(Z80:Z92)</f>
        <v>6.3399999999999999</v>
      </c>
      <c r="L89" s="59"/>
      <c r="M89" s="58">
        <f>SUM(AR80:AR92)+SUM(AS80:AS92)+SUM(AT80:AT92)+SUM(AU80:AU92)+SUM(AV80:AV92)</f>
        <v>350.73000000000002</v>
      </c>
    </row>
    <row r="90" ht="28.5">
      <c r="A90" s="55"/>
      <c r="B90" s="55"/>
      <c r="C90" s="55" t="s">
        <v>56</v>
      </c>
      <c r="D90" s="55" t="s">
        <v>57</v>
      </c>
      <c r="E90" s="56" t="s">
        <v>58</v>
      </c>
      <c r="F90" s="57">
        <f>Source!BZ27</f>
        <v>87</v>
      </c>
      <c r="G90" s="57"/>
      <c r="H90" s="57">
        <f>Source!AT27</f>
        <v>87</v>
      </c>
      <c r="I90" s="58"/>
      <c r="J90" s="59"/>
      <c r="K90" s="58">
        <f>SUM(AD80:AD92)</f>
        <v>5.5200000000000005</v>
      </c>
      <c r="L90" s="59"/>
      <c r="M90" s="58">
        <f>SUM(AZ80:AZ92)</f>
        <v>305.13999999999999</v>
      </c>
    </row>
    <row r="91" ht="28.5">
      <c r="A91" s="62"/>
      <c r="B91" s="62"/>
      <c r="C91" s="62" t="s">
        <v>59</v>
      </c>
      <c r="D91" s="62" t="s">
        <v>60</v>
      </c>
      <c r="E91" s="63" t="s">
        <v>58</v>
      </c>
      <c r="F91" s="64">
        <f>Source!CA27</f>
        <v>44</v>
      </c>
      <c r="G91" s="64"/>
      <c r="H91" s="64">
        <f>Source!AU27</f>
        <v>44</v>
      </c>
      <c r="I91" s="65"/>
      <c r="J91" s="66"/>
      <c r="K91" s="65">
        <f>SUM(AE80:AE92)</f>
        <v>2.79</v>
      </c>
      <c r="L91" s="66"/>
      <c r="M91" s="65">
        <f>SUM(BA80:BA92)</f>
        <v>154.31999999999999</v>
      </c>
    </row>
    <row r="92" ht="15">
      <c r="D92" s="67" t="s">
        <v>61</v>
      </c>
      <c r="E92" s="67"/>
      <c r="F92" s="67"/>
      <c r="G92" s="67"/>
      <c r="H92" s="67"/>
      <c r="I92" s="67"/>
      <c r="J92" s="68">
        <f>K82+K83+K85+K90+K91</f>
        <v>14.670000000000002</v>
      </c>
      <c r="K92" s="68"/>
      <c r="O92" s="69">
        <f>K82+K83+K85+K90+K91</f>
        <v>14.670000000000002</v>
      </c>
      <c r="P92" s="69">
        <f>K83</f>
        <v>0.040000000000000001</v>
      </c>
      <c r="R92" t="s">
        <v>62</v>
      </c>
      <c r="S92" s="69">
        <f>K82</f>
        <v>6.3200000000000003</v>
      </c>
      <c r="U92" s="69">
        <f>K82</f>
        <v>6.3200000000000003</v>
      </c>
      <c r="X92" s="69">
        <f>K84</f>
        <v>0.02</v>
      </c>
      <c r="Z92" t="s">
        <v>62</v>
      </c>
      <c r="AA92" s="69">
        <f>K85</f>
        <v>0</v>
      </c>
      <c r="AD92">
        <f>Source!X27</f>
        <v>5.5200000000000005</v>
      </c>
      <c r="AE92">
        <f>Source!Y27</f>
        <v>2.79</v>
      </c>
      <c r="AN92" s="69">
        <f>M82+M83+M85+M90+M91</f>
        <v>809.07999999999993</v>
      </c>
      <c r="AO92" s="69">
        <f>M83</f>
        <v>0</v>
      </c>
      <c r="AQ92" t="s">
        <v>62</v>
      </c>
      <c r="AR92" s="69">
        <f>M82</f>
        <v>349.62</v>
      </c>
      <c r="AT92" s="69">
        <f>M84</f>
        <v>1.1100000000000001</v>
      </c>
      <c r="AV92" t="s">
        <v>62</v>
      </c>
      <c r="AW92" s="69">
        <f>M85</f>
        <v>0</v>
      </c>
      <c r="AZ92">
        <f>Source!HK27</f>
        <v>305.13999999999999</v>
      </c>
      <c r="BA92">
        <f>Source!HL27</f>
        <v>154.31999999999999</v>
      </c>
      <c r="BH92" s="69">
        <f>K82+K83+K85+K90+K91</f>
        <v>14.670000000000002</v>
      </c>
      <c r="CD92">
        <v>1</v>
      </c>
    </row>
    <row r="93" ht="14.25">
      <c r="A93" s="54" t="s">
        <v>72</v>
      </c>
      <c r="B93" s="54" t="s">
        <v>72</v>
      </c>
      <c r="C93" s="55" t="s">
        <v>189</v>
      </c>
      <c r="D93" s="55" t="str">
        <f>Source!G28</f>
        <v xml:space="preserve">Снятие смесителя: без душевой сетки</v>
      </c>
      <c r="E93" s="56" t="str">
        <f>Source!H28</f>
        <v xml:space="preserve">100 ШТ</v>
      </c>
      <c r="F93" s="57">
        <f>Source!K28</f>
        <v>0.049999999999999996</v>
      </c>
      <c r="G93" s="57"/>
      <c r="H93" s="57">
        <f>Source!I28</f>
        <v>0.049999999999999996</v>
      </c>
      <c r="I93" s="58"/>
      <c r="J93" s="59"/>
      <c r="K93" s="58"/>
      <c r="L93" s="59"/>
      <c r="M93" s="58"/>
    </row>
    <row r="94">
      <c r="D94" s="60" t="str">
        <f>"Объем: "&amp;Source!I28&amp;"=5/"&amp;"100"</f>
        <v xml:space="preserve">Объем: 0,049999999999999996=5/100</v>
      </c>
    </row>
    <row r="95" ht="14.25">
      <c r="A95" s="55"/>
      <c r="B95" s="55"/>
      <c r="C95" s="59">
        <v>1</v>
      </c>
      <c r="D95" s="55" t="s">
        <v>48</v>
      </c>
      <c r="E95" s="56"/>
      <c r="F95" s="57"/>
      <c r="G95" s="57"/>
      <c r="H95" s="57"/>
      <c r="I95" s="58">
        <f>Source!AO28</f>
        <v>313.13999999999999</v>
      </c>
      <c r="J95" s="59"/>
      <c r="K95" s="58">
        <f>ROUND(Source!AF28*Source!I28, 2)</f>
        <v>15.66</v>
      </c>
      <c r="L95" s="59">
        <f>IF(Source!BA28&lt;&gt; 0, Source!BA28, 1)</f>
        <v>55.32</v>
      </c>
      <c r="M95" s="58">
        <f>Source!HJ28</f>
        <v>866.31000000000006</v>
      </c>
    </row>
    <row r="96" ht="14.25">
      <c r="A96" s="55"/>
      <c r="B96" s="55"/>
      <c r="C96" s="59">
        <v>2</v>
      </c>
      <c r="D96" s="55" t="s">
        <v>49</v>
      </c>
      <c r="E96" s="56"/>
      <c r="F96" s="57"/>
      <c r="G96" s="57"/>
      <c r="H96" s="57"/>
      <c r="I96" s="58">
        <f>Source!AM28</f>
        <v>2.1899999999999999</v>
      </c>
      <c r="J96" s="59"/>
      <c r="K96" s="58">
        <f>ROUND((((Source!ET28)-(Source!EU28))+Source!AE28)*Source!I28, 2)</f>
        <v>0.11</v>
      </c>
      <c r="L96" s="59"/>
      <c r="M96" s="58"/>
    </row>
    <row r="97" ht="14.25">
      <c r="A97" s="55"/>
      <c r="B97" s="55"/>
      <c r="C97" s="59">
        <v>3</v>
      </c>
      <c r="D97" s="55" t="s">
        <v>50</v>
      </c>
      <c r="E97" s="56"/>
      <c r="F97" s="57"/>
      <c r="G97" s="57"/>
      <c r="H97" s="57"/>
      <c r="I97" s="58">
        <f>Source!AN28</f>
        <v>0.94999999999999996</v>
      </c>
      <c r="J97" s="59"/>
      <c r="K97" s="61">
        <f>ROUND(Source!AE28*Source!I28, 2)</f>
        <v>0.050000000000000003</v>
      </c>
      <c r="L97" s="59">
        <f>IF(Source!BS28&lt;&gt; 0, Source!BS28, 1)</f>
        <v>55.32</v>
      </c>
      <c r="M97" s="61">
        <f>Source!HI28</f>
        <v>2.77</v>
      </c>
    </row>
    <row r="98" ht="14.25">
      <c r="A98" s="55"/>
      <c r="B98" s="55"/>
      <c r="C98" s="59">
        <v>4</v>
      </c>
      <c r="D98" s="55" t="s">
        <v>51</v>
      </c>
      <c r="E98" s="56"/>
      <c r="F98" s="57"/>
      <c r="G98" s="57"/>
      <c r="H98" s="57"/>
      <c r="I98" s="58">
        <f>Source!AL28</f>
        <v>0</v>
      </c>
      <c r="J98" s="59"/>
      <c r="K98" s="58">
        <f>ROUND(Source!AC28*Source!I28, 2)</f>
        <v>0</v>
      </c>
      <c r="L98" s="59"/>
      <c r="M98" s="58"/>
    </row>
    <row r="99" ht="14.25">
      <c r="A99" s="55"/>
      <c r="B99" s="55"/>
      <c r="C99" s="55"/>
      <c r="D99" s="55" t="s">
        <v>52</v>
      </c>
      <c r="E99" s="56" t="s">
        <v>30</v>
      </c>
      <c r="F99" s="57">
        <f>Source!AQ28</f>
        <v>36.710000000000001</v>
      </c>
      <c r="G99" s="57"/>
      <c r="H99" s="57">
        <f>ROUND(Source!U28, 7)</f>
        <v>1.8354999999999999</v>
      </c>
      <c r="I99" s="58"/>
      <c r="J99" s="59"/>
      <c r="K99" s="58"/>
      <c r="L99" s="59"/>
      <c r="M99" s="58"/>
    </row>
    <row r="100" ht="14.25">
      <c r="A100" s="55"/>
      <c r="B100" s="55"/>
      <c r="C100" s="55"/>
      <c r="D100" s="62" t="s">
        <v>53</v>
      </c>
      <c r="E100" s="63" t="s">
        <v>30</v>
      </c>
      <c r="F100" s="64">
        <f>Source!AR28</f>
        <v>0.070000000000000007</v>
      </c>
      <c r="G100" s="64"/>
      <c r="H100" s="64">
        <f>ROUND(Source!V28, 7)</f>
        <v>0.0034999999999999996</v>
      </c>
      <c r="I100" s="65"/>
      <c r="J100" s="66"/>
      <c r="K100" s="65"/>
      <c r="L100" s="66"/>
      <c r="M100" s="65"/>
    </row>
    <row r="101" ht="14.25">
      <c r="A101" s="55"/>
      <c r="B101" s="55"/>
      <c r="C101" s="55"/>
      <c r="D101" s="55" t="s">
        <v>54</v>
      </c>
      <c r="E101" s="56"/>
      <c r="F101" s="57"/>
      <c r="G101" s="57"/>
      <c r="H101" s="57"/>
      <c r="I101" s="58">
        <f>I95+I96+I98</f>
        <v>315.32999999999998</v>
      </c>
      <c r="J101" s="59"/>
      <c r="K101" s="58">
        <f>K95+K96+K98</f>
        <v>15.77</v>
      </c>
      <c r="L101" s="59"/>
      <c r="M101" s="58"/>
    </row>
    <row r="102" ht="14.25">
      <c r="A102" s="55"/>
      <c r="B102" s="55"/>
      <c r="C102" s="55"/>
      <c r="D102" s="55" t="s">
        <v>55</v>
      </c>
      <c r="E102" s="56"/>
      <c r="F102" s="57"/>
      <c r="G102" s="57"/>
      <c r="H102" s="57"/>
      <c r="I102" s="58"/>
      <c r="J102" s="59"/>
      <c r="K102" s="58">
        <f>SUM(S93:S105)+SUM(T93:T105)+SUM(X93:X105)+SUM(Y93:Y105)+SUM(Z93:Z105)</f>
        <v>15.710000000000001</v>
      </c>
      <c r="L102" s="59"/>
      <c r="M102" s="58">
        <f>SUM(AR93:AR105)+SUM(AS93:AS105)+SUM(AT93:AT105)+SUM(AU93:AU105)+SUM(AV93:AV105)</f>
        <v>869.08000000000004</v>
      </c>
    </row>
    <row r="103" ht="28.5">
      <c r="A103" s="55"/>
      <c r="B103" s="55"/>
      <c r="C103" s="55" t="s">
        <v>56</v>
      </c>
      <c r="D103" s="55" t="s">
        <v>57</v>
      </c>
      <c r="E103" s="56" t="s">
        <v>58</v>
      </c>
      <c r="F103" s="57">
        <f>Source!BZ28</f>
        <v>87</v>
      </c>
      <c r="G103" s="57"/>
      <c r="H103" s="57">
        <f>Source!AT28</f>
        <v>87</v>
      </c>
      <c r="I103" s="58"/>
      <c r="J103" s="59"/>
      <c r="K103" s="58">
        <f>SUM(AD93:AD105)</f>
        <v>13.67</v>
      </c>
      <c r="L103" s="59"/>
      <c r="M103" s="58">
        <f>SUM(AZ93:AZ105)</f>
        <v>756.10000000000002</v>
      </c>
    </row>
    <row r="104" ht="28.5">
      <c r="A104" s="62"/>
      <c r="B104" s="62"/>
      <c r="C104" s="62" t="s">
        <v>59</v>
      </c>
      <c r="D104" s="62" t="s">
        <v>60</v>
      </c>
      <c r="E104" s="63" t="s">
        <v>58</v>
      </c>
      <c r="F104" s="64">
        <f>Source!CA28</f>
        <v>44</v>
      </c>
      <c r="G104" s="64"/>
      <c r="H104" s="64">
        <f>Source!AU28</f>
        <v>44</v>
      </c>
      <c r="I104" s="65"/>
      <c r="J104" s="66"/>
      <c r="K104" s="65">
        <f>SUM(AE93:AE105)</f>
        <v>6.9100000000000001</v>
      </c>
      <c r="L104" s="66"/>
      <c r="M104" s="65">
        <f>SUM(BA93:BA105)</f>
        <v>382.40000000000003</v>
      </c>
    </row>
    <row r="105" ht="15">
      <c r="D105" s="67" t="s">
        <v>61</v>
      </c>
      <c r="E105" s="67"/>
      <c r="F105" s="67"/>
      <c r="G105" s="67"/>
      <c r="H105" s="67"/>
      <c r="I105" s="67"/>
      <c r="J105" s="68">
        <f>K95+K96+K98+K103+K104</f>
        <v>36.349999999999994</v>
      </c>
      <c r="K105" s="68"/>
      <c r="O105" s="69">
        <f>K95+K96+K98+K103+K104</f>
        <v>36.349999999999994</v>
      </c>
      <c r="P105" s="69">
        <f>K96</f>
        <v>0.11</v>
      </c>
      <c r="R105" t="s">
        <v>62</v>
      </c>
      <c r="S105" s="69">
        <f>K95</f>
        <v>15.66</v>
      </c>
      <c r="U105" s="69">
        <f>K95</f>
        <v>15.66</v>
      </c>
      <c r="X105" s="69">
        <f>K97</f>
        <v>0.050000000000000003</v>
      </c>
      <c r="Z105" t="s">
        <v>62</v>
      </c>
      <c r="AA105" s="69">
        <f>K98</f>
        <v>0</v>
      </c>
      <c r="AD105">
        <f>Source!X28</f>
        <v>13.67</v>
      </c>
      <c r="AE105">
        <f>Source!Y28</f>
        <v>6.9100000000000001</v>
      </c>
      <c r="AN105" s="69">
        <f>M95+M96+M98+M103+M104</f>
        <v>2004.8100000000002</v>
      </c>
      <c r="AO105" s="69">
        <f>M96</f>
        <v>0</v>
      </c>
      <c r="AQ105" t="s">
        <v>62</v>
      </c>
      <c r="AR105" s="69">
        <f>M95</f>
        <v>866.31000000000006</v>
      </c>
      <c r="AT105" s="69">
        <f>M97</f>
        <v>2.77</v>
      </c>
      <c r="AV105" t="s">
        <v>62</v>
      </c>
      <c r="AW105" s="69">
        <f>M98</f>
        <v>0</v>
      </c>
      <c r="AZ105">
        <f>Source!HK28</f>
        <v>756.10000000000002</v>
      </c>
      <c r="BA105">
        <f>Source!HL28</f>
        <v>382.40000000000003</v>
      </c>
      <c r="BH105" s="69">
        <f>K95+K96+K98+K103+K104</f>
        <v>36.349999999999994</v>
      </c>
      <c r="CD105">
        <v>1</v>
      </c>
    </row>
    <row r="106" ht="42.75">
      <c r="A106" s="54" t="s">
        <v>73</v>
      </c>
      <c r="B106" s="54" t="s">
        <v>73</v>
      </c>
      <c r="C106" s="55" t="s">
        <v>190</v>
      </c>
      <c r="D106" s="55" t="str">
        <f>Source!G29</f>
        <v xml:space="preserve">Разборка трубопроводов из водогазопроводных труб диаметром: до 25 мм</v>
      </c>
      <c r="E106" s="56" t="str">
        <f>Source!H29</f>
        <v xml:space="preserve">100 м</v>
      </c>
      <c r="F106" s="57">
        <f>Source!K29</f>
        <v>0.29999999999999999</v>
      </c>
      <c r="G106" s="57"/>
      <c r="H106" s="57">
        <f>Source!I29</f>
        <v>0.29999999999999999</v>
      </c>
      <c r="I106" s="58"/>
      <c r="J106" s="59"/>
      <c r="K106" s="58"/>
      <c r="L106" s="59"/>
      <c r="M106" s="58"/>
    </row>
    <row r="107">
      <c r="D107" s="60" t="str">
        <f>"Объем: "&amp;Source!I29&amp;"=30/"&amp;"100"</f>
        <v xml:space="preserve">Объем: 0,3=30/100</v>
      </c>
    </row>
    <row r="108" ht="14.25">
      <c r="A108" s="55"/>
      <c r="B108" s="55"/>
      <c r="C108" s="59">
        <v>1</v>
      </c>
      <c r="D108" s="55" t="s">
        <v>48</v>
      </c>
      <c r="E108" s="56"/>
      <c r="F108" s="57"/>
      <c r="G108" s="57"/>
      <c r="H108" s="57"/>
      <c r="I108" s="58">
        <f>Source!AO29</f>
        <v>230.97</v>
      </c>
      <c r="J108" s="59"/>
      <c r="K108" s="58">
        <f>ROUND(Source!AF29*Source!I29, 2)</f>
        <v>69.290000000000006</v>
      </c>
      <c r="L108" s="59">
        <f>IF(Source!BA29&lt;&gt; 0, Source!BA29, 1)</f>
        <v>55.32</v>
      </c>
      <c r="M108" s="58">
        <f>Source!HJ29</f>
        <v>3833.1199999999999</v>
      </c>
    </row>
    <row r="109" ht="14.25">
      <c r="A109" s="55"/>
      <c r="B109" s="55"/>
      <c r="C109" s="59">
        <v>2</v>
      </c>
      <c r="D109" s="55" t="s">
        <v>49</v>
      </c>
      <c r="E109" s="56"/>
      <c r="F109" s="57"/>
      <c r="G109" s="57"/>
      <c r="H109" s="57"/>
      <c r="I109" s="58">
        <f>Source!AM29</f>
        <v>4.5599999999999996</v>
      </c>
      <c r="J109" s="59"/>
      <c r="K109" s="58">
        <f>ROUND((((Source!ET29)-(Source!EU29))+Source!AE29)*Source!I29, 2)</f>
        <v>1.3700000000000001</v>
      </c>
      <c r="L109" s="59"/>
      <c r="M109" s="58"/>
    </row>
    <row r="110" ht="14.25">
      <c r="A110" s="55"/>
      <c r="B110" s="55"/>
      <c r="C110" s="59">
        <v>3</v>
      </c>
      <c r="D110" s="55" t="s">
        <v>50</v>
      </c>
      <c r="E110" s="56"/>
      <c r="F110" s="57"/>
      <c r="G110" s="57"/>
      <c r="H110" s="57"/>
      <c r="I110" s="58">
        <f>Source!AN29</f>
        <v>0.68000000000000005</v>
      </c>
      <c r="J110" s="59"/>
      <c r="K110" s="61">
        <f>ROUND(Source!AE29*Source!I29, 2)</f>
        <v>0.20000000000000001</v>
      </c>
      <c r="L110" s="59">
        <f>IF(Source!BS29&lt;&gt; 0, Source!BS29, 1)</f>
        <v>55.32</v>
      </c>
      <c r="M110" s="61">
        <f>Source!HI29</f>
        <v>11.06</v>
      </c>
    </row>
    <row r="111" ht="14.25">
      <c r="A111" s="55"/>
      <c r="B111" s="55"/>
      <c r="C111" s="59">
        <v>4</v>
      </c>
      <c r="D111" s="55" t="s">
        <v>51</v>
      </c>
      <c r="E111" s="56"/>
      <c r="F111" s="57"/>
      <c r="G111" s="57"/>
      <c r="H111" s="57"/>
      <c r="I111" s="58">
        <f>Source!AL29</f>
        <v>28.100000000000001</v>
      </c>
      <c r="J111" s="59"/>
      <c r="K111" s="58">
        <f>ROUND(Source!AC29*Source!I29, 2)</f>
        <v>8.4299999999999997</v>
      </c>
      <c r="L111" s="59"/>
      <c r="M111" s="58"/>
    </row>
    <row r="112" ht="14.25">
      <c r="A112" s="55"/>
      <c r="B112" s="55"/>
      <c r="C112" s="55"/>
      <c r="D112" s="55" t="s">
        <v>52</v>
      </c>
      <c r="E112" s="56" t="s">
        <v>30</v>
      </c>
      <c r="F112" s="57">
        <f>Source!AQ29</f>
        <v>28.030000000000001</v>
      </c>
      <c r="G112" s="57"/>
      <c r="H112" s="57">
        <f>ROUND(Source!U29, 7)</f>
        <v>8.4089999999999989</v>
      </c>
      <c r="I112" s="58"/>
      <c r="J112" s="59"/>
      <c r="K112" s="58"/>
      <c r="L112" s="59"/>
      <c r="M112" s="58"/>
    </row>
    <row r="113" ht="14.25">
      <c r="A113" s="55"/>
      <c r="B113" s="55"/>
      <c r="C113" s="55"/>
      <c r="D113" s="62" t="s">
        <v>53</v>
      </c>
      <c r="E113" s="63" t="s">
        <v>30</v>
      </c>
      <c r="F113" s="64">
        <f>Source!AR29</f>
        <v>0.050000000000000003</v>
      </c>
      <c r="G113" s="64"/>
      <c r="H113" s="64">
        <f>ROUND(Source!V29, 7)</f>
        <v>0.014999999999999999</v>
      </c>
      <c r="I113" s="65"/>
      <c r="J113" s="66"/>
      <c r="K113" s="65"/>
      <c r="L113" s="66"/>
      <c r="M113" s="65"/>
    </row>
    <row r="114" ht="14.25">
      <c r="A114" s="55"/>
      <c r="B114" s="55"/>
      <c r="C114" s="55"/>
      <c r="D114" s="55" t="s">
        <v>54</v>
      </c>
      <c r="E114" s="56"/>
      <c r="F114" s="57"/>
      <c r="G114" s="57"/>
      <c r="H114" s="57"/>
      <c r="I114" s="58">
        <f>I108+I109+I111</f>
        <v>263.63</v>
      </c>
      <c r="J114" s="59"/>
      <c r="K114" s="58">
        <f>K108+K109+K111</f>
        <v>79.090000000000003</v>
      </c>
      <c r="L114" s="59"/>
      <c r="M114" s="58"/>
    </row>
    <row r="115" ht="14.25">
      <c r="A115" s="55"/>
      <c r="B115" s="55"/>
      <c r="C115" s="55"/>
      <c r="D115" s="55" t="s">
        <v>55</v>
      </c>
      <c r="E115" s="56"/>
      <c r="F115" s="57"/>
      <c r="G115" s="57"/>
      <c r="H115" s="57"/>
      <c r="I115" s="58"/>
      <c r="J115" s="59"/>
      <c r="K115" s="58">
        <f>SUM(S106:S118)+SUM(T106:T118)+SUM(X106:X118)+SUM(Y106:Y118)+SUM(Z106:Z118)</f>
        <v>69.490000000000009</v>
      </c>
      <c r="L115" s="59"/>
      <c r="M115" s="58">
        <f>SUM(AR106:AR118)+SUM(AS106:AS118)+SUM(AT106:AT118)+SUM(AU106:AU118)+SUM(AV106:AV118)</f>
        <v>3844.1799999999998</v>
      </c>
    </row>
    <row r="116" ht="28.5">
      <c r="A116" s="55"/>
      <c r="B116" s="55"/>
      <c r="C116" s="55" t="s">
        <v>56</v>
      </c>
      <c r="D116" s="55" t="s">
        <v>57</v>
      </c>
      <c r="E116" s="56" t="s">
        <v>58</v>
      </c>
      <c r="F116" s="57">
        <f>Source!BZ29</f>
        <v>87</v>
      </c>
      <c r="G116" s="57"/>
      <c r="H116" s="57">
        <f>Source!AT29</f>
        <v>87</v>
      </c>
      <c r="I116" s="58"/>
      <c r="J116" s="59"/>
      <c r="K116" s="58">
        <f>SUM(AD106:AD118)</f>
        <v>60.460000000000001</v>
      </c>
      <c r="L116" s="59"/>
      <c r="M116" s="58">
        <f>SUM(AZ106:AZ118)</f>
        <v>3344.4400000000001</v>
      </c>
    </row>
    <row r="117" ht="28.5">
      <c r="A117" s="62"/>
      <c r="B117" s="62"/>
      <c r="C117" s="62" t="s">
        <v>59</v>
      </c>
      <c r="D117" s="62" t="s">
        <v>60</v>
      </c>
      <c r="E117" s="63" t="s">
        <v>58</v>
      </c>
      <c r="F117" s="64">
        <f>Source!CA29</f>
        <v>44</v>
      </c>
      <c r="G117" s="64"/>
      <c r="H117" s="64">
        <f>Source!AU29</f>
        <v>44</v>
      </c>
      <c r="I117" s="65"/>
      <c r="J117" s="66"/>
      <c r="K117" s="65">
        <f>SUM(AE106:AE118)</f>
        <v>30.580000000000002</v>
      </c>
      <c r="L117" s="66"/>
      <c r="M117" s="65">
        <f>SUM(BA106:BA118)</f>
        <v>1691.4400000000001</v>
      </c>
    </row>
    <row r="118" ht="15">
      <c r="D118" s="67" t="s">
        <v>61</v>
      </c>
      <c r="E118" s="67"/>
      <c r="F118" s="67"/>
      <c r="G118" s="67"/>
      <c r="H118" s="67"/>
      <c r="I118" s="67"/>
      <c r="J118" s="68">
        <f>K108+K109+K111+K116+K117</f>
        <v>170.13000000000002</v>
      </c>
      <c r="K118" s="68"/>
      <c r="O118" s="69">
        <f>K108+K109+K111+K116+K117</f>
        <v>170.13000000000002</v>
      </c>
      <c r="P118" s="69">
        <f>K109</f>
        <v>1.3700000000000001</v>
      </c>
      <c r="R118" t="s">
        <v>62</v>
      </c>
      <c r="S118" s="69">
        <f>K108</f>
        <v>69.290000000000006</v>
      </c>
      <c r="U118" s="69">
        <f>K108</f>
        <v>69.290000000000006</v>
      </c>
      <c r="X118" s="69">
        <f>K110</f>
        <v>0.20000000000000001</v>
      </c>
      <c r="Z118" t="s">
        <v>62</v>
      </c>
      <c r="AA118" s="69">
        <f>K111</f>
        <v>8.4299999999999997</v>
      </c>
      <c r="AD118">
        <f>Source!X29</f>
        <v>60.460000000000001</v>
      </c>
      <c r="AE118">
        <f>Source!Y29</f>
        <v>30.580000000000002</v>
      </c>
      <c r="AN118" s="69">
        <f>M108+M109+M111+M116+M117</f>
        <v>8869</v>
      </c>
      <c r="AO118" s="69">
        <f>M109</f>
        <v>0</v>
      </c>
      <c r="AQ118" t="s">
        <v>62</v>
      </c>
      <c r="AR118" s="69">
        <f>M108</f>
        <v>3833.1199999999999</v>
      </c>
      <c r="AT118" s="69">
        <f>M110</f>
        <v>11.06</v>
      </c>
      <c r="AV118" t="s">
        <v>62</v>
      </c>
      <c r="AW118" s="69">
        <f>M111</f>
        <v>0</v>
      </c>
      <c r="AZ118">
        <f>Source!HK29</f>
        <v>3344.4400000000001</v>
      </c>
      <c r="BA118">
        <f>Source!HL29</f>
        <v>1691.4400000000001</v>
      </c>
      <c r="BH118" s="69">
        <f>K108+K109+K111+K116+K117</f>
        <v>170.13000000000002</v>
      </c>
      <c r="CD118">
        <v>1</v>
      </c>
    </row>
    <row r="119" ht="42.75">
      <c r="A119" s="54" t="s">
        <v>74</v>
      </c>
      <c r="B119" s="54" t="s">
        <v>74</v>
      </c>
      <c r="C119" s="55" t="s">
        <v>191</v>
      </c>
      <c r="D119" s="55" t="str">
        <f>Source!G30</f>
        <v xml:space="preserve">Разборка трубопроводов  канализационных труб диаметром: 50 мм</v>
      </c>
      <c r="E119" s="56" t="str">
        <f>Source!H30</f>
        <v xml:space="preserve">100 м</v>
      </c>
      <c r="F119" s="57">
        <f>Source!K30</f>
        <v>0.099999999999999992</v>
      </c>
      <c r="G119" s="57"/>
      <c r="H119" s="57">
        <f>Source!I30</f>
        <v>0.099999999999999992</v>
      </c>
      <c r="I119" s="58"/>
      <c r="J119" s="59"/>
      <c r="K119" s="58"/>
      <c r="L119" s="59"/>
      <c r="M119" s="58"/>
    </row>
    <row r="120">
      <c r="D120" s="60" t="str">
        <f>"Объем: "&amp;Source!I30&amp;"=10/"&amp;"100"</f>
        <v xml:space="preserve">Объем: 0,09999999999999999=10/100</v>
      </c>
    </row>
    <row r="121" ht="14.25">
      <c r="A121" s="55"/>
      <c r="B121" s="55"/>
      <c r="C121" s="59">
        <v>1</v>
      </c>
      <c r="D121" s="55" t="s">
        <v>48</v>
      </c>
      <c r="E121" s="56"/>
      <c r="F121" s="57"/>
      <c r="G121" s="57"/>
      <c r="H121" s="57"/>
      <c r="I121" s="58">
        <f>Source!AO30</f>
        <v>582.04999999999995</v>
      </c>
      <c r="J121" s="59"/>
      <c r="K121" s="58">
        <f>ROUND(Source!AF30*Source!I30, 2)</f>
        <v>58.210000000000001</v>
      </c>
      <c r="L121" s="59">
        <f>IF(Source!BA30&lt;&gt; 0, Source!BA30, 1)</f>
        <v>55.32</v>
      </c>
      <c r="M121" s="58">
        <f>Source!HJ30</f>
        <v>3220.1800000000003</v>
      </c>
    </row>
    <row r="122" ht="14.25">
      <c r="A122" s="55"/>
      <c r="B122" s="55"/>
      <c r="C122" s="59">
        <v>2</v>
      </c>
      <c r="D122" s="55" t="s">
        <v>49</v>
      </c>
      <c r="E122" s="56"/>
      <c r="F122" s="57"/>
      <c r="G122" s="57"/>
      <c r="H122" s="57"/>
      <c r="I122" s="58">
        <f>Source!AM30</f>
        <v>5</v>
      </c>
      <c r="J122" s="59"/>
      <c r="K122" s="58">
        <f>ROUND((((Source!ET30)-(Source!EU30))+Source!AE30)*Source!I30, 2)</f>
        <v>0.5</v>
      </c>
      <c r="L122" s="59"/>
      <c r="M122" s="58"/>
    </row>
    <row r="123" ht="14.25">
      <c r="A123" s="55"/>
      <c r="B123" s="55"/>
      <c r="C123" s="59">
        <v>3</v>
      </c>
      <c r="D123" s="55" t="s">
        <v>50</v>
      </c>
      <c r="E123" s="56"/>
      <c r="F123" s="57"/>
      <c r="G123" s="57"/>
      <c r="H123" s="57"/>
      <c r="I123" s="58">
        <f>Source!AN30</f>
        <v>2.1600000000000001</v>
      </c>
      <c r="J123" s="59"/>
      <c r="K123" s="61">
        <f>ROUND(Source!AE30*Source!I30, 2)</f>
        <v>0.22</v>
      </c>
      <c r="L123" s="59">
        <f>IF(Source!BS30&lt;&gt; 0, Source!BS30, 1)</f>
        <v>55.32</v>
      </c>
      <c r="M123" s="61">
        <f>Source!HI30</f>
        <v>12.17</v>
      </c>
    </row>
    <row r="124" ht="14.25">
      <c r="A124" s="55"/>
      <c r="B124" s="55"/>
      <c r="C124" s="59">
        <v>4</v>
      </c>
      <c r="D124" s="55" t="s">
        <v>51</v>
      </c>
      <c r="E124" s="56"/>
      <c r="F124" s="57"/>
      <c r="G124" s="57"/>
      <c r="H124" s="57"/>
      <c r="I124" s="58">
        <f>Source!AL30</f>
        <v>0</v>
      </c>
      <c r="J124" s="59"/>
      <c r="K124" s="58">
        <f>ROUND(Source!AC30*Source!I30, 2)</f>
        <v>0</v>
      </c>
      <c r="L124" s="59"/>
      <c r="M124" s="58"/>
    </row>
    <row r="125" ht="14.25">
      <c r="A125" s="55"/>
      <c r="B125" s="55"/>
      <c r="C125" s="55"/>
      <c r="D125" s="55" t="s">
        <v>52</v>
      </c>
      <c r="E125" s="56" t="s">
        <v>30</v>
      </c>
      <c r="F125" s="57">
        <f>Source!AQ30</f>
        <v>68.799999999999997</v>
      </c>
      <c r="G125" s="57"/>
      <c r="H125" s="57">
        <f>ROUND(Source!U30, 7)</f>
        <v>6.8799999999999999</v>
      </c>
      <c r="I125" s="58"/>
      <c r="J125" s="59"/>
      <c r="K125" s="58"/>
      <c r="L125" s="59"/>
      <c r="M125" s="58"/>
    </row>
    <row r="126" ht="14.25">
      <c r="A126" s="55"/>
      <c r="B126" s="55"/>
      <c r="C126" s="55"/>
      <c r="D126" s="62" t="s">
        <v>53</v>
      </c>
      <c r="E126" s="63" t="s">
        <v>30</v>
      </c>
      <c r="F126" s="64">
        <f>Source!AR30</f>
        <v>0.16</v>
      </c>
      <c r="G126" s="64"/>
      <c r="H126" s="64">
        <f>ROUND(Source!V30, 7)</f>
        <v>0.016</v>
      </c>
      <c r="I126" s="65"/>
      <c r="J126" s="66"/>
      <c r="K126" s="65"/>
      <c r="L126" s="66"/>
      <c r="M126" s="65"/>
    </row>
    <row r="127" ht="14.25">
      <c r="A127" s="55"/>
      <c r="B127" s="55"/>
      <c r="C127" s="55"/>
      <c r="D127" s="55" t="s">
        <v>54</v>
      </c>
      <c r="E127" s="56"/>
      <c r="F127" s="57"/>
      <c r="G127" s="57"/>
      <c r="H127" s="57"/>
      <c r="I127" s="58">
        <f>I121+I122+I124</f>
        <v>587.04999999999995</v>
      </c>
      <c r="J127" s="59"/>
      <c r="K127" s="58">
        <f>K121+K122+K124</f>
        <v>58.710000000000001</v>
      </c>
      <c r="L127" s="59"/>
      <c r="M127" s="58"/>
    </row>
    <row r="128" ht="14.25">
      <c r="A128" s="55"/>
      <c r="B128" s="55"/>
      <c r="C128" s="55"/>
      <c r="D128" s="55" t="s">
        <v>55</v>
      </c>
      <c r="E128" s="56"/>
      <c r="F128" s="57"/>
      <c r="G128" s="57"/>
      <c r="H128" s="57"/>
      <c r="I128" s="58"/>
      <c r="J128" s="59"/>
      <c r="K128" s="58">
        <f>SUM(S119:S131)+SUM(T119:T131)+SUM(X119:X131)+SUM(Y119:Y131)+SUM(Z119:Z131)</f>
        <v>58.43</v>
      </c>
      <c r="L128" s="59"/>
      <c r="M128" s="58">
        <f>SUM(AR119:AR131)+SUM(AS119:AS131)+SUM(AT119:AT131)+SUM(AU119:AU131)+SUM(AV119:AV131)</f>
        <v>3232.3500000000004</v>
      </c>
    </row>
    <row r="129" ht="28.5">
      <c r="A129" s="55"/>
      <c r="B129" s="55"/>
      <c r="C129" s="55" t="s">
        <v>56</v>
      </c>
      <c r="D129" s="55" t="s">
        <v>57</v>
      </c>
      <c r="E129" s="56" t="s">
        <v>58</v>
      </c>
      <c r="F129" s="57">
        <f>Source!BZ30</f>
        <v>87</v>
      </c>
      <c r="G129" s="57"/>
      <c r="H129" s="57">
        <f>Source!AT30</f>
        <v>87</v>
      </c>
      <c r="I129" s="58"/>
      <c r="J129" s="59"/>
      <c r="K129" s="58">
        <f>SUM(AD119:AD131)</f>
        <v>50.829999999999998</v>
      </c>
      <c r="L129" s="59"/>
      <c r="M129" s="58">
        <f>SUM(AZ119:AZ131)</f>
        <v>2812.1399999999999</v>
      </c>
    </row>
    <row r="130" ht="28.5">
      <c r="A130" s="62"/>
      <c r="B130" s="62"/>
      <c r="C130" s="62" t="s">
        <v>59</v>
      </c>
      <c r="D130" s="62" t="s">
        <v>60</v>
      </c>
      <c r="E130" s="63" t="s">
        <v>58</v>
      </c>
      <c r="F130" s="64">
        <f>Source!CA30</f>
        <v>44</v>
      </c>
      <c r="G130" s="64"/>
      <c r="H130" s="64">
        <f>Source!AU30</f>
        <v>44</v>
      </c>
      <c r="I130" s="65"/>
      <c r="J130" s="66"/>
      <c r="K130" s="65">
        <f>SUM(AE119:AE131)</f>
        <v>25.710000000000001</v>
      </c>
      <c r="L130" s="66"/>
      <c r="M130" s="65">
        <f>SUM(BA119:BA131)</f>
        <v>1422.23</v>
      </c>
    </row>
    <row r="131" ht="15">
      <c r="D131" s="67" t="s">
        <v>61</v>
      </c>
      <c r="E131" s="67"/>
      <c r="F131" s="67"/>
      <c r="G131" s="67"/>
      <c r="H131" s="67"/>
      <c r="I131" s="67"/>
      <c r="J131" s="68">
        <f>K121+K122+K124+K129+K130</f>
        <v>135.25</v>
      </c>
      <c r="K131" s="68"/>
      <c r="O131" s="69">
        <f>K121+K122+K124+K129+K130</f>
        <v>135.25</v>
      </c>
      <c r="P131" s="69">
        <f>K122</f>
        <v>0.5</v>
      </c>
      <c r="R131" t="s">
        <v>62</v>
      </c>
      <c r="S131" s="69">
        <f>K121</f>
        <v>58.210000000000001</v>
      </c>
      <c r="U131" s="69">
        <f>K121</f>
        <v>58.210000000000001</v>
      </c>
      <c r="X131" s="69">
        <f>K123</f>
        <v>0.22</v>
      </c>
      <c r="Z131" t="s">
        <v>62</v>
      </c>
      <c r="AA131" s="69">
        <f>K124</f>
        <v>0</v>
      </c>
      <c r="AD131">
        <f>Source!X30</f>
        <v>50.829999999999998</v>
      </c>
      <c r="AE131">
        <f>Source!Y30</f>
        <v>25.710000000000001</v>
      </c>
      <c r="AN131" s="69">
        <f>M121+M122+M124+M129+M130</f>
        <v>7454.5499999999993</v>
      </c>
      <c r="AO131" s="69">
        <f>M122</f>
        <v>0</v>
      </c>
      <c r="AQ131" t="s">
        <v>62</v>
      </c>
      <c r="AR131" s="69">
        <f>M121</f>
        <v>3220.1800000000003</v>
      </c>
      <c r="AT131" s="69">
        <f>M123</f>
        <v>12.17</v>
      </c>
      <c r="AV131" t="s">
        <v>62</v>
      </c>
      <c r="AW131" s="69">
        <f>M124</f>
        <v>0</v>
      </c>
      <c r="AZ131">
        <f>Source!HK30</f>
        <v>2812.1399999999999</v>
      </c>
      <c r="BA131">
        <f>Source!HL30</f>
        <v>1422.23</v>
      </c>
      <c r="BH131" s="69">
        <f>K121+K122+K124+K129+K130</f>
        <v>135.25</v>
      </c>
      <c r="CD131">
        <v>1</v>
      </c>
    </row>
    <row r="132" ht="42.75">
      <c r="A132" s="54" t="s">
        <v>75</v>
      </c>
      <c r="B132" s="54" t="s">
        <v>75</v>
      </c>
      <c r="C132" s="55" t="s">
        <v>192</v>
      </c>
      <c r="D132" s="55" t="str">
        <f>Source!G31</f>
        <v xml:space="preserve">Разборка трубопроводов  канализационных труб диаметром: 100 мм</v>
      </c>
      <c r="E132" s="56" t="str">
        <f>Source!H31</f>
        <v xml:space="preserve">100 м</v>
      </c>
      <c r="F132" s="57">
        <f>Source!K31</f>
        <v>0.049999999999999996</v>
      </c>
      <c r="G132" s="57"/>
      <c r="H132" s="57">
        <f>Source!I31</f>
        <v>0.049999999999999996</v>
      </c>
      <c r="I132" s="58"/>
      <c r="J132" s="59"/>
      <c r="K132" s="58"/>
      <c r="L132" s="59"/>
      <c r="M132" s="58"/>
    </row>
    <row r="133">
      <c r="D133" s="60" t="str">
        <f>"Объем: "&amp;Source!I31&amp;"=5/"&amp;"100"</f>
        <v xml:space="preserve">Объем: 0,049999999999999996=5/100</v>
      </c>
    </row>
    <row r="134" ht="14.25">
      <c r="A134" s="55"/>
      <c r="B134" s="55"/>
      <c r="C134" s="59">
        <v>1</v>
      </c>
      <c r="D134" s="55" t="s">
        <v>48</v>
      </c>
      <c r="E134" s="56"/>
      <c r="F134" s="57"/>
      <c r="G134" s="57"/>
      <c r="H134" s="57"/>
      <c r="I134" s="58">
        <f>Source!AO31</f>
        <v>721.63999999999999</v>
      </c>
      <c r="J134" s="59"/>
      <c r="K134" s="58">
        <f>ROUND(Source!AF31*Source!I31, 2)</f>
        <v>36.079999999999998</v>
      </c>
      <c r="L134" s="59">
        <f>IF(Source!BA31&lt;&gt; 0, Source!BA31, 1)</f>
        <v>55.32</v>
      </c>
      <c r="M134" s="58">
        <f>Source!HJ31</f>
        <v>1995.95</v>
      </c>
    </row>
    <row r="135" ht="14.25">
      <c r="A135" s="55"/>
      <c r="B135" s="55"/>
      <c r="C135" s="59">
        <v>2</v>
      </c>
      <c r="D135" s="55" t="s">
        <v>49</v>
      </c>
      <c r="E135" s="56"/>
      <c r="F135" s="57"/>
      <c r="G135" s="57"/>
      <c r="H135" s="57"/>
      <c r="I135" s="58">
        <f>Source!AM31</f>
        <v>10</v>
      </c>
      <c r="J135" s="59"/>
      <c r="K135" s="58">
        <f>ROUND((((Source!ET31)-(Source!EU31))+Source!AE31)*Source!I31, 2)</f>
        <v>0.5</v>
      </c>
      <c r="L135" s="59"/>
      <c r="M135" s="58"/>
    </row>
    <row r="136" ht="14.25">
      <c r="A136" s="55"/>
      <c r="B136" s="55"/>
      <c r="C136" s="59">
        <v>3</v>
      </c>
      <c r="D136" s="55" t="s">
        <v>50</v>
      </c>
      <c r="E136" s="56"/>
      <c r="F136" s="57"/>
      <c r="G136" s="57"/>
      <c r="H136" s="57"/>
      <c r="I136" s="58">
        <f>Source!AN31</f>
        <v>4.3200000000000003</v>
      </c>
      <c r="J136" s="59"/>
      <c r="K136" s="61">
        <f>ROUND(Source!AE31*Source!I31, 2)</f>
        <v>0.22</v>
      </c>
      <c r="L136" s="59">
        <f>IF(Source!BS31&lt;&gt; 0, Source!BS31, 1)</f>
        <v>55.32</v>
      </c>
      <c r="M136" s="61">
        <f>Source!HI31</f>
        <v>12.17</v>
      </c>
    </row>
    <row r="137" ht="14.25">
      <c r="A137" s="55"/>
      <c r="B137" s="55"/>
      <c r="C137" s="59">
        <v>4</v>
      </c>
      <c r="D137" s="55" t="s">
        <v>51</v>
      </c>
      <c r="E137" s="56"/>
      <c r="F137" s="57"/>
      <c r="G137" s="57"/>
      <c r="H137" s="57"/>
      <c r="I137" s="58">
        <f>Source!AL31</f>
        <v>0</v>
      </c>
      <c r="J137" s="59"/>
      <c r="K137" s="58">
        <f>ROUND(Source!AC31*Source!I31, 2)</f>
        <v>0</v>
      </c>
      <c r="L137" s="59"/>
      <c r="M137" s="58"/>
    </row>
    <row r="138" ht="14.25">
      <c r="A138" s="55"/>
      <c r="B138" s="55"/>
      <c r="C138" s="55"/>
      <c r="D138" s="55" t="s">
        <v>52</v>
      </c>
      <c r="E138" s="56" t="s">
        <v>30</v>
      </c>
      <c r="F138" s="57">
        <f>Source!AQ31</f>
        <v>85.299999999999997</v>
      </c>
      <c r="G138" s="57"/>
      <c r="H138" s="57">
        <f>ROUND(Source!U31, 7)</f>
        <v>4.2649999999999997</v>
      </c>
      <c r="I138" s="58"/>
      <c r="J138" s="59"/>
      <c r="K138" s="58"/>
      <c r="L138" s="59"/>
      <c r="M138" s="58"/>
    </row>
    <row r="139" ht="14.25">
      <c r="A139" s="55"/>
      <c r="B139" s="55"/>
      <c r="C139" s="55"/>
      <c r="D139" s="62" t="s">
        <v>53</v>
      </c>
      <c r="E139" s="63" t="s">
        <v>30</v>
      </c>
      <c r="F139" s="64">
        <f>Source!AR31</f>
        <v>0.32000000000000001</v>
      </c>
      <c r="G139" s="64"/>
      <c r="H139" s="64">
        <f>ROUND(Source!V31, 7)</f>
        <v>0.016</v>
      </c>
      <c r="I139" s="65"/>
      <c r="J139" s="66"/>
      <c r="K139" s="65"/>
      <c r="L139" s="66"/>
      <c r="M139" s="65"/>
    </row>
    <row r="140" ht="14.25">
      <c r="A140" s="55"/>
      <c r="B140" s="55"/>
      <c r="C140" s="55"/>
      <c r="D140" s="55" t="s">
        <v>54</v>
      </c>
      <c r="E140" s="56"/>
      <c r="F140" s="57"/>
      <c r="G140" s="57"/>
      <c r="H140" s="57"/>
      <c r="I140" s="58">
        <f>I134+I135+I137</f>
        <v>731.63999999999999</v>
      </c>
      <c r="J140" s="59"/>
      <c r="K140" s="58">
        <f>K134+K135+K137</f>
        <v>36.579999999999998</v>
      </c>
      <c r="L140" s="59"/>
      <c r="M140" s="58"/>
    </row>
    <row r="141" ht="14.25">
      <c r="A141" s="55"/>
      <c r="B141" s="55"/>
      <c r="C141" s="55"/>
      <c r="D141" s="55" t="s">
        <v>55</v>
      </c>
      <c r="E141" s="56"/>
      <c r="F141" s="57"/>
      <c r="G141" s="57"/>
      <c r="H141" s="57"/>
      <c r="I141" s="58"/>
      <c r="J141" s="59"/>
      <c r="K141" s="58">
        <f>SUM(S132:S144)+SUM(T132:T144)+SUM(X132:X144)+SUM(Y132:Y144)+SUM(Z132:Z144)</f>
        <v>36.299999999999997</v>
      </c>
      <c r="L141" s="59"/>
      <c r="M141" s="58">
        <f>SUM(AR132:AR144)+SUM(AS132:AS144)+SUM(AT132:AT144)+SUM(AU132:AU144)+SUM(AV132:AV144)</f>
        <v>2008.1200000000001</v>
      </c>
    </row>
    <row r="142" ht="28.5">
      <c r="A142" s="55"/>
      <c r="B142" s="55"/>
      <c r="C142" s="55" t="s">
        <v>56</v>
      </c>
      <c r="D142" s="55" t="s">
        <v>57</v>
      </c>
      <c r="E142" s="56" t="s">
        <v>58</v>
      </c>
      <c r="F142" s="57">
        <f>Source!BZ31</f>
        <v>87</v>
      </c>
      <c r="G142" s="57"/>
      <c r="H142" s="57">
        <f>Source!AT31</f>
        <v>87</v>
      </c>
      <c r="I142" s="58"/>
      <c r="J142" s="59"/>
      <c r="K142" s="58">
        <f>SUM(AD132:AD144)</f>
        <v>31.580000000000002</v>
      </c>
      <c r="L142" s="59"/>
      <c r="M142" s="58">
        <f>SUM(AZ132:AZ144)</f>
        <v>1747.0599999999999</v>
      </c>
    </row>
    <row r="143" ht="28.5">
      <c r="A143" s="62"/>
      <c r="B143" s="62"/>
      <c r="C143" s="62" t="s">
        <v>59</v>
      </c>
      <c r="D143" s="62" t="s">
        <v>60</v>
      </c>
      <c r="E143" s="63" t="s">
        <v>58</v>
      </c>
      <c r="F143" s="64">
        <f>Source!CA31</f>
        <v>44</v>
      </c>
      <c r="G143" s="64"/>
      <c r="H143" s="64">
        <f>Source!AU31</f>
        <v>44</v>
      </c>
      <c r="I143" s="65"/>
      <c r="J143" s="66"/>
      <c r="K143" s="65">
        <f>SUM(AE132:AE144)</f>
        <v>15.970000000000001</v>
      </c>
      <c r="L143" s="66"/>
      <c r="M143" s="65">
        <f>SUM(BA132:BA144)</f>
        <v>883.57000000000005</v>
      </c>
    </row>
    <row r="144" ht="15">
      <c r="D144" s="67" t="s">
        <v>61</v>
      </c>
      <c r="E144" s="67"/>
      <c r="F144" s="67"/>
      <c r="G144" s="67"/>
      <c r="H144" s="67"/>
      <c r="I144" s="67"/>
      <c r="J144" s="68">
        <f>K134+K135+K137+K142+K143</f>
        <v>84.129999999999995</v>
      </c>
      <c r="K144" s="68"/>
      <c r="O144" s="69">
        <f>K134+K135+K137+K142+K143</f>
        <v>84.129999999999995</v>
      </c>
      <c r="P144" s="69">
        <f>K135</f>
        <v>0.5</v>
      </c>
      <c r="R144" t="s">
        <v>62</v>
      </c>
      <c r="S144" s="69">
        <f>K134</f>
        <v>36.079999999999998</v>
      </c>
      <c r="U144" s="69">
        <f>K134</f>
        <v>36.079999999999998</v>
      </c>
      <c r="X144" s="69">
        <f>K136</f>
        <v>0.22</v>
      </c>
      <c r="Z144" t="s">
        <v>62</v>
      </c>
      <c r="AA144" s="69">
        <f>K137</f>
        <v>0</v>
      </c>
      <c r="AD144">
        <f>Source!X31</f>
        <v>31.580000000000002</v>
      </c>
      <c r="AE144">
        <f>Source!Y31</f>
        <v>15.970000000000001</v>
      </c>
      <c r="AN144" s="69">
        <f>M134+M135+M137+M142+M143</f>
        <v>4626.5799999999999</v>
      </c>
      <c r="AO144" s="69">
        <f>M135</f>
        <v>0</v>
      </c>
      <c r="AQ144" t="s">
        <v>62</v>
      </c>
      <c r="AR144" s="69">
        <f>M134</f>
        <v>1995.95</v>
      </c>
      <c r="AT144" s="69">
        <f>M136</f>
        <v>12.17</v>
      </c>
      <c r="AV144" t="s">
        <v>62</v>
      </c>
      <c r="AW144" s="69">
        <f>M137</f>
        <v>0</v>
      </c>
      <c r="AZ144">
        <f>Source!HK31</f>
        <v>1747.0599999999999</v>
      </c>
      <c r="BA144">
        <f>Source!HL31</f>
        <v>883.57000000000005</v>
      </c>
      <c r="BH144" s="69">
        <f>K134+K135+K137+K142+K143</f>
        <v>84.129999999999995</v>
      </c>
      <c r="CD144">
        <v>1</v>
      </c>
    </row>
    <row r="145" ht="28.5">
      <c r="A145" s="54" t="s">
        <v>76</v>
      </c>
      <c r="B145" s="54" t="s">
        <v>76</v>
      </c>
      <c r="C145" s="55" t="s">
        <v>193</v>
      </c>
      <c r="D145" s="55" t="str">
        <f>Source!G32</f>
        <v xml:space="preserve">Установка унитазов: с бачком непосредственно присоединенным</v>
      </c>
      <c r="E145" s="56" t="str">
        <f>Source!H32</f>
        <v xml:space="preserve">10 компл</v>
      </c>
      <c r="F145" s="57">
        <f>Source!K32</f>
        <v>0.29999999999999999</v>
      </c>
      <c r="G145" s="57"/>
      <c r="H145" s="57">
        <f>Source!I32</f>
        <v>0.29999999999999999</v>
      </c>
      <c r="I145" s="58"/>
      <c r="J145" s="59"/>
      <c r="K145" s="58"/>
      <c r="L145" s="59"/>
      <c r="M145" s="58"/>
    </row>
    <row r="146">
      <c r="D146" s="60" t="str">
        <f>"Объем: "&amp;Source!I32&amp;"=3/"&amp;"10"</f>
        <v xml:space="preserve">Объем: 0,3=3/10</v>
      </c>
    </row>
    <row r="147" ht="14.25">
      <c r="A147" s="55"/>
      <c r="B147" s="55"/>
      <c r="C147" s="59">
        <v>1</v>
      </c>
      <c r="D147" s="55" t="s">
        <v>48</v>
      </c>
      <c r="E147" s="56"/>
      <c r="F147" s="57"/>
      <c r="G147" s="57"/>
      <c r="H147" s="57"/>
      <c r="I147" s="58">
        <f>Source!AO32</f>
        <v>211.12</v>
      </c>
      <c r="J147" s="59"/>
      <c r="K147" s="58">
        <f>ROUND(Source!AF32*Source!I32, 2)</f>
        <v>63.340000000000003</v>
      </c>
      <c r="L147" s="59">
        <f>IF(Source!BA32&lt;&gt; 0, Source!BA32, 1)</f>
        <v>55.32</v>
      </c>
      <c r="M147" s="58">
        <f>Source!HJ32</f>
        <v>3503.9700000000003</v>
      </c>
    </row>
    <row r="148" ht="14.25">
      <c r="A148" s="55"/>
      <c r="B148" s="55"/>
      <c r="C148" s="59">
        <v>2</v>
      </c>
      <c r="D148" s="55" t="s">
        <v>49</v>
      </c>
      <c r="E148" s="56"/>
      <c r="F148" s="57"/>
      <c r="G148" s="57"/>
      <c r="H148" s="57"/>
      <c r="I148" s="58">
        <f>Source!AM32</f>
        <v>35.630000000000003</v>
      </c>
      <c r="J148" s="59"/>
      <c r="K148" s="58">
        <f>ROUND((((Source!ET32)-(Source!EU32))+Source!AE32)*Source!I32, 2)</f>
        <v>10.69</v>
      </c>
      <c r="L148" s="59"/>
      <c r="M148" s="58"/>
    </row>
    <row r="149" ht="14.25">
      <c r="A149" s="55"/>
      <c r="B149" s="55"/>
      <c r="C149" s="59">
        <v>3</v>
      </c>
      <c r="D149" s="55" t="s">
        <v>50</v>
      </c>
      <c r="E149" s="56"/>
      <c r="F149" s="57"/>
      <c r="G149" s="57"/>
      <c r="H149" s="57"/>
      <c r="I149" s="58">
        <f>Source!AN32</f>
        <v>8.8399999999999999</v>
      </c>
      <c r="J149" s="59"/>
      <c r="K149" s="61">
        <f>ROUND(Source!AE32*Source!I32, 2)</f>
        <v>2.6499999999999999</v>
      </c>
      <c r="L149" s="59">
        <f>IF(Source!BS32&lt;&gt; 0, Source!BS32, 1)</f>
        <v>55.32</v>
      </c>
      <c r="M149" s="61">
        <f>Source!HI32</f>
        <v>146.59999999999999</v>
      </c>
    </row>
    <row r="150" ht="14.25">
      <c r="A150" s="55"/>
      <c r="B150" s="55"/>
      <c r="C150" s="59">
        <v>4</v>
      </c>
      <c r="D150" s="55" t="s">
        <v>51</v>
      </c>
      <c r="E150" s="56"/>
      <c r="F150" s="57"/>
      <c r="G150" s="57"/>
      <c r="H150" s="57"/>
      <c r="I150" s="58">
        <f>Source!AL32</f>
        <v>283.52999999999997</v>
      </c>
      <c r="J150" s="59"/>
      <c r="K150" s="58">
        <f>ROUND(Source!AC32*Source!I32, 2)</f>
        <v>85.060000000000002</v>
      </c>
      <c r="L150" s="59"/>
      <c r="M150" s="58"/>
    </row>
    <row r="151" ht="14.25">
      <c r="A151" s="55"/>
      <c r="B151" s="55"/>
      <c r="C151" s="55" t="str">
        <f>EtalonRes!I54</f>
        <v>18.2.01.06</v>
      </c>
      <c r="D151" s="55" t="str">
        <f>EtalonRes!K54</f>
        <v>Унитазы</v>
      </c>
      <c r="E151" s="56" t="str">
        <f>EtalonRes!O54</f>
        <v>КОМПЛ</v>
      </c>
      <c r="F151" s="57">
        <f>EtalonRes!X54</f>
        <v>10</v>
      </c>
      <c r="G151" s="57"/>
      <c r="H151" s="57">
        <f>ROUND(EtalonRes!AG54*Source!I32, 7)</f>
        <v>3</v>
      </c>
      <c r="I151" s="58"/>
      <c r="J151" s="59"/>
      <c r="K151" s="58"/>
      <c r="L151" s="59"/>
      <c r="M151" s="58"/>
    </row>
    <row r="152" ht="14.25">
      <c r="A152" s="55"/>
      <c r="B152" s="55"/>
      <c r="C152" s="55"/>
      <c r="D152" s="55" t="s">
        <v>52</v>
      </c>
      <c r="E152" s="56" t="s">
        <v>30</v>
      </c>
      <c r="F152" s="57">
        <f>Source!AQ32</f>
        <v>22.199999999999999</v>
      </c>
      <c r="G152" s="57"/>
      <c r="H152" s="57">
        <f>ROUND(Source!U32, 7)</f>
        <v>6.6600000000000001</v>
      </c>
      <c r="I152" s="58"/>
      <c r="J152" s="59"/>
      <c r="K152" s="58"/>
      <c r="L152" s="59"/>
      <c r="M152" s="58"/>
    </row>
    <row r="153" ht="14.25">
      <c r="A153" s="55"/>
      <c r="B153" s="55"/>
      <c r="C153" s="55"/>
      <c r="D153" s="62" t="s">
        <v>53</v>
      </c>
      <c r="E153" s="63" t="s">
        <v>30</v>
      </c>
      <c r="F153" s="64">
        <f>Source!AR32</f>
        <v>0.70999999999999996</v>
      </c>
      <c r="G153" s="64"/>
      <c r="H153" s="64">
        <f>ROUND(Source!V32, 7)</f>
        <v>0.21299999999999999</v>
      </c>
      <c r="I153" s="65"/>
      <c r="J153" s="66"/>
      <c r="K153" s="65"/>
      <c r="L153" s="66"/>
      <c r="M153" s="65"/>
    </row>
    <row r="154" ht="14.25">
      <c r="A154" s="55"/>
      <c r="B154" s="55"/>
      <c r="C154" s="55"/>
      <c r="D154" s="55" t="s">
        <v>54</v>
      </c>
      <c r="E154" s="56"/>
      <c r="F154" s="57"/>
      <c r="G154" s="57"/>
      <c r="H154" s="57"/>
      <c r="I154" s="58">
        <f>I147+I148+I150</f>
        <v>530.27999999999997</v>
      </c>
      <c r="J154" s="59"/>
      <c r="K154" s="58">
        <f>K147+K148+K150</f>
        <v>159.09</v>
      </c>
      <c r="L154" s="59"/>
      <c r="M154" s="58"/>
    </row>
    <row r="155" ht="28.5">
      <c r="A155" s="54" t="s">
        <v>77</v>
      </c>
      <c r="B155" s="54" t="s">
        <v>77</v>
      </c>
      <c r="C155" s="55" t="s">
        <v>194</v>
      </c>
      <c r="D155" s="55" t="s">
        <v>78</v>
      </c>
      <c r="E155" s="56" t="str">
        <f>Source!H33</f>
        <v>КОМПЛ</v>
      </c>
      <c r="F155" s="57">
        <f>SmtRes!AT46</f>
        <v>10</v>
      </c>
      <c r="G155" s="57"/>
      <c r="H155" s="57">
        <f>Source!I33</f>
        <v>3</v>
      </c>
      <c r="I155" s="58">
        <f>Source!AL33+Source!AO33+Source!AM33</f>
        <v>8750</v>
      </c>
      <c r="J155" s="59"/>
      <c r="K155" s="58">
        <f>Source!P33</f>
        <v>2748.6900000000001</v>
      </c>
      <c r="L155" s="59">
        <f>IF(Source!BC33&lt;&gt; 0, Source!BC33, 1)</f>
        <v>9.5500000000000007</v>
      </c>
      <c r="M155" s="58">
        <f>Source!HG33</f>
        <v>26250</v>
      </c>
      <c r="O155">
        <f>K155</f>
        <v>2748.6900000000001</v>
      </c>
      <c r="AA155">
        <f>K155</f>
        <v>2748.6900000000001</v>
      </c>
      <c r="AB155">
        <f>K155</f>
        <v>2748.6900000000001</v>
      </c>
      <c r="AD155">
        <f>Source!X33</f>
        <v>0</v>
      </c>
      <c r="AE155">
        <f>Source!Y33</f>
        <v>0</v>
      </c>
      <c r="AN155">
        <f>M155</f>
        <v>26250</v>
      </c>
      <c r="AW155">
        <f>M155</f>
        <v>26250</v>
      </c>
      <c r="AX155">
        <f>M155</f>
        <v>26250</v>
      </c>
      <c r="AZ155">
        <f>Source!HK33</f>
        <v>0</v>
      </c>
      <c r="BA155">
        <f>Source!HL33</f>
        <v>0</v>
      </c>
      <c r="BH155">
        <f>K155</f>
        <v>2748.6900000000001</v>
      </c>
      <c r="CD155">
        <v>1</v>
      </c>
    </row>
    <row r="156" ht="14.25">
      <c r="A156" s="55"/>
      <c r="B156" s="55"/>
      <c r="C156" s="55"/>
      <c r="D156" s="55" t="s">
        <v>55</v>
      </c>
      <c r="E156" s="56"/>
      <c r="F156" s="57"/>
      <c r="G156" s="57"/>
      <c r="H156" s="57"/>
      <c r="I156" s="58"/>
      <c r="J156" s="59"/>
      <c r="K156" s="58">
        <f>SUM(S145:S159)+SUM(T145:T159)+SUM(X145:X159)+SUM(Y145:Y159)+SUM(Z145:Z159)</f>
        <v>65.990000000000009</v>
      </c>
      <c r="L156" s="59"/>
      <c r="M156" s="58">
        <f>SUM(AR145:AR159)+SUM(AS145:AS159)+SUM(AT145:AT159)+SUM(AU145:AU159)+SUM(AV145:AV159)</f>
        <v>3650.5700000000002</v>
      </c>
    </row>
    <row r="157" ht="71.25">
      <c r="A157" s="55"/>
      <c r="B157" s="55"/>
      <c r="C157" s="55" t="s">
        <v>79</v>
      </c>
      <c r="D157" s="55" t="s">
        <v>80</v>
      </c>
      <c r="E157" s="56" t="s">
        <v>58</v>
      </c>
      <c r="F157" s="57">
        <f>Source!BZ32</f>
        <v>121</v>
      </c>
      <c r="G157" s="57"/>
      <c r="H157" s="57">
        <f>Source!AT32</f>
        <v>121</v>
      </c>
      <c r="I157" s="58"/>
      <c r="J157" s="59"/>
      <c r="K157" s="58">
        <f>SUM(AD145:AD159)</f>
        <v>79.850000000000009</v>
      </c>
      <c r="L157" s="59"/>
      <c r="M157" s="58">
        <f>SUM(AZ145:AZ159)</f>
        <v>4417.1900000000005</v>
      </c>
    </row>
    <row r="158" ht="71.25">
      <c r="A158" s="62"/>
      <c r="B158" s="62"/>
      <c r="C158" s="62" t="s">
        <v>81</v>
      </c>
      <c r="D158" s="62" t="s">
        <v>82</v>
      </c>
      <c r="E158" s="63" t="s">
        <v>58</v>
      </c>
      <c r="F158" s="64">
        <f>Source!CA32</f>
        <v>72</v>
      </c>
      <c r="G158" s="64"/>
      <c r="H158" s="64">
        <f>Source!AU32</f>
        <v>72</v>
      </c>
      <c r="I158" s="65"/>
      <c r="J158" s="66"/>
      <c r="K158" s="65">
        <f>SUM(AE145:AE159)</f>
        <v>47.509999999999998</v>
      </c>
      <c r="L158" s="66"/>
      <c r="M158" s="65">
        <f>SUM(BA145:BA159)</f>
        <v>2628.4099999999999</v>
      </c>
    </row>
    <row r="159" ht="15">
      <c r="D159" s="67" t="s">
        <v>61</v>
      </c>
      <c r="E159" s="67"/>
      <c r="F159" s="67"/>
      <c r="G159" s="67"/>
      <c r="H159" s="67"/>
      <c r="I159" s="67"/>
      <c r="J159" s="68">
        <f>K147+K148+K150+K157+K158+SUM(K155:K155)-SUMIF(CE155:CE155, 1, K155:K155)</f>
        <v>3035.1399999999999</v>
      </c>
      <c r="K159" s="68"/>
      <c r="O159" s="69">
        <f>K147+K148+K150+K157+K158</f>
        <v>286.44999999999999</v>
      </c>
      <c r="P159" s="69">
        <f>K148</f>
        <v>10.69</v>
      </c>
      <c r="R159" t="s">
        <v>62</v>
      </c>
      <c r="S159" s="69">
        <f>K147</f>
        <v>63.340000000000003</v>
      </c>
      <c r="U159" s="69">
        <f>K147</f>
        <v>63.340000000000003</v>
      </c>
      <c r="X159" s="69">
        <f>K149</f>
        <v>2.6499999999999999</v>
      </c>
      <c r="Z159" t="s">
        <v>62</v>
      </c>
      <c r="AA159" s="69">
        <f>K150</f>
        <v>85.060000000000002</v>
      </c>
      <c r="AD159">
        <f>Source!X32</f>
        <v>79.850000000000009</v>
      </c>
      <c r="AE159">
        <f>Source!Y32</f>
        <v>47.509999999999998</v>
      </c>
      <c r="AN159" s="69">
        <f>M147+M148+M150+M157+M158</f>
        <v>10549.57</v>
      </c>
      <c r="AO159" s="69">
        <f>M148</f>
        <v>0</v>
      </c>
      <c r="AQ159" t="s">
        <v>62</v>
      </c>
      <c r="AR159" s="69">
        <f>M147</f>
        <v>3503.9700000000003</v>
      </c>
      <c r="AT159" s="69">
        <f>M149</f>
        <v>146.59999999999999</v>
      </c>
      <c r="AV159" t="s">
        <v>62</v>
      </c>
      <c r="AW159" s="69">
        <f>M150</f>
        <v>0</v>
      </c>
      <c r="AZ159">
        <f>Source!HK32</f>
        <v>4417.1900000000005</v>
      </c>
      <c r="BA159">
        <f>Source!HL32</f>
        <v>2628.4099999999999</v>
      </c>
      <c r="BH159" s="69">
        <f>K147+K148+K150+K157+K158</f>
        <v>286.44999999999999</v>
      </c>
      <c r="CD159">
        <v>1</v>
      </c>
    </row>
    <row r="160" ht="14.25">
      <c r="A160" s="54" t="s">
        <v>83</v>
      </c>
      <c r="B160" s="54" t="s">
        <v>83</v>
      </c>
      <c r="C160" s="55" t="s">
        <v>195</v>
      </c>
      <c r="D160" s="55" t="str">
        <f>Source!G34</f>
        <v xml:space="preserve">Установка раковин</v>
      </c>
      <c r="E160" s="56" t="str">
        <f>Source!H34</f>
        <v xml:space="preserve">10 компл</v>
      </c>
      <c r="F160" s="57">
        <f>Source!K34</f>
        <v>0.5</v>
      </c>
      <c r="G160" s="57"/>
      <c r="H160" s="57">
        <f>Source!I34</f>
        <v>0.5</v>
      </c>
      <c r="I160" s="58"/>
      <c r="J160" s="59"/>
      <c r="K160" s="58"/>
      <c r="L160" s="59"/>
      <c r="M160" s="58"/>
    </row>
    <row r="161">
      <c r="D161" s="60" t="str">
        <f>"Объем: "&amp;Source!I34&amp;"=5/"&amp;"10"</f>
        <v xml:space="preserve">Объем: 0,5=5/10</v>
      </c>
    </row>
    <row r="162" ht="14.25">
      <c r="A162" s="55"/>
      <c r="B162" s="55"/>
      <c r="C162" s="59">
        <v>1</v>
      </c>
      <c r="D162" s="55" t="s">
        <v>48</v>
      </c>
      <c r="E162" s="56"/>
      <c r="F162" s="57"/>
      <c r="G162" s="57"/>
      <c r="H162" s="57"/>
      <c r="I162" s="58">
        <f>Source!AO34</f>
        <v>77.920000000000002</v>
      </c>
      <c r="J162" s="59"/>
      <c r="K162" s="58">
        <f>ROUND(Source!AF34*Source!I34, 2)</f>
        <v>38.960000000000001</v>
      </c>
      <c r="L162" s="59">
        <f>IF(Source!BA34&lt;&gt; 0, Source!BA34, 1)</f>
        <v>55.32</v>
      </c>
      <c r="M162" s="58">
        <f>Source!HJ34</f>
        <v>2155.27</v>
      </c>
    </row>
    <row r="163" ht="14.25">
      <c r="A163" s="55"/>
      <c r="B163" s="55"/>
      <c r="C163" s="59">
        <v>2</v>
      </c>
      <c r="D163" s="55" t="s">
        <v>49</v>
      </c>
      <c r="E163" s="56"/>
      <c r="F163" s="57"/>
      <c r="G163" s="57"/>
      <c r="H163" s="57"/>
      <c r="I163" s="58">
        <f>Source!AM34</f>
        <v>11.390000000000001</v>
      </c>
      <c r="J163" s="59"/>
      <c r="K163" s="58">
        <f>ROUND((((Source!ET34)-(Source!EU34))+Source!AE34)*Source!I34, 2)</f>
        <v>5.7000000000000002</v>
      </c>
      <c r="L163" s="59"/>
      <c r="M163" s="58"/>
    </row>
    <row r="164" ht="14.25">
      <c r="A164" s="55"/>
      <c r="B164" s="55"/>
      <c r="C164" s="59">
        <v>3</v>
      </c>
      <c r="D164" s="55" t="s">
        <v>50</v>
      </c>
      <c r="E164" s="56"/>
      <c r="F164" s="57"/>
      <c r="G164" s="57"/>
      <c r="H164" s="57"/>
      <c r="I164" s="58">
        <f>Source!AN34</f>
        <v>2.5699999999999998</v>
      </c>
      <c r="J164" s="59"/>
      <c r="K164" s="61">
        <f>ROUND(Source!AE34*Source!I34, 2)</f>
        <v>1.29</v>
      </c>
      <c r="L164" s="59">
        <f>IF(Source!BS34&lt;&gt; 0, Source!BS34, 1)</f>
        <v>55.32</v>
      </c>
      <c r="M164" s="61">
        <f>Source!HI34</f>
        <v>71.359999999999999</v>
      </c>
    </row>
    <row r="165" ht="14.25">
      <c r="A165" s="55"/>
      <c r="B165" s="55"/>
      <c r="C165" s="59">
        <v>4</v>
      </c>
      <c r="D165" s="55" t="s">
        <v>51</v>
      </c>
      <c r="E165" s="56"/>
      <c r="F165" s="57"/>
      <c r="G165" s="57"/>
      <c r="H165" s="57"/>
      <c r="I165" s="58">
        <f>Source!AL34</f>
        <v>111.06999999999999</v>
      </c>
      <c r="J165" s="59"/>
      <c r="K165" s="58">
        <f>ROUND(Source!AC34*Source!I34, 2)</f>
        <v>55.539999999999999</v>
      </c>
      <c r="L165" s="59"/>
      <c r="M165" s="58"/>
    </row>
    <row r="166" ht="14.25">
      <c r="A166" s="55"/>
      <c r="B166" s="55"/>
      <c r="C166" s="55" t="str">
        <f>EtalonRes!I67</f>
        <v>18.2.02.08</v>
      </c>
      <c r="D166" s="55" t="str">
        <f>EtalonRes!K67</f>
        <v xml:space="preserve">Раковины и умывальники</v>
      </c>
      <c r="E166" s="56" t="str">
        <f>EtalonRes!O67</f>
        <v>КОМПЛ</v>
      </c>
      <c r="F166" s="57">
        <f>EtalonRes!X67</f>
        <v>10</v>
      </c>
      <c r="G166" s="57"/>
      <c r="H166" s="57">
        <f>ROUND(EtalonRes!AG67*Source!I34, 7)</f>
        <v>5</v>
      </c>
      <c r="I166" s="58"/>
      <c r="J166" s="59"/>
      <c r="K166" s="58"/>
      <c r="L166" s="59"/>
      <c r="M166" s="58"/>
    </row>
    <row r="167" ht="14.25">
      <c r="A167" s="55"/>
      <c r="B167" s="55"/>
      <c r="C167" s="55"/>
      <c r="D167" s="55" t="s">
        <v>52</v>
      </c>
      <c r="E167" s="56" t="s">
        <v>30</v>
      </c>
      <c r="F167" s="57">
        <f>Source!AQ34</f>
        <v>8.0999999999999996</v>
      </c>
      <c r="G167" s="57"/>
      <c r="H167" s="57">
        <f>ROUND(Source!U34, 7)</f>
        <v>4.0499999999999998</v>
      </c>
      <c r="I167" s="58"/>
      <c r="J167" s="59"/>
      <c r="K167" s="58"/>
      <c r="L167" s="59"/>
      <c r="M167" s="58"/>
    </row>
    <row r="168" ht="14.25">
      <c r="A168" s="55"/>
      <c r="B168" s="55"/>
      <c r="C168" s="55"/>
      <c r="D168" s="62" t="s">
        <v>53</v>
      </c>
      <c r="E168" s="63" t="s">
        <v>30</v>
      </c>
      <c r="F168" s="64">
        <f>Source!AR34</f>
        <v>0.20999999999999999</v>
      </c>
      <c r="G168" s="64"/>
      <c r="H168" s="64">
        <f>ROUND(Source!V34, 7)</f>
        <v>0.105</v>
      </c>
      <c r="I168" s="65"/>
      <c r="J168" s="66"/>
      <c r="K168" s="65"/>
      <c r="L168" s="66"/>
      <c r="M168" s="65"/>
    </row>
    <row r="169" ht="14.25">
      <c r="A169" s="55"/>
      <c r="B169" s="55"/>
      <c r="C169" s="55"/>
      <c r="D169" s="55" t="s">
        <v>54</v>
      </c>
      <c r="E169" s="56"/>
      <c r="F169" s="57"/>
      <c r="G169" s="57"/>
      <c r="H169" s="57"/>
      <c r="I169" s="58">
        <f>I162+I163+I165</f>
        <v>200.38</v>
      </c>
      <c r="J169" s="59"/>
      <c r="K169" s="58">
        <f>K162+K163+K165</f>
        <v>100.2</v>
      </c>
      <c r="L169" s="59"/>
      <c r="M169" s="58"/>
    </row>
    <row r="170" ht="28.5">
      <c r="A170" s="54" t="s">
        <v>84</v>
      </c>
      <c r="B170" s="54" t="s">
        <v>84</v>
      </c>
      <c r="C170" s="55" t="s">
        <v>196</v>
      </c>
      <c r="D170" s="55" t="s">
        <v>85</v>
      </c>
      <c r="E170" s="56" t="str">
        <f>Source!H35</f>
        <v>КОМПЛ</v>
      </c>
      <c r="F170" s="57">
        <f>SmtRes!AT59</f>
        <v>10</v>
      </c>
      <c r="G170" s="57"/>
      <c r="H170" s="57">
        <f>Source!I35</f>
        <v>5</v>
      </c>
      <c r="I170" s="58">
        <f>Source!AL35+Source!AO35+Source!AM35</f>
        <v>5416.6700000000001</v>
      </c>
      <c r="J170" s="59"/>
      <c r="K170" s="58">
        <f>Source!P35</f>
        <v>2835.9500000000003</v>
      </c>
      <c r="L170" s="59">
        <f>IF(Source!BC35&lt;&gt; 0, Source!BC35, 1)</f>
        <v>9.5500000000000007</v>
      </c>
      <c r="M170" s="58">
        <f>Source!HG35</f>
        <v>27083.350000000002</v>
      </c>
      <c r="O170">
        <f>K170</f>
        <v>2835.9500000000003</v>
      </c>
      <c r="AA170">
        <f>K170</f>
        <v>2835.9500000000003</v>
      </c>
      <c r="AB170">
        <f>K170</f>
        <v>2835.9500000000003</v>
      </c>
      <c r="AD170">
        <f>Source!X35</f>
        <v>0</v>
      </c>
      <c r="AE170">
        <f>Source!Y35</f>
        <v>0</v>
      </c>
      <c r="AN170">
        <f>M170</f>
        <v>27083.350000000002</v>
      </c>
      <c r="AW170">
        <f>M170</f>
        <v>27083.350000000002</v>
      </c>
      <c r="AX170">
        <f>M170</f>
        <v>27083.350000000002</v>
      </c>
      <c r="AZ170">
        <f>Source!HK35</f>
        <v>0</v>
      </c>
      <c r="BA170">
        <f>Source!HL35</f>
        <v>0</v>
      </c>
      <c r="BH170">
        <f>K170</f>
        <v>2835.9500000000003</v>
      </c>
      <c r="CD170">
        <v>1</v>
      </c>
    </row>
    <row r="171" ht="14.25">
      <c r="A171" s="55"/>
      <c r="B171" s="55"/>
      <c r="C171" s="55"/>
      <c r="D171" s="55" t="s">
        <v>55</v>
      </c>
      <c r="E171" s="56"/>
      <c r="F171" s="57"/>
      <c r="G171" s="57"/>
      <c r="H171" s="57"/>
      <c r="I171" s="58"/>
      <c r="J171" s="59"/>
      <c r="K171" s="58">
        <f>SUM(S160:S174)+SUM(T160:T174)+SUM(X160:X174)+SUM(Y160:Y174)+SUM(Z160:Z174)</f>
        <v>40.25</v>
      </c>
      <c r="L171" s="59"/>
      <c r="M171" s="58">
        <f>SUM(AR160:AR174)+SUM(AS160:AS174)+SUM(AT160:AT174)+SUM(AU160:AU174)+SUM(AV160:AV174)</f>
        <v>2226.6300000000001</v>
      </c>
    </row>
    <row r="172" ht="71.25">
      <c r="A172" s="55"/>
      <c r="B172" s="55"/>
      <c r="C172" s="55" t="s">
        <v>79</v>
      </c>
      <c r="D172" s="55" t="s">
        <v>80</v>
      </c>
      <c r="E172" s="56" t="s">
        <v>58</v>
      </c>
      <c r="F172" s="57">
        <f>Source!BZ34</f>
        <v>121</v>
      </c>
      <c r="G172" s="57"/>
      <c r="H172" s="57">
        <f>Source!AT34</f>
        <v>121</v>
      </c>
      <c r="I172" s="58"/>
      <c r="J172" s="59"/>
      <c r="K172" s="58">
        <f>SUM(AD160:AD174)</f>
        <v>48.700000000000003</v>
      </c>
      <c r="L172" s="59"/>
      <c r="M172" s="58">
        <f>SUM(AZ160:AZ174)</f>
        <v>2694.2200000000003</v>
      </c>
    </row>
    <row r="173" ht="71.25">
      <c r="A173" s="62"/>
      <c r="B173" s="62"/>
      <c r="C173" s="62" t="s">
        <v>81</v>
      </c>
      <c r="D173" s="62" t="s">
        <v>82</v>
      </c>
      <c r="E173" s="63" t="s">
        <v>58</v>
      </c>
      <c r="F173" s="64">
        <f>Source!CA34</f>
        <v>72</v>
      </c>
      <c r="G173" s="64"/>
      <c r="H173" s="64">
        <f>Source!AU34</f>
        <v>72</v>
      </c>
      <c r="I173" s="65"/>
      <c r="J173" s="66"/>
      <c r="K173" s="65">
        <f>SUM(AE160:AE174)</f>
        <v>28.98</v>
      </c>
      <c r="L173" s="66"/>
      <c r="M173" s="65">
        <f>SUM(BA160:BA174)</f>
        <v>1603.1700000000001</v>
      </c>
    </row>
    <row r="174" ht="15">
      <c r="D174" s="67" t="s">
        <v>61</v>
      </c>
      <c r="E174" s="67"/>
      <c r="F174" s="67"/>
      <c r="G174" s="67"/>
      <c r="H174" s="67"/>
      <c r="I174" s="67"/>
      <c r="J174" s="68">
        <f>K162+K163+K165+K172+K173+SUM(K170:K170)-SUMIF(CE170:CE170, 1, K170:K170)</f>
        <v>3013.8300000000004</v>
      </c>
      <c r="K174" s="68"/>
      <c r="O174" s="69">
        <f>K162+K163+K165+K172+K173</f>
        <v>177.88</v>
      </c>
      <c r="P174" s="69">
        <f>K163</f>
        <v>5.7000000000000002</v>
      </c>
      <c r="R174" t="s">
        <v>62</v>
      </c>
      <c r="S174" s="69">
        <f>K162</f>
        <v>38.960000000000001</v>
      </c>
      <c r="U174" s="69">
        <f>K162</f>
        <v>38.960000000000001</v>
      </c>
      <c r="X174" s="69">
        <f>K164</f>
        <v>1.29</v>
      </c>
      <c r="Z174" t="s">
        <v>62</v>
      </c>
      <c r="AA174" s="69">
        <f>K165</f>
        <v>55.539999999999999</v>
      </c>
      <c r="AD174">
        <f>Source!X34</f>
        <v>48.700000000000003</v>
      </c>
      <c r="AE174">
        <f>Source!Y34</f>
        <v>28.98</v>
      </c>
      <c r="AN174" s="69">
        <f>M162+M163+M165+M172+M173</f>
        <v>6452.6599999999999</v>
      </c>
      <c r="AO174" s="69">
        <f>M163</f>
        <v>0</v>
      </c>
      <c r="AQ174" t="s">
        <v>62</v>
      </c>
      <c r="AR174" s="69">
        <f>M162</f>
        <v>2155.27</v>
      </c>
      <c r="AT174" s="69">
        <f>M164</f>
        <v>71.359999999999999</v>
      </c>
      <c r="AV174" t="s">
        <v>62</v>
      </c>
      <c r="AW174" s="69">
        <f>M165</f>
        <v>0</v>
      </c>
      <c r="AZ174">
        <f>Source!HK34</f>
        <v>2694.2200000000003</v>
      </c>
      <c r="BA174">
        <f>Source!HL34</f>
        <v>1603.1700000000001</v>
      </c>
      <c r="BH174" s="69">
        <f>K162+K163+K165+K172+K173</f>
        <v>177.88</v>
      </c>
      <c r="CD174">
        <v>1</v>
      </c>
    </row>
    <row r="175" ht="14.25">
      <c r="A175" s="54" t="s">
        <v>86</v>
      </c>
      <c r="B175" s="54" t="s">
        <v>86</v>
      </c>
      <c r="C175" s="55" t="s">
        <v>187</v>
      </c>
      <c r="D175" s="55" t="str">
        <f>Source!G36</f>
        <v xml:space="preserve">Установка стумбы под раковину</v>
      </c>
      <c r="E175" s="56" t="str">
        <f>Source!H36</f>
        <v xml:space="preserve">100 ШТ</v>
      </c>
      <c r="F175" s="57">
        <f>Source!K36</f>
        <v>0.049999999999999996</v>
      </c>
      <c r="G175" s="57"/>
      <c r="H175" s="57">
        <f>Source!I36</f>
        <v>0.049999999999999996</v>
      </c>
      <c r="I175" s="58"/>
      <c r="J175" s="59"/>
      <c r="K175" s="58"/>
      <c r="L175" s="59"/>
      <c r="M175" s="58"/>
    </row>
    <row r="176">
      <c r="D176" s="60" t="str">
        <f>"Объем: "&amp;Source!I36&amp;"=5/"&amp;"100"</f>
        <v xml:space="preserve">Объем: 0,049999999999999996=5/100</v>
      </c>
    </row>
    <row r="177" ht="14.25">
      <c r="A177" s="55"/>
      <c r="B177" s="55"/>
      <c r="C177" s="59">
        <v>1</v>
      </c>
      <c r="D177" s="55" t="s">
        <v>48</v>
      </c>
      <c r="E177" s="56"/>
      <c r="F177" s="57"/>
      <c r="G177" s="57"/>
      <c r="H177" s="57"/>
      <c r="I177" s="58">
        <f>Source!AO36</f>
        <v>542.95000000000005</v>
      </c>
      <c r="J177" s="59"/>
      <c r="K177" s="58">
        <f>ROUND(Source!AF36*Source!I36, 2)</f>
        <v>27.150000000000002</v>
      </c>
      <c r="L177" s="59">
        <f>IF(Source!BA36&lt;&gt; 0, Source!BA36, 1)</f>
        <v>55.32</v>
      </c>
      <c r="M177" s="58">
        <f>Source!HJ36</f>
        <v>1501.9400000000001</v>
      </c>
    </row>
    <row r="178" ht="14.25">
      <c r="A178" s="55"/>
      <c r="B178" s="55"/>
      <c r="C178" s="59">
        <v>2</v>
      </c>
      <c r="D178" s="55" t="s">
        <v>49</v>
      </c>
      <c r="E178" s="56"/>
      <c r="F178" s="57"/>
      <c r="G178" s="57"/>
      <c r="H178" s="57"/>
      <c r="I178" s="58">
        <f>Source!AM36</f>
        <v>216.38</v>
      </c>
      <c r="J178" s="59"/>
      <c r="K178" s="58">
        <f>ROUND((((Source!ET36)-(Source!EU36))+Source!AE36)*Source!I36, 2)</f>
        <v>10.82</v>
      </c>
      <c r="L178" s="59"/>
      <c r="M178" s="58"/>
    </row>
    <row r="179" ht="14.25">
      <c r="A179" s="55"/>
      <c r="B179" s="55"/>
      <c r="C179" s="59">
        <v>3</v>
      </c>
      <c r="D179" s="55" t="s">
        <v>50</v>
      </c>
      <c r="E179" s="56"/>
      <c r="F179" s="57"/>
      <c r="G179" s="57"/>
      <c r="H179" s="57"/>
      <c r="I179" s="58">
        <f>Source!AN36</f>
        <v>52.009999999999998</v>
      </c>
      <c r="J179" s="59"/>
      <c r="K179" s="61">
        <f>ROUND(Source!AE36*Source!I36, 2)</f>
        <v>2.6000000000000001</v>
      </c>
      <c r="L179" s="59">
        <f>IF(Source!BS36&lt;&gt; 0, Source!BS36, 1)</f>
        <v>55.32</v>
      </c>
      <c r="M179" s="61">
        <f>Source!HI36</f>
        <v>143.83000000000001</v>
      </c>
    </row>
    <row r="180" ht="14.25">
      <c r="A180" s="55"/>
      <c r="B180" s="55"/>
      <c r="C180" s="59">
        <v>4</v>
      </c>
      <c r="D180" s="55" t="s">
        <v>51</v>
      </c>
      <c r="E180" s="56"/>
      <c r="F180" s="57"/>
      <c r="G180" s="57"/>
      <c r="H180" s="57"/>
      <c r="I180" s="58">
        <f>Source!AL36</f>
        <v>1633.3599999999999</v>
      </c>
      <c r="J180" s="59"/>
      <c r="K180" s="58">
        <f>ROUND(Source!AC36*Source!I36, 2)</f>
        <v>81.670000000000002</v>
      </c>
      <c r="L180" s="59"/>
      <c r="M180" s="58"/>
    </row>
    <row r="181" ht="14.25">
      <c r="A181" s="55"/>
      <c r="B181" s="55"/>
      <c r="C181" s="55" t="str">
        <f>EtalonRes!I74</f>
        <v>11.2.07.12</v>
      </c>
      <c r="D181" s="55" t="str">
        <f>EtalonRes!K74</f>
        <v xml:space="preserve">Изделия штучные</v>
      </c>
      <c r="E181" s="56" t="str">
        <f>EtalonRes!O74</f>
        <v>ШТ</v>
      </c>
      <c r="F181" s="57">
        <f>EtalonRes!X74</f>
        <v>100</v>
      </c>
      <c r="G181" s="57"/>
      <c r="H181" s="57">
        <f>ROUND(EtalonRes!AG74*Source!I36, 7)</f>
        <v>5</v>
      </c>
      <c r="I181" s="58"/>
      <c r="J181" s="59"/>
      <c r="K181" s="58"/>
      <c r="L181" s="59"/>
      <c r="M181" s="58"/>
    </row>
    <row r="182" ht="14.25">
      <c r="A182" s="55"/>
      <c r="B182" s="55"/>
      <c r="C182" s="55"/>
      <c r="D182" s="55" t="s">
        <v>52</v>
      </c>
      <c r="E182" s="56" t="s">
        <v>30</v>
      </c>
      <c r="F182" s="57">
        <f>Source!AQ36</f>
        <v>67.700000000000003</v>
      </c>
      <c r="G182" s="57"/>
      <c r="H182" s="57">
        <f>ROUND(Source!U36, 7)</f>
        <v>3.3849999999999998</v>
      </c>
      <c r="I182" s="58"/>
      <c r="J182" s="59"/>
      <c r="K182" s="58"/>
      <c r="L182" s="59"/>
      <c r="M182" s="58"/>
    </row>
    <row r="183" ht="14.25">
      <c r="A183" s="55"/>
      <c r="B183" s="55"/>
      <c r="C183" s="55"/>
      <c r="D183" s="62" t="s">
        <v>53</v>
      </c>
      <c r="E183" s="63" t="s">
        <v>30</v>
      </c>
      <c r="F183" s="64">
        <f>Source!AR36</f>
        <v>4.2000000000000002</v>
      </c>
      <c r="G183" s="64"/>
      <c r="H183" s="64">
        <f>ROUND(Source!V36, 7)</f>
        <v>0.20999999999999999</v>
      </c>
      <c r="I183" s="65"/>
      <c r="J183" s="66"/>
      <c r="K183" s="65"/>
      <c r="L183" s="66"/>
      <c r="M183" s="65"/>
    </row>
    <row r="184" ht="14.25">
      <c r="A184" s="55"/>
      <c r="B184" s="55"/>
      <c r="C184" s="55"/>
      <c r="D184" s="55" t="s">
        <v>54</v>
      </c>
      <c r="E184" s="56"/>
      <c r="F184" s="57"/>
      <c r="G184" s="57"/>
      <c r="H184" s="57"/>
      <c r="I184" s="58">
        <f>I177+I178+I180</f>
        <v>2392.6900000000001</v>
      </c>
      <c r="J184" s="59"/>
      <c r="K184" s="58">
        <f>K177+K178+K180</f>
        <v>119.64</v>
      </c>
      <c r="L184" s="59"/>
      <c r="M184" s="58"/>
    </row>
    <row r="185" ht="28.5">
      <c r="A185" s="54" t="s">
        <v>87</v>
      </c>
      <c r="B185" s="54" t="s">
        <v>87</v>
      </c>
      <c r="C185" s="55" t="s">
        <v>197</v>
      </c>
      <c r="D185" s="55" t="s">
        <v>88</v>
      </c>
      <c r="E185" s="56" t="str">
        <f>Source!H37</f>
        <v>ШТ</v>
      </c>
      <c r="F185" s="57">
        <f>SmtRes!AT67</f>
        <v>100</v>
      </c>
      <c r="G185" s="57"/>
      <c r="H185" s="57">
        <f>Source!I37</f>
        <v>5</v>
      </c>
      <c r="I185" s="58">
        <f>Source!AL37+Source!AO37+Source!AM37</f>
        <v>4166.6700000000001</v>
      </c>
      <c r="J185" s="59"/>
      <c r="K185" s="58">
        <f>Source!P37</f>
        <v>2181.5</v>
      </c>
      <c r="L185" s="59">
        <f>IF(Source!BC37&lt;&gt; 0, Source!BC37, 1)</f>
        <v>9.5500000000000007</v>
      </c>
      <c r="M185" s="58">
        <f>Source!HG37</f>
        <v>20833.350000000002</v>
      </c>
      <c r="O185">
        <f>K185</f>
        <v>2181.5</v>
      </c>
      <c r="AA185">
        <f>K185</f>
        <v>2181.5</v>
      </c>
      <c r="AB185">
        <f>K185</f>
        <v>2181.5</v>
      </c>
      <c r="AD185">
        <f>Source!X37</f>
        <v>0</v>
      </c>
      <c r="AE185">
        <f>Source!Y37</f>
        <v>0</v>
      </c>
      <c r="AN185">
        <f>M185</f>
        <v>20833.350000000002</v>
      </c>
      <c r="AW185">
        <f>M185</f>
        <v>20833.350000000002</v>
      </c>
      <c r="AX185">
        <f>M185</f>
        <v>20833.350000000002</v>
      </c>
      <c r="AZ185">
        <f>Source!HK37</f>
        <v>0</v>
      </c>
      <c r="BA185">
        <f>Source!HL37</f>
        <v>0</v>
      </c>
      <c r="BH185">
        <f>K185</f>
        <v>2181.5</v>
      </c>
      <c r="CD185">
        <v>1</v>
      </c>
    </row>
    <row r="186" ht="14.25">
      <c r="A186" s="55"/>
      <c r="B186" s="55"/>
      <c r="C186" s="55"/>
      <c r="D186" s="55" t="s">
        <v>55</v>
      </c>
      <c r="E186" s="56"/>
      <c r="F186" s="57"/>
      <c r="G186" s="57"/>
      <c r="H186" s="57"/>
      <c r="I186" s="58"/>
      <c r="J186" s="59"/>
      <c r="K186" s="58">
        <f>SUM(S175:S189)+SUM(T175:T189)+SUM(X175:X189)+SUM(Y175:Y189)+SUM(Z175:Z189)</f>
        <v>29.750000000000004</v>
      </c>
      <c r="L186" s="59"/>
      <c r="M186" s="58">
        <f>SUM(AR175:AR189)+SUM(AS175:AS189)+SUM(AT175:AT189)+SUM(AU175:AU189)+SUM(AV175:AV189)</f>
        <v>1645.77</v>
      </c>
    </row>
    <row r="187" ht="14.25">
      <c r="A187" s="55"/>
      <c r="B187" s="55"/>
      <c r="C187" s="55" t="s">
        <v>67</v>
      </c>
      <c r="D187" s="55" t="s">
        <v>68</v>
      </c>
      <c r="E187" s="56" t="s">
        <v>58</v>
      </c>
      <c r="F187" s="57">
        <f>Source!BZ36</f>
        <v>108</v>
      </c>
      <c r="G187" s="57"/>
      <c r="H187" s="57">
        <f>Source!AT36</f>
        <v>108</v>
      </c>
      <c r="I187" s="58"/>
      <c r="J187" s="59"/>
      <c r="K187" s="58">
        <f>SUM(AD175:AD189)</f>
        <v>32.130000000000003</v>
      </c>
      <c r="L187" s="59"/>
      <c r="M187" s="58">
        <f>SUM(AZ175:AZ189)</f>
        <v>1777.4300000000001</v>
      </c>
    </row>
    <row r="188" ht="14.25">
      <c r="A188" s="62"/>
      <c r="B188" s="62"/>
      <c r="C188" s="62" t="s">
        <v>69</v>
      </c>
      <c r="D188" s="62" t="s">
        <v>70</v>
      </c>
      <c r="E188" s="63" t="s">
        <v>58</v>
      </c>
      <c r="F188" s="64">
        <f>Source!CA36</f>
        <v>55</v>
      </c>
      <c r="G188" s="64"/>
      <c r="H188" s="64">
        <f>Source!AU36</f>
        <v>55</v>
      </c>
      <c r="I188" s="65"/>
      <c r="J188" s="66"/>
      <c r="K188" s="65">
        <f>SUM(AE175:AE189)</f>
        <v>16.359999999999999</v>
      </c>
      <c r="L188" s="66"/>
      <c r="M188" s="65">
        <f>SUM(BA175:BA189)</f>
        <v>905.17000000000007</v>
      </c>
    </row>
    <row r="189" ht="15">
      <c r="D189" s="67" t="s">
        <v>61</v>
      </c>
      <c r="E189" s="67"/>
      <c r="F189" s="67"/>
      <c r="G189" s="67"/>
      <c r="H189" s="67"/>
      <c r="I189" s="67"/>
      <c r="J189" s="68">
        <f>K177+K178+K180+K187+K188+SUM(K185:K185)-SUMIF(CE185:CE185, 1, K185:K185)</f>
        <v>2349.6300000000001</v>
      </c>
      <c r="K189" s="68"/>
      <c r="O189" s="69">
        <f>K177+K178+K180+K187+K188</f>
        <v>168.13</v>
      </c>
      <c r="P189" s="69">
        <f>K178</f>
        <v>10.82</v>
      </c>
      <c r="R189" t="s">
        <v>62</v>
      </c>
      <c r="S189" s="69">
        <f>K177</f>
        <v>27.150000000000002</v>
      </c>
      <c r="U189" s="69">
        <f>K177</f>
        <v>27.150000000000002</v>
      </c>
      <c r="X189" s="69">
        <f>K179</f>
        <v>2.6000000000000001</v>
      </c>
      <c r="Z189" t="s">
        <v>62</v>
      </c>
      <c r="AA189" s="69">
        <f>K180</f>
        <v>81.670000000000002</v>
      </c>
      <c r="AD189">
        <f>Source!X36</f>
        <v>32.130000000000003</v>
      </c>
      <c r="AE189">
        <f>Source!Y36</f>
        <v>16.359999999999999</v>
      </c>
      <c r="AN189" s="69">
        <f>M177+M178+M180+M187+M188</f>
        <v>4184.54</v>
      </c>
      <c r="AO189" s="69">
        <f>M178</f>
        <v>0</v>
      </c>
      <c r="AQ189" t="s">
        <v>62</v>
      </c>
      <c r="AR189" s="69">
        <f>M177</f>
        <v>1501.9400000000001</v>
      </c>
      <c r="AT189" s="69">
        <f>M179</f>
        <v>143.83000000000001</v>
      </c>
      <c r="AV189" t="s">
        <v>62</v>
      </c>
      <c r="AW189" s="69">
        <f>M180</f>
        <v>0</v>
      </c>
      <c r="AZ189">
        <f>Source!HK36</f>
        <v>1777.4300000000001</v>
      </c>
      <c r="BA189">
        <f>Source!HL36</f>
        <v>905.17000000000007</v>
      </c>
      <c r="BH189" s="69">
        <f>K177+K178+K180+K187+K188</f>
        <v>168.13</v>
      </c>
      <c r="CD189">
        <v>1</v>
      </c>
    </row>
    <row r="190" ht="42.75">
      <c r="A190" s="54" t="s">
        <v>89</v>
      </c>
      <c r="B190" s="54" t="s">
        <v>89</v>
      </c>
      <c r="C190" s="55" t="s">
        <v>198</v>
      </c>
      <c r="D190" s="55" t="str">
        <f>Source!G38</f>
        <v xml:space="preserve">Прокладка внутренних трубопроводов канализации из полипропиленовых труб диаметром: 50 мм</v>
      </c>
      <c r="E190" s="56" t="str">
        <f>Source!H38</f>
        <v xml:space="preserve">100 м</v>
      </c>
      <c r="F190" s="57">
        <f>Source!K38</f>
        <v>0.099999999999999992</v>
      </c>
      <c r="G190" s="57"/>
      <c r="H190" s="57">
        <f>Source!I38</f>
        <v>0.099999999999999992</v>
      </c>
      <c r="I190" s="58"/>
      <c r="J190" s="59"/>
      <c r="K190" s="58"/>
      <c r="L190" s="59"/>
      <c r="M190" s="58"/>
    </row>
    <row r="191">
      <c r="D191" s="60" t="str">
        <f>"Объем: "&amp;Source!I38&amp;"=10/"&amp;"100"</f>
        <v xml:space="preserve">Объем: 0,09999999999999999=10/100</v>
      </c>
    </row>
    <row r="192" ht="14.25">
      <c r="A192" s="55"/>
      <c r="B192" s="55"/>
      <c r="C192" s="59">
        <v>1</v>
      </c>
      <c r="D192" s="55" t="s">
        <v>48</v>
      </c>
      <c r="E192" s="56"/>
      <c r="F192" s="57"/>
      <c r="G192" s="57"/>
      <c r="H192" s="57"/>
      <c r="I192" s="58">
        <f>Source!AO38</f>
        <v>563.25</v>
      </c>
      <c r="J192" s="59"/>
      <c r="K192" s="58">
        <f>ROUND(Source!AF38*Source!I38, 2)</f>
        <v>56.329999999999998</v>
      </c>
      <c r="L192" s="59">
        <f>IF(Source!BA38&lt;&gt; 0, Source!BA38, 1)</f>
        <v>55.32</v>
      </c>
      <c r="M192" s="58">
        <f>Source!HJ38</f>
        <v>3116.1800000000003</v>
      </c>
    </row>
    <row r="193" ht="14.25">
      <c r="A193" s="55"/>
      <c r="B193" s="55"/>
      <c r="C193" s="59">
        <v>2</v>
      </c>
      <c r="D193" s="55" t="s">
        <v>49</v>
      </c>
      <c r="E193" s="56"/>
      <c r="F193" s="57"/>
      <c r="G193" s="57"/>
      <c r="H193" s="57"/>
      <c r="I193" s="58">
        <f>Source!AM38</f>
        <v>8.9800000000000004</v>
      </c>
      <c r="J193" s="59"/>
      <c r="K193" s="58">
        <f>ROUND((((Source!ET38)-(Source!EU38))+Source!AE38)*Source!I38, 2)</f>
        <v>0.90000000000000002</v>
      </c>
      <c r="L193" s="59"/>
      <c r="M193" s="58"/>
    </row>
    <row r="194" ht="14.25">
      <c r="A194" s="55"/>
      <c r="B194" s="55"/>
      <c r="C194" s="59">
        <v>3</v>
      </c>
      <c r="D194" s="55" t="s">
        <v>50</v>
      </c>
      <c r="E194" s="56"/>
      <c r="F194" s="57"/>
      <c r="G194" s="57"/>
      <c r="H194" s="57"/>
      <c r="I194" s="58">
        <f>Source!AN38</f>
        <v>1.27</v>
      </c>
      <c r="J194" s="59"/>
      <c r="K194" s="61">
        <f>ROUND(Source!AE38*Source!I38, 2)</f>
        <v>0.13</v>
      </c>
      <c r="L194" s="59">
        <f>IF(Source!BS38&lt;&gt; 0, Source!BS38, 1)</f>
        <v>55.32</v>
      </c>
      <c r="M194" s="61">
        <f>Source!HI38</f>
        <v>7.1900000000000004</v>
      </c>
    </row>
    <row r="195" ht="14.25">
      <c r="A195" s="55"/>
      <c r="B195" s="55"/>
      <c r="C195" s="59">
        <v>4</v>
      </c>
      <c r="D195" s="55" t="s">
        <v>51</v>
      </c>
      <c r="E195" s="56"/>
      <c r="F195" s="57"/>
      <c r="G195" s="57"/>
      <c r="H195" s="57"/>
      <c r="I195" s="58">
        <f>Source!AL38</f>
        <v>27.16</v>
      </c>
      <c r="J195" s="59"/>
      <c r="K195" s="58">
        <f>ROUND(Source!AC38*Source!I38, 2)</f>
        <v>2.7200000000000002</v>
      </c>
      <c r="L195" s="59"/>
      <c r="M195" s="58"/>
    </row>
    <row r="196" ht="14.25">
      <c r="A196" s="55"/>
      <c r="B196" s="55"/>
      <c r="C196" s="55" t="str">
        <f>EtalonRes!I84</f>
        <v>18.1.02.01</v>
      </c>
      <c r="D196" s="55" t="str">
        <f>EtalonRes!K84</f>
        <v>Задвижки</v>
      </c>
      <c r="E196" s="56" t="str">
        <f>EtalonRes!O84</f>
        <v>ШТ</v>
      </c>
      <c r="F196" s="57">
        <f>EtalonRes!X84</f>
        <v>0</v>
      </c>
      <c r="G196" s="57"/>
      <c r="H196" s="57">
        <f>ROUND(EtalonRes!AG84*Source!I38, 7)</f>
        <v>0</v>
      </c>
      <c r="I196" s="58"/>
      <c r="J196" s="59"/>
      <c r="K196" s="58"/>
      <c r="L196" s="59"/>
      <c r="M196" s="58"/>
    </row>
    <row r="197" ht="14.25">
      <c r="A197" s="55"/>
      <c r="B197" s="55"/>
      <c r="C197" s="55" t="str">
        <f>EtalonRes!I85</f>
        <v>23.1.02.07</v>
      </c>
      <c r="D197" s="55" t="str">
        <f>EtalonRes!K85</f>
        <v>Крепления</v>
      </c>
      <c r="E197" s="56" t="str">
        <f>EtalonRes!O85</f>
        <v>кг</v>
      </c>
      <c r="F197" s="57">
        <f>EtalonRes!X85</f>
        <v>0</v>
      </c>
      <c r="G197" s="57"/>
      <c r="H197" s="57">
        <f>ROUND(EtalonRes!AG85*Source!I38, 7)</f>
        <v>0</v>
      </c>
      <c r="I197" s="58"/>
      <c r="J197" s="59"/>
      <c r="K197" s="58"/>
      <c r="L197" s="59"/>
      <c r="M197" s="58"/>
    </row>
    <row r="198" ht="28.5">
      <c r="A198" s="55"/>
      <c r="B198" s="55"/>
      <c r="C198" s="55" t="str">
        <f>EtalonRes!I86</f>
        <v>24.3.02.02</v>
      </c>
      <c r="D198" s="55" t="str">
        <f>EtalonRes!K86</f>
        <v xml:space="preserve">Трубы безнапорные канализационные из полипропилена</v>
      </c>
      <c r="E198" s="56" t="str">
        <f>EtalonRes!O86</f>
        <v>м</v>
      </c>
      <c r="F198" s="57">
        <f>EtalonRes!X86</f>
        <v>99.799999999999997</v>
      </c>
      <c r="G198" s="57"/>
      <c r="H198" s="57">
        <f>ROUND(EtalonRes!AG86*Source!I38, 7)</f>
        <v>9.9800000000000004</v>
      </c>
      <c r="I198" s="58"/>
      <c r="J198" s="59"/>
      <c r="K198" s="58"/>
      <c r="L198" s="59"/>
      <c r="M198" s="58"/>
    </row>
    <row r="199" ht="28.5">
      <c r="A199" s="55"/>
      <c r="B199" s="55"/>
      <c r="C199" s="55" t="str">
        <f>EtalonRes!I87</f>
        <v>24.3.05.19</v>
      </c>
      <c r="D199" s="55" t="str">
        <f>EtalonRes!K87</f>
        <v xml:space="preserve">Фасонные и соединительные части к полипропиленовым трубам</v>
      </c>
      <c r="E199" s="56" t="str">
        <f>EtalonRes!O87</f>
        <v>ШТ</v>
      </c>
      <c r="F199" s="57">
        <f>EtalonRes!X87</f>
        <v>0</v>
      </c>
      <c r="G199" s="57"/>
      <c r="H199" s="57">
        <f>ROUND(EtalonRes!AG87*Source!I38, 7)</f>
        <v>0</v>
      </c>
      <c r="I199" s="58"/>
      <c r="J199" s="59"/>
      <c r="K199" s="58"/>
      <c r="L199" s="59"/>
      <c r="M199" s="58"/>
    </row>
    <row r="200" ht="14.25">
      <c r="A200" s="55"/>
      <c r="B200" s="55"/>
      <c r="C200" s="55"/>
      <c r="D200" s="55" t="s">
        <v>52</v>
      </c>
      <c r="E200" s="56" t="s">
        <v>30</v>
      </c>
      <c r="F200" s="57">
        <f>Source!AQ38</f>
        <v>59.920000000000002</v>
      </c>
      <c r="G200" s="57"/>
      <c r="H200" s="57">
        <f>ROUND(Source!U38, 7)</f>
        <v>5.992</v>
      </c>
      <c r="I200" s="58"/>
      <c r="J200" s="59"/>
      <c r="K200" s="58"/>
      <c r="L200" s="59"/>
      <c r="M200" s="58"/>
    </row>
    <row r="201" ht="14.25">
      <c r="A201" s="55"/>
      <c r="B201" s="55"/>
      <c r="C201" s="55"/>
      <c r="D201" s="62" t="s">
        <v>53</v>
      </c>
      <c r="E201" s="63" t="s">
        <v>30</v>
      </c>
      <c r="F201" s="64">
        <f>Source!AR38</f>
        <v>0.10000000000000001</v>
      </c>
      <c r="G201" s="64"/>
      <c r="H201" s="64">
        <f>ROUND(Source!V38, 7)</f>
        <v>0.01</v>
      </c>
      <c r="I201" s="65"/>
      <c r="J201" s="66"/>
      <c r="K201" s="65"/>
      <c r="L201" s="66"/>
      <c r="M201" s="65"/>
    </row>
    <row r="202" ht="14.25">
      <c r="A202" s="55"/>
      <c r="B202" s="55"/>
      <c r="C202" s="55"/>
      <c r="D202" s="55" t="s">
        <v>54</v>
      </c>
      <c r="E202" s="56"/>
      <c r="F202" s="57"/>
      <c r="G202" s="57"/>
      <c r="H202" s="57"/>
      <c r="I202" s="58">
        <f>I192+I193+I195</f>
        <v>599.38999999999999</v>
      </c>
      <c r="J202" s="59"/>
      <c r="K202" s="58">
        <f>K192+K193+K195</f>
        <v>59.949999999999996</v>
      </c>
      <c r="L202" s="59"/>
      <c r="M202" s="58"/>
    </row>
    <row r="203" ht="28.5">
      <c r="A203" s="54" t="s">
        <v>90</v>
      </c>
      <c r="B203" s="54" t="s">
        <v>90</v>
      </c>
      <c r="C203" s="55" t="s">
        <v>199</v>
      </c>
      <c r="D203" s="55" t="str">
        <f>Source!G39</f>
        <v xml:space="preserve">Крепления для трубопроводов (кронштейны, планки, хомуты)</v>
      </c>
      <c r="E203" s="56" t="str">
        <f>Source!H39</f>
        <v>кг</v>
      </c>
      <c r="F203" s="57">
        <f>SmtRes!AT76</f>
        <v>10</v>
      </c>
      <c r="G203" s="57"/>
      <c r="H203" s="57">
        <f>Source!I39</f>
        <v>0.99999999999999989</v>
      </c>
      <c r="I203" s="58">
        <f>Source!AL39+Source!AO39+Source!AM39</f>
        <v>11.99</v>
      </c>
      <c r="J203" s="59"/>
      <c r="K203" s="58">
        <f>ROUND(Source!AC39*Source!I39, 2)+ROUND((((Source!ET39)-(Source!EU39))+Source!AE39)*Source!I39, 2)+ROUND(Source!AF39*Source!I39, 2)</f>
        <v>11.99</v>
      </c>
      <c r="L203" s="59"/>
      <c r="M203" s="58"/>
      <c r="O203">
        <f t="shared" ref="O203:O205" si="20">K203</f>
        <v>11.99</v>
      </c>
      <c r="AA203">
        <f t="shared" ref="AA203:AA205" si="21">K203</f>
        <v>11.99</v>
      </c>
      <c r="AD203">
        <f>Source!X39</f>
        <v>0</v>
      </c>
      <c r="AE203">
        <f>Source!Y39</f>
        <v>0</v>
      </c>
      <c r="AN203">
        <f t="shared" ref="AN203:AN205" si="22">M203</f>
        <v>0</v>
      </c>
      <c r="AW203">
        <f t="shared" ref="AW203:AW205" si="23">M203</f>
        <v>0</v>
      </c>
      <c r="AZ203">
        <f>Source!HK39</f>
        <v>0</v>
      </c>
      <c r="BA203">
        <f>Source!HL39</f>
        <v>0</v>
      </c>
      <c r="BH203">
        <f t="shared" ref="BH203:BH205" si="24">K203</f>
        <v>11.99</v>
      </c>
      <c r="CD203">
        <v>1</v>
      </c>
    </row>
    <row r="204" ht="28.5">
      <c r="A204" s="54" t="s">
        <v>91</v>
      </c>
      <c r="B204" s="54" t="s">
        <v>91</v>
      </c>
      <c r="C204" s="55" t="s">
        <v>200</v>
      </c>
      <c r="D204" s="55" t="str">
        <f>Source!G40</f>
        <v xml:space="preserve">Трубы полипропиленовые для систем водоотведения, диаметр 50 мм</v>
      </c>
      <c r="E204" s="56" t="str">
        <f>Source!H40</f>
        <v>м</v>
      </c>
      <c r="F204" s="57">
        <f>SmtRes!AT77</f>
        <v>99.799999999999997</v>
      </c>
      <c r="G204" s="57"/>
      <c r="H204" s="57">
        <f>Source!I40</f>
        <v>9.9799999999999986</v>
      </c>
      <c r="I204" s="58">
        <f>Source!AL40+Source!AO40+Source!AM40</f>
        <v>10.380000000000001</v>
      </c>
      <c r="J204" s="59"/>
      <c r="K204" s="58">
        <f>ROUND(Source!AC40*Source!I40,2)+ROUND((((Source!ET40)-(Source!EU40))+Source!AE40)*Source!I40,2)+ROUND(Source!AF40*Source!I40,2)</f>
        <v>103.59</v>
      </c>
      <c r="L204" s="59"/>
      <c r="M204" s="58"/>
      <c r="O204">
        <f t="shared" si="20"/>
        <v>103.59</v>
      </c>
      <c r="AA204">
        <f t="shared" si="21"/>
        <v>103.59</v>
      </c>
      <c r="AD204">
        <f>Source!X40</f>
        <v>0</v>
      </c>
      <c r="AE204">
        <f>Source!Y40</f>
        <v>0</v>
      </c>
      <c r="AN204">
        <f t="shared" si="22"/>
        <v>0</v>
      </c>
      <c r="AW204">
        <f t="shared" si="23"/>
        <v>0</v>
      </c>
      <c r="AZ204">
        <f>Source!HK40</f>
        <v>0</v>
      </c>
      <c r="BA204">
        <f>Source!HL40</f>
        <v>0</v>
      </c>
      <c r="BH204">
        <f t="shared" si="24"/>
        <v>103.59</v>
      </c>
      <c r="CD204">
        <v>1</v>
      </c>
    </row>
    <row r="205" ht="42.75">
      <c r="A205" s="54" t="s">
        <v>92</v>
      </c>
      <c r="B205" s="54" t="s">
        <v>92</v>
      </c>
      <c r="C205" s="55" t="s">
        <v>201</v>
      </c>
      <c r="D205" s="55" t="s">
        <v>93</v>
      </c>
      <c r="E205" s="56" t="str">
        <f>Source!H41</f>
        <v>ШТ</v>
      </c>
      <c r="F205" s="57">
        <f>SmtRes!AT78</f>
        <v>50</v>
      </c>
      <c r="G205" s="57"/>
      <c r="H205" s="57">
        <f>Source!I41</f>
        <v>5</v>
      </c>
      <c r="I205" s="58">
        <f>Source!AL41+Source!AO41+Source!AM41</f>
        <v>66.670000000000002</v>
      </c>
      <c r="J205" s="59"/>
      <c r="K205" s="58">
        <f>Source!P41</f>
        <v>34.910000000000004</v>
      </c>
      <c r="L205" s="59">
        <f>IF(Source!BC41&lt;&gt; 0, Source!BC41, 1)</f>
        <v>9.5500000000000007</v>
      </c>
      <c r="M205" s="58">
        <f>Source!HG41</f>
        <v>333.35000000000002</v>
      </c>
      <c r="O205">
        <f t="shared" si="20"/>
        <v>34.910000000000004</v>
      </c>
      <c r="AA205">
        <f t="shared" si="21"/>
        <v>34.910000000000004</v>
      </c>
      <c r="AB205">
        <f>K205</f>
        <v>34.910000000000004</v>
      </c>
      <c r="AD205">
        <f>Source!X41</f>
        <v>0</v>
      </c>
      <c r="AE205">
        <f>Source!Y41</f>
        <v>0</v>
      </c>
      <c r="AN205">
        <f t="shared" si="22"/>
        <v>333.35000000000002</v>
      </c>
      <c r="AW205">
        <f t="shared" si="23"/>
        <v>333.35000000000002</v>
      </c>
      <c r="AX205">
        <f>M205</f>
        <v>333.35000000000002</v>
      </c>
      <c r="AZ205">
        <f>Source!HK41</f>
        <v>0</v>
      </c>
      <c r="BA205">
        <f>Source!HL41</f>
        <v>0</v>
      </c>
      <c r="BH205">
        <f t="shared" si="24"/>
        <v>34.910000000000004</v>
      </c>
      <c r="CD205">
        <v>1</v>
      </c>
    </row>
    <row r="206" ht="14.25">
      <c r="A206" s="55"/>
      <c r="B206" s="55"/>
      <c r="C206" s="55"/>
      <c r="D206" s="55" t="s">
        <v>55</v>
      </c>
      <c r="E206" s="56"/>
      <c r="F206" s="57"/>
      <c r="G206" s="57"/>
      <c r="H206" s="57"/>
      <c r="I206" s="58"/>
      <c r="J206" s="59"/>
      <c r="K206" s="58">
        <f>SUM(S190:S209)+SUM(T190:T209)+SUM(X190:X209)+SUM(Y190:Y209)+SUM(Z190:Z209)</f>
        <v>56.460000000000001</v>
      </c>
      <c r="L206" s="59"/>
      <c r="M206" s="58">
        <f>SUM(AR190:AR209)+SUM(AS190:AS209)+SUM(AT190:AT209)+SUM(AU190:AU209)+SUM(AV190:AV209)</f>
        <v>3123.3700000000003</v>
      </c>
    </row>
    <row r="207" ht="71.25">
      <c r="A207" s="55"/>
      <c r="B207" s="55"/>
      <c r="C207" s="55" t="s">
        <v>79</v>
      </c>
      <c r="D207" s="55" t="s">
        <v>80</v>
      </c>
      <c r="E207" s="56" t="s">
        <v>58</v>
      </c>
      <c r="F207" s="57">
        <f>Source!BZ38</f>
        <v>121</v>
      </c>
      <c r="G207" s="57"/>
      <c r="H207" s="57">
        <f>Source!AT38</f>
        <v>121</v>
      </c>
      <c r="I207" s="58"/>
      <c r="J207" s="59"/>
      <c r="K207" s="58">
        <f>SUM(AD190:AD209)</f>
        <v>68.320000000000007</v>
      </c>
      <c r="L207" s="59"/>
      <c r="M207" s="58">
        <f>SUM(AZ190:AZ209)</f>
        <v>3779.2800000000002</v>
      </c>
    </row>
    <row r="208" ht="71.25">
      <c r="A208" s="62"/>
      <c r="B208" s="62"/>
      <c r="C208" s="62" t="s">
        <v>81</v>
      </c>
      <c r="D208" s="62" t="s">
        <v>82</v>
      </c>
      <c r="E208" s="63" t="s">
        <v>58</v>
      </c>
      <c r="F208" s="64">
        <f>Source!CA38</f>
        <v>72</v>
      </c>
      <c r="G208" s="64"/>
      <c r="H208" s="64">
        <f>Source!AU38</f>
        <v>72</v>
      </c>
      <c r="I208" s="65"/>
      <c r="J208" s="66"/>
      <c r="K208" s="65">
        <f>SUM(AE190:AE209)</f>
        <v>40.649999999999999</v>
      </c>
      <c r="L208" s="66"/>
      <c r="M208" s="65">
        <f>SUM(BA190:BA209)</f>
        <v>2248.8299999999999</v>
      </c>
    </row>
    <row r="209" ht="15">
      <c r="D209" s="67" t="s">
        <v>61</v>
      </c>
      <c r="E209" s="67"/>
      <c r="F209" s="67"/>
      <c r="G209" s="67"/>
      <c r="H209" s="67"/>
      <c r="I209" s="67"/>
      <c r="J209" s="68">
        <f>K192+K193+K195+K207+K208+SUM(K203:K205)-SUMIF(CE203:CE205, 1, K203:K205)</f>
        <v>319.41000000000003</v>
      </c>
      <c r="K209" s="68"/>
      <c r="O209" s="69">
        <f>K192+K193+K195+K207+K208</f>
        <v>168.92000000000002</v>
      </c>
      <c r="P209" s="69">
        <f>K193</f>
        <v>0.90000000000000002</v>
      </c>
      <c r="R209" t="s">
        <v>62</v>
      </c>
      <c r="S209" s="69">
        <f>K192</f>
        <v>56.329999999999998</v>
      </c>
      <c r="U209" s="69">
        <f>K192</f>
        <v>56.329999999999998</v>
      </c>
      <c r="X209" s="69">
        <f>K194</f>
        <v>0.13</v>
      </c>
      <c r="Z209" t="s">
        <v>62</v>
      </c>
      <c r="AA209" s="69">
        <f>K195</f>
        <v>2.7200000000000002</v>
      </c>
      <c r="AD209">
        <f>Source!X38</f>
        <v>68.320000000000007</v>
      </c>
      <c r="AE209">
        <f>Source!Y38</f>
        <v>40.649999999999999</v>
      </c>
      <c r="AN209" s="69">
        <f>M192+M193+M195+M207+M208</f>
        <v>9144.2900000000009</v>
      </c>
      <c r="AO209" s="69">
        <f>M193</f>
        <v>0</v>
      </c>
      <c r="AQ209" t="s">
        <v>62</v>
      </c>
      <c r="AR209" s="69">
        <f>M192</f>
        <v>3116.1800000000003</v>
      </c>
      <c r="AT209" s="69">
        <f>M194</f>
        <v>7.1900000000000004</v>
      </c>
      <c r="AV209" t="s">
        <v>62</v>
      </c>
      <c r="AW209" s="69">
        <f>M195</f>
        <v>0</v>
      </c>
      <c r="AZ209">
        <f>Source!HK38</f>
        <v>3779.2800000000002</v>
      </c>
      <c r="BA209">
        <f>Source!HL38</f>
        <v>2248.8299999999999</v>
      </c>
      <c r="BH209" s="69">
        <f>K192+K193+K195+K207+K208</f>
        <v>168.92000000000002</v>
      </c>
      <c r="CD209">
        <v>1</v>
      </c>
    </row>
    <row r="210" ht="42.75">
      <c r="A210" s="54" t="s">
        <v>94</v>
      </c>
      <c r="B210" s="54" t="s">
        <v>94</v>
      </c>
      <c r="C210" s="55" t="s">
        <v>202</v>
      </c>
      <c r="D210" s="55" t="str">
        <f>Source!G42</f>
        <v xml:space="preserve">Прокладка внутренних трубопроводов канализации из полипропиленовых труб диаметром: 110 мм</v>
      </c>
      <c r="E210" s="56" t="str">
        <f>Source!H42</f>
        <v xml:space="preserve">100 м</v>
      </c>
      <c r="F210" s="57">
        <f>Source!K42</f>
        <v>0.049999999999999996</v>
      </c>
      <c r="G210" s="57"/>
      <c r="H210" s="57">
        <f>Source!I42</f>
        <v>0.049999999999999996</v>
      </c>
      <c r="I210" s="58"/>
      <c r="J210" s="59"/>
      <c r="K210" s="58"/>
      <c r="L210" s="59"/>
      <c r="M210" s="58"/>
    </row>
    <row r="211">
      <c r="D211" s="60" t="str">
        <f>"Объем: "&amp;Source!I42&amp;"=5/"&amp;"100"</f>
        <v xml:space="preserve">Объем: 0,049999999999999996=5/100</v>
      </c>
    </row>
    <row r="212" ht="14.25">
      <c r="A212" s="55"/>
      <c r="B212" s="55"/>
      <c r="C212" s="59">
        <v>1</v>
      </c>
      <c r="D212" s="55" t="s">
        <v>48</v>
      </c>
      <c r="E212" s="56"/>
      <c r="F212" s="57"/>
      <c r="G212" s="57"/>
      <c r="H212" s="57"/>
      <c r="I212" s="58">
        <f>Source!AO42</f>
        <v>524.79999999999995</v>
      </c>
      <c r="J212" s="59"/>
      <c r="K212" s="58">
        <f>ROUND(Source!AF42*Source!I42, 2)</f>
        <v>26.240000000000002</v>
      </c>
      <c r="L212" s="59">
        <f>IF(Source!BA42&lt;&gt; 0, Source!BA42, 1)</f>
        <v>55.32</v>
      </c>
      <c r="M212" s="58">
        <f>Source!HJ42</f>
        <v>1451.6000000000001</v>
      </c>
    </row>
    <row r="213" ht="14.25">
      <c r="A213" s="55"/>
      <c r="B213" s="55"/>
      <c r="C213" s="59">
        <v>2</v>
      </c>
      <c r="D213" s="55" t="s">
        <v>49</v>
      </c>
      <c r="E213" s="56"/>
      <c r="F213" s="57"/>
      <c r="G213" s="57"/>
      <c r="H213" s="57"/>
      <c r="I213" s="58">
        <f>Source!AM42</f>
        <v>41.240000000000002</v>
      </c>
      <c r="J213" s="59"/>
      <c r="K213" s="58">
        <f>ROUND((((Source!ET42)-(Source!EU42))+Source!AE42)*Source!I42, 2)</f>
        <v>2.0600000000000001</v>
      </c>
      <c r="L213" s="59"/>
      <c r="M213" s="58"/>
    </row>
    <row r="214" ht="14.25">
      <c r="A214" s="55"/>
      <c r="B214" s="55"/>
      <c r="C214" s="59">
        <v>3</v>
      </c>
      <c r="D214" s="55" t="s">
        <v>50</v>
      </c>
      <c r="E214" s="56"/>
      <c r="F214" s="57"/>
      <c r="G214" s="57"/>
      <c r="H214" s="57"/>
      <c r="I214" s="58">
        <f>Source!AN42</f>
        <v>5.8700000000000001</v>
      </c>
      <c r="J214" s="59"/>
      <c r="K214" s="61">
        <f>ROUND(Source!AE42*Source!I42, 2)</f>
        <v>0.28999999999999998</v>
      </c>
      <c r="L214" s="59">
        <f>IF(Source!BS42&lt;&gt; 0, Source!BS42, 1)</f>
        <v>55.32</v>
      </c>
      <c r="M214" s="61">
        <f>Source!HI42</f>
        <v>16.039999999999999</v>
      </c>
    </row>
    <row r="215" ht="14.25">
      <c r="A215" s="55"/>
      <c r="B215" s="55"/>
      <c r="C215" s="59">
        <v>4</v>
      </c>
      <c r="D215" s="55" t="s">
        <v>51</v>
      </c>
      <c r="E215" s="56"/>
      <c r="F215" s="57"/>
      <c r="G215" s="57"/>
      <c r="H215" s="57"/>
      <c r="I215" s="58">
        <f>Source!AL42</f>
        <v>58.289999999999999</v>
      </c>
      <c r="J215" s="59"/>
      <c r="K215" s="58">
        <f>ROUND(Source!AC42*Source!I42, 2)</f>
        <v>2.9100000000000001</v>
      </c>
      <c r="L215" s="59"/>
      <c r="M215" s="58"/>
    </row>
    <row r="216" ht="14.25">
      <c r="A216" s="55"/>
      <c r="B216" s="55"/>
      <c r="C216" s="55" t="str">
        <f>EtalonRes!I96</f>
        <v>18.1.02.01</v>
      </c>
      <c r="D216" s="55" t="str">
        <f>EtalonRes!K96</f>
        <v>Задвижки</v>
      </c>
      <c r="E216" s="56" t="str">
        <f>EtalonRes!O96</f>
        <v>ШТ</v>
      </c>
      <c r="F216" s="57">
        <f>EtalonRes!X96</f>
        <v>0</v>
      </c>
      <c r="G216" s="57"/>
      <c r="H216" s="57">
        <f>ROUND(EtalonRes!AG96*Source!I42, 7)</f>
        <v>0</v>
      </c>
      <c r="I216" s="58"/>
      <c r="J216" s="59"/>
      <c r="K216" s="58"/>
      <c r="L216" s="59"/>
      <c r="M216" s="58"/>
    </row>
    <row r="217" ht="14.25">
      <c r="A217" s="55"/>
      <c r="B217" s="55"/>
      <c r="C217" s="55" t="str">
        <f>EtalonRes!I97</f>
        <v>23.1.02.07</v>
      </c>
      <c r="D217" s="55" t="str">
        <f>EtalonRes!K97</f>
        <v>Крепления</v>
      </c>
      <c r="E217" s="56" t="str">
        <f>EtalonRes!O97</f>
        <v>кг</v>
      </c>
      <c r="F217" s="57">
        <f>EtalonRes!X97</f>
        <v>0</v>
      </c>
      <c r="G217" s="57"/>
      <c r="H217" s="57">
        <f>ROUND(EtalonRes!AG97*Source!I42, 7)</f>
        <v>0</v>
      </c>
      <c r="I217" s="58"/>
      <c r="J217" s="59"/>
      <c r="K217" s="58"/>
      <c r="L217" s="59"/>
      <c r="M217" s="58"/>
    </row>
    <row r="218" ht="28.5">
      <c r="A218" s="55"/>
      <c r="B218" s="55"/>
      <c r="C218" s="55" t="str">
        <f>EtalonRes!I98</f>
        <v>24.3.02.02</v>
      </c>
      <c r="D218" s="55" t="str">
        <f>EtalonRes!K98</f>
        <v xml:space="preserve">Трубы безнапорные канализационные из полипропилена</v>
      </c>
      <c r="E218" s="56" t="str">
        <f>EtalonRes!O98</f>
        <v>м</v>
      </c>
      <c r="F218" s="57">
        <f>EtalonRes!X98</f>
        <v>99.799999999999997</v>
      </c>
      <c r="G218" s="57"/>
      <c r="H218" s="57">
        <f>ROUND(EtalonRes!AG98*Source!I42, 7)</f>
        <v>4.9900000000000002</v>
      </c>
      <c r="I218" s="58"/>
      <c r="J218" s="59"/>
      <c r="K218" s="58"/>
      <c r="L218" s="59"/>
      <c r="M218" s="58"/>
    </row>
    <row r="219" ht="28.5">
      <c r="A219" s="55"/>
      <c r="B219" s="55"/>
      <c r="C219" s="55" t="str">
        <f>EtalonRes!I99</f>
        <v>24.3.05.19</v>
      </c>
      <c r="D219" s="55" t="str">
        <f>EtalonRes!K99</f>
        <v xml:space="preserve">Фасонные и соединительные части к полипропиленовым трубам</v>
      </c>
      <c r="E219" s="56" t="str">
        <f>EtalonRes!O99</f>
        <v>ШТ</v>
      </c>
      <c r="F219" s="57">
        <f>EtalonRes!X99</f>
        <v>0</v>
      </c>
      <c r="G219" s="57"/>
      <c r="H219" s="57">
        <f>ROUND(EtalonRes!AG99*Source!I42, 7)</f>
        <v>0</v>
      </c>
      <c r="I219" s="58"/>
      <c r="J219" s="59"/>
      <c r="K219" s="58"/>
      <c r="L219" s="59"/>
      <c r="M219" s="58"/>
    </row>
    <row r="220" ht="14.25">
      <c r="A220" s="55"/>
      <c r="B220" s="55"/>
      <c r="C220" s="55"/>
      <c r="D220" s="55" t="s">
        <v>52</v>
      </c>
      <c r="E220" s="56" t="s">
        <v>30</v>
      </c>
      <c r="F220" s="57">
        <f>Source!AQ42</f>
        <v>55.829999999999998</v>
      </c>
      <c r="G220" s="57"/>
      <c r="H220" s="57">
        <f>ROUND(Source!U42, 7)</f>
        <v>2.7915000000000001</v>
      </c>
      <c r="I220" s="58"/>
      <c r="J220" s="59"/>
      <c r="K220" s="58"/>
      <c r="L220" s="59"/>
      <c r="M220" s="58"/>
    </row>
    <row r="221" ht="14.25">
      <c r="A221" s="55"/>
      <c r="B221" s="55"/>
      <c r="C221" s="55"/>
      <c r="D221" s="62" t="s">
        <v>53</v>
      </c>
      <c r="E221" s="63" t="s">
        <v>30</v>
      </c>
      <c r="F221" s="64">
        <f>Source!AR42</f>
        <v>0.46000000000000002</v>
      </c>
      <c r="G221" s="64"/>
      <c r="H221" s="64">
        <f>ROUND(Source!V42, 7)</f>
        <v>0.023</v>
      </c>
      <c r="I221" s="65"/>
      <c r="J221" s="66"/>
      <c r="K221" s="65"/>
      <c r="L221" s="66"/>
      <c r="M221" s="65"/>
    </row>
    <row r="222" ht="14.25">
      <c r="A222" s="55"/>
      <c r="B222" s="55"/>
      <c r="C222" s="55"/>
      <c r="D222" s="55" t="s">
        <v>54</v>
      </c>
      <c r="E222" s="56"/>
      <c r="F222" s="57"/>
      <c r="G222" s="57"/>
      <c r="H222" s="57"/>
      <c r="I222" s="58">
        <f>I212+I213+I215</f>
        <v>624.32999999999993</v>
      </c>
      <c r="J222" s="59"/>
      <c r="K222" s="58">
        <f>K212+K213+K215</f>
        <v>31.210000000000001</v>
      </c>
      <c r="L222" s="59"/>
      <c r="M222" s="58"/>
    </row>
    <row r="223" ht="28.5">
      <c r="A223" s="54" t="s">
        <v>95</v>
      </c>
      <c r="B223" s="54" t="s">
        <v>95</v>
      </c>
      <c r="C223" s="55" t="s">
        <v>199</v>
      </c>
      <c r="D223" s="55" t="str">
        <f>Source!G43</f>
        <v xml:space="preserve">Крепления для трубопроводов (кронштейны, планки, хомуты)</v>
      </c>
      <c r="E223" s="56" t="str">
        <f>Source!H43</f>
        <v>кг</v>
      </c>
      <c r="F223" s="57">
        <f>SmtRes!AT87</f>
        <v>10</v>
      </c>
      <c r="G223" s="57"/>
      <c r="H223" s="57">
        <f>Source!I43</f>
        <v>0.49999999999999994</v>
      </c>
      <c r="I223" s="58">
        <f>Source!AL43+Source!AO43+Source!AM43</f>
        <v>11.99</v>
      </c>
      <c r="J223" s="59"/>
      <c r="K223" s="58">
        <f>ROUND(Source!AC43*Source!I43, 2)+ROUND((((Source!ET43)-(Source!EU43))+Source!AE43)*Source!I43, 2)+ROUND(Source!AF43*Source!I43, 2)</f>
        <v>6</v>
      </c>
      <c r="L223" s="59"/>
      <c r="M223" s="58"/>
      <c r="O223">
        <f t="shared" ref="O223:O225" si="25">K223</f>
        <v>6</v>
      </c>
      <c r="AA223">
        <f t="shared" ref="AA223:AA225" si="26">K223</f>
        <v>6</v>
      </c>
      <c r="AD223">
        <f>Source!X43</f>
        <v>0</v>
      </c>
      <c r="AE223">
        <f>Source!Y43</f>
        <v>0</v>
      </c>
      <c r="AN223">
        <f t="shared" ref="AN223:AN225" si="27">M223</f>
        <v>0</v>
      </c>
      <c r="AW223">
        <f t="shared" ref="AW223:AW225" si="28">M223</f>
        <v>0</v>
      </c>
      <c r="AZ223">
        <f>Source!HK43</f>
        <v>0</v>
      </c>
      <c r="BA223">
        <f>Source!HL43</f>
        <v>0</v>
      </c>
      <c r="BH223">
        <f t="shared" ref="BH223:BH225" si="29">K223</f>
        <v>6</v>
      </c>
      <c r="CD223">
        <v>1</v>
      </c>
    </row>
    <row r="224" ht="28.5">
      <c r="A224" s="54" t="s">
        <v>96</v>
      </c>
      <c r="B224" s="54" t="s">
        <v>96</v>
      </c>
      <c r="C224" s="55" t="s">
        <v>203</v>
      </c>
      <c r="D224" s="55" t="str">
        <f>Source!G44</f>
        <v xml:space="preserve">Трубы полипропиленовые для систем водоотведения, диаметр 110 мм</v>
      </c>
      <c r="E224" s="56" t="str">
        <f>Source!H44</f>
        <v>м</v>
      </c>
      <c r="F224" s="57">
        <f>SmtRes!AT88</f>
        <v>99.799999999999997</v>
      </c>
      <c r="G224" s="57"/>
      <c r="H224" s="57">
        <f>Source!I44</f>
        <v>4.9899999999999993</v>
      </c>
      <c r="I224" s="58">
        <f>Source!AL44+Source!AO44+Source!AM44</f>
        <v>43.520000000000003</v>
      </c>
      <c r="J224" s="59"/>
      <c r="K224" s="58">
        <f>ROUND(Source!AC44*Source!I44,2)+ROUND((((Source!ET44)-(Source!EU44))+Source!AE44)*Source!I44,2)+ROUND(Source!AF44*Source!I44,2)</f>
        <v>217.16</v>
      </c>
      <c r="L224" s="59"/>
      <c r="M224" s="58"/>
      <c r="O224">
        <f t="shared" si="25"/>
        <v>217.16</v>
      </c>
      <c r="AA224">
        <f t="shared" si="26"/>
        <v>217.16</v>
      </c>
      <c r="AD224">
        <f>Source!X44</f>
        <v>0</v>
      </c>
      <c r="AE224">
        <f>Source!Y44</f>
        <v>0</v>
      </c>
      <c r="AN224">
        <f t="shared" si="27"/>
        <v>0</v>
      </c>
      <c r="AW224">
        <f t="shared" si="28"/>
        <v>0</v>
      </c>
      <c r="AZ224">
        <f>Source!HK44</f>
        <v>0</v>
      </c>
      <c r="BA224">
        <f>Source!HL44</f>
        <v>0</v>
      </c>
      <c r="BH224">
        <f t="shared" si="29"/>
        <v>217.16</v>
      </c>
      <c r="CD224">
        <v>1</v>
      </c>
    </row>
    <row r="225" ht="42.75">
      <c r="A225" s="54" t="s">
        <v>97</v>
      </c>
      <c r="B225" s="54" t="s">
        <v>97</v>
      </c>
      <c r="C225" s="55" t="s">
        <v>201</v>
      </c>
      <c r="D225" s="55" t="s">
        <v>93</v>
      </c>
      <c r="E225" s="56" t="str">
        <f>Source!H45</f>
        <v>ШТ</v>
      </c>
      <c r="F225" s="57">
        <f>SmtRes!AT89</f>
        <v>100</v>
      </c>
      <c r="G225" s="57"/>
      <c r="H225" s="57">
        <f>Source!I45</f>
        <v>5</v>
      </c>
      <c r="I225" s="58">
        <f>Source!AL45+Source!AO45+Source!AM45</f>
        <v>66.670000000000002</v>
      </c>
      <c r="J225" s="59"/>
      <c r="K225" s="58">
        <f>Source!P45</f>
        <v>34.910000000000004</v>
      </c>
      <c r="L225" s="59">
        <f>IF(Source!BC45&lt;&gt; 0, Source!BC45, 1)</f>
        <v>9.5500000000000007</v>
      </c>
      <c r="M225" s="58">
        <f>Source!HG45</f>
        <v>333.35000000000002</v>
      </c>
      <c r="O225">
        <f t="shared" si="25"/>
        <v>34.910000000000004</v>
      </c>
      <c r="AA225">
        <f t="shared" si="26"/>
        <v>34.910000000000004</v>
      </c>
      <c r="AB225">
        <f>K225</f>
        <v>34.910000000000004</v>
      </c>
      <c r="AD225">
        <f>Source!X45</f>
        <v>0</v>
      </c>
      <c r="AE225">
        <f>Source!Y45</f>
        <v>0</v>
      </c>
      <c r="AN225">
        <f t="shared" si="27"/>
        <v>333.35000000000002</v>
      </c>
      <c r="AW225">
        <f t="shared" si="28"/>
        <v>333.35000000000002</v>
      </c>
      <c r="AX225">
        <f>M225</f>
        <v>333.35000000000002</v>
      </c>
      <c r="AZ225">
        <f>Source!HK45</f>
        <v>0</v>
      </c>
      <c r="BA225">
        <f>Source!HL45</f>
        <v>0</v>
      </c>
      <c r="BH225">
        <f t="shared" si="29"/>
        <v>34.910000000000004</v>
      </c>
      <c r="CD225">
        <v>1</v>
      </c>
    </row>
    <row r="226" ht="14.25">
      <c r="A226" s="55"/>
      <c r="B226" s="55"/>
      <c r="C226" s="55"/>
      <c r="D226" s="55" t="s">
        <v>55</v>
      </c>
      <c r="E226" s="56"/>
      <c r="F226" s="57"/>
      <c r="G226" s="57"/>
      <c r="H226" s="57"/>
      <c r="I226" s="58"/>
      <c r="J226" s="59"/>
      <c r="K226" s="58">
        <f>SUM(S210:S229)+SUM(T210:T229)+SUM(X210:X229)+SUM(Y210:Y229)+SUM(Z210:Z229)</f>
        <v>26.530000000000001</v>
      </c>
      <c r="L226" s="59"/>
      <c r="M226" s="58">
        <f>SUM(AR210:AR229)+SUM(AS210:AS229)+SUM(AT210:AT229)+SUM(AU210:AU229)+SUM(AV210:AV229)</f>
        <v>1467.6400000000001</v>
      </c>
    </row>
    <row r="227" ht="71.25">
      <c r="A227" s="55"/>
      <c r="B227" s="55"/>
      <c r="C227" s="55" t="s">
        <v>79</v>
      </c>
      <c r="D227" s="55" t="s">
        <v>80</v>
      </c>
      <c r="E227" s="56" t="s">
        <v>58</v>
      </c>
      <c r="F227" s="57">
        <f>Source!BZ42</f>
        <v>121</v>
      </c>
      <c r="G227" s="57"/>
      <c r="H227" s="57">
        <f>Source!AT42</f>
        <v>121</v>
      </c>
      <c r="I227" s="58"/>
      <c r="J227" s="59"/>
      <c r="K227" s="58">
        <f>SUM(AD210:AD229)</f>
        <v>32.100000000000001</v>
      </c>
      <c r="L227" s="59"/>
      <c r="M227" s="58">
        <f>SUM(AZ210:AZ229)</f>
        <v>1775.8400000000001</v>
      </c>
    </row>
    <row r="228" ht="71.25">
      <c r="A228" s="62"/>
      <c r="B228" s="62"/>
      <c r="C228" s="62" t="s">
        <v>81</v>
      </c>
      <c r="D228" s="62" t="s">
        <v>82</v>
      </c>
      <c r="E228" s="63" t="s">
        <v>58</v>
      </c>
      <c r="F228" s="64">
        <f>Source!CA42</f>
        <v>72</v>
      </c>
      <c r="G228" s="64"/>
      <c r="H228" s="64">
        <f>Source!AU42</f>
        <v>72</v>
      </c>
      <c r="I228" s="65"/>
      <c r="J228" s="66"/>
      <c r="K228" s="65">
        <f>SUM(AE210:AE229)</f>
        <v>19.100000000000001</v>
      </c>
      <c r="L228" s="66"/>
      <c r="M228" s="65">
        <f>SUM(BA210:BA229)</f>
        <v>1056.7</v>
      </c>
    </row>
    <row r="229" ht="15">
      <c r="D229" s="67" t="s">
        <v>61</v>
      </c>
      <c r="E229" s="67"/>
      <c r="F229" s="67"/>
      <c r="G229" s="67"/>
      <c r="H229" s="67"/>
      <c r="I229" s="67"/>
      <c r="J229" s="68">
        <f>K212+K213+K215+K227+K228+SUM(K223:K225)-SUMIF(CE223:CE225, 1, K223:K225)</f>
        <v>340.48000000000002</v>
      </c>
      <c r="K229" s="68"/>
      <c r="O229" s="69">
        <f>K212+K213+K215+K227+K228</f>
        <v>82.409999999999997</v>
      </c>
      <c r="P229" s="69">
        <f>K213</f>
        <v>2.0600000000000001</v>
      </c>
      <c r="R229" t="s">
        <v>62</v>
      </c>
      <c r="S229" s="69">
        <f>K212</f>
        <v>26.240000000000002</v>
      </c>
      <c r="U229" s="69">
        <f>K212</f>
        <v>26.240000000000002</v>
      </c>
      <c r="X229" s="69">
        <f>K214</f>
        <v>0.28999999999999998</v>
      </c>
      <c r="Z229" t="s">
        <v>62</v>
      </c>
      <c r="AA229" s="69">
        <f>K215</f>
        <v>2.9100000000000001</v>
      </c>
      <c r="AD229">
        <f>Source!X42</f>
        <v>32.100000000000001</v>
      </c>
      <c r="AE229">
        <f>Source!Y42</f>
        <v>19.100000000000001</v>
      </c>
      <c r="AN229" s="69">
        <f>M212+M213+M215+M227+M228</f>
        <v>4284.1400000000003</v>
      </c>
      <c r="AO229" s="69">
        <f>M213</f>
        <v>0</v>
      </c>
      <c r="AQ229" t="s">
        <v>62</v>
      </c>
      <c r="AR229" s="69">
        <f>M212</f>
        <v>1451.6000000000001</v>
      </c>
      <c r="AT229" s="69">
        <f>M214</f>
        <v>16.039999999999999</v>
      </c>
      <c r="AV229" t="s">
        <v>62</v>
      </c>
      <c r="AW229" s="69">
        <f>M215</f>
        <v>0</v>
      </c>
      <c r="AZ229">
        <f>Source!HK42</f>
        <v>1775.8400000000001</v>
      </c>
      <c r="BA229">
        <f>Source!HL42</f>
        <v>1056.7</v>
      </c>
      <c r="BH229" s="69">
        <f>K212+K213+K215+K227+K228</f>
        <v>82.409999999999997</v>
      </c>
      <c r="CD229">
        <v>1</v>
      </c>
    </row>
    <row r="230" ht="71.25">
      <c r="A230" s="54" t="s">
        <v>98</v>
      </c>
      <c r="B230" s="54" t="s">
        <v>98</v>
      </c>
      <c r="C230" s="55" t="s">
        <v>204</v>
      </c>
      <c r="D230" s="55" t="str">
        <f>Source!G46</f>
        <v xml:space="preserve"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v>
      </c>
      <c r="E230" s="56" t="str">
        <f>Source!H46</f>
        <v xml:space="preserve">100 м</v>
      </c>
      <c r="F230" s="57">
        <f>Source!K46</f>
        <v>0.29999999999999999</v>
      </c>
      <c r="G230" s="57"/>
      <c r="H230" s="57">
        <f>Source!I46</f>
        <v>0.29999999999999999</v>
      </c>
      <c r="I230" s="58"/>
      <c r="J230" s="59"/>
      <c r="K230" s="58"/>
      <c r="L230" s="59"/>
      <c r="M230" s="58"/>
    </row>
    <row r="231">
      <c r="D231" s="60" t="str">
        <f>"Объем: "&amp;Source!I46&amp;"=30/"&amp;"100"</f>
        <v xml:space="preserve">Объем: 0,3=30/100</v>
      </c>
    </row>
    <row r="232" ht="14.25">
      <c r="A232" s="55"/>
      <c r="B232" s="55"/>
      <c r="C232" s="59">
        <v>1</v>
      </c>
      <c r="D232" s="55" t="s">
        <v>48</v>
      </c>
      <c r="E232" s="56"/>
      <c r="F232" s="57"/>
      <c r="G232" s="57"/>
      <c r="H232" s="57"/>
      <c r="I232" s="58">
        <f>Source!AO46</f>
        <v>123.89</v>
      </c>
      <c r="J232" s="59"/>
      <c r="K232" s="58">
        <f>ROUND(Source!AF46*Source!I46, 2)</f>
        <v>37.170000000000002</v>
      </c>
      <c r="L232" s="59">
        <f>IF(Source!BA46&lt;&gt; 0, Source!BA46, 1)</f>
        <v>55.32</v>
      </c>
      <c r="M232" s="58">
        <f>Source!HJ46</f>
        <v>2056.2400000000002</v>
      </c>
    </row>
    <row r="233" ht="14.25">
      <c r="A233" s="55"/>
      <c r="B233" s="55"/>
      <c r="C233" s="59">
        <v>2</v>
      </c>
      <c r="D233" s="55" t="s">
        <v>49</v>
      </c>
      <c r="E233" s="56"/>
      <c r="F233" s="57"/>
      <c r="G233" s="57"/>
      <c r="H233" s="57"/>
      <c r="I233" s="58">
        <f>Source!AM46</f>
        <v>40.509999999999998</v>
      </c>
      <c r="J233" s="59"/>
      <c r="K233" s="58">
        <f>ROUND((((Source!ET46)-(Source!EU46))+Source!AE46)*Source!I46, 2)</f>
        <v>12.15</v>
      </c>
      <c r="L233" s="59"/>
      <c r="M233" s="58"/>
    </row>
    <row r="234" ht="14.25">
      <c r="A234" s="55"/>
      <c r="B234" s="55"/>
      <c r="C234" s="59">
        <v>3</v>
      </c>
      <c r="D234" s="55" t="s">
        <v>50</v>
      </c>
      <c r="E234" s="56"/>
      <c r="F234" s="57"/>
      <c r="G234" s="57"/>
      <c r="H234" s="57"/>
      <c r="I234" s="58">
        <f>Source!AN46</f>
        <v>0.48999999999999999</v>
      </c>
      <c r="J234" s="59"/>
      <c r="K234" s="61">
        <f>ROUND(Source!AE46*Source!I46, 2)</f>
        <v>0.14999999999999999</v>
      </c>
      <c r="L234" s="59">
        <f>IF(Source!BS46&lt;&gt; 0, Source!BS46, 1)</f>
        <v>55.32</v>
      </c>
      <c r="M234" s="61">
        <f>Source!HI46</f>
        <v>8.3000000000000007</v>
      </c>
    </row>
    <row r="235" ht="14.25">
      <c r="A235" s="55"/>
      <c r="B235" s="55"/>
      <c r="C235" s="59">
        <v>4</v>
      </c>
      <c r="D235" s="55" t="s">
        <v>51</v>
      </c>
      <c r="E235" s="56"/>
      <c r="F235" s="57"/>
      <c r="G235" s="57"/>
      <c r="H235" s="57"/>
      <c r="I235" s="58">
        <f>Source!AL46</f>
        <v>77.510000000000005</v>
      </c>
      <c r="J235" s="59"/>
      <c r="K235" s="58">
        <f>ROUND(Source!AC46*Source!I46, 2)</f>
        <v>23.25</v>
      </c>
      <c r="L235" s="59"/>
      <c r="M235" s="58"/>
    </row>
    <row r="236" ht="14.25">
      <c r="A236" s="55"/>
      <c r="B236" s="55"/>
      <c r="C236" s="55" t="str">
        <f>EtalonRes!I108</f>
        <v>01.7.17.09</v>
      </c>
      <c r="D236" s="55" t="str">
        <f>EtalonRes!K108</f>
        <v>Буры</v>
      </c>
      <c r="E236" s="56" t="str">
        <f>EtalonRes!O108</f>
        <v>ШТ</v>
      </c>
      <c r="F236" s="57">
        <f>EtalonRes!X108</f>
        <v>0</v>
      </c>
      <c r="G236" s="57"/>
      <c r="H236" s="57">
        <f>ROUND(EtalonRes!AG108*Source!I46, 7)</f>
        <v>0</v>
      </c>
      <c r="I236" s="58"/>
      <c r="J236" s="59"/>
      <c r="K236" s="58"/>
      <c r="L236" s="59"/>
      <c r="M236" s="58"/>
    </row>
    <row r="237" ht="14.25">
      <c r="A237" s="55"/>
      <c r="B237" s="55"/>
      <c r="C237" s="55" t="str">
        <f>EtalonRes!I109</f>
        <v>18.1.09.06</v>
      </c>
      <c r="D237" s="55" t="str">
        <f>EtalonRes!K109</f>
        <v xml:space="preserve">Арматура муфтовая</v>
      </c>
      <c r="E237" s="56" t="str">
        <f>EtalonRes!O109</f>
        <v>ШТ</v>
      </c>
      <c r="F237" s="57">
        <f>EtalonRes!X109</f>
        <v>0</v>
      </c>
      <c r="G237" s="57"/>
      <c r="H237" s="57">
        <f>ROUND(EtalonRes!AG109*Source!I46, 7)</f>
        <v>0</v>
      </c>
      <c r="I237" s="58"/>
      <c r="J237" s="59"/>
      <c r="K237" s="58"/>
      <c r="L237" s="59"/>
      <c r="M237" s="58"/>
    </row>
    <row r="238" ht="14.25">
      <c r="A238" s="55"/>
      <c r="B238" s="55"/>
      <c r="C238" s="55" t="str">
        <f>EtalonRes!I110</f>
        <v>24.1.02.01</v>
      </c>
      <c r="D238" s="55" t="str">
        <f>EtalonRes!K110</f>
        <v xml:space="preserve">Хомуты для крепления труб</v>
      </c>
      <c r="E238" s="56" t="str">
        <f>EtalonRes!O110</f>
        <v xml:space="preserve">10 ШТ</v>
      </c>
      <c r="F238" s="57">
        <f>EtalonRes!X110</f>
        <v>14.300000000000001</v>
      </c>
      <c r="G238" s="57"/>
      <c r="H238" s="57">
        <f>ROUND(EtalonRes!AG110*Source!I46, 7)</f>
        <v>4.29</v>
      </c>
      <c r="I238" s="58"/>
      <c r="J238" s="59"/>
      <c r="K238" s="58"/>
      <c r="L238" s="59"/>
      <c r="M238" s="58"/>
    </row>
    <row r="239" ht="14.25">
      <c r="A239" s="55"/>
      <c r="B239" s="55"/>
      <c r="C239" s="55" t="str">
        <f>EtalonRes!I111</f>
        <v>24.3.02.05</v>
      </c>
      <c r="D239" s="55" t="str">
        <f>EtalonRes!K111</f>
        <v xml:space="preserve">Труба напорная из полипропилена</v>
      </c>
      <c r="E239" s="56" t="str">
        <f>EtalonRes!O111</f>
        <v>м</v>
      </c>
      <c r="F239" s="57">
        <f>EtalonRes!X111</f>
        <v>102.5</v>
      </c>
      <c r="G239" s="57"/>
      <c r="H239" s="57">
        <f>ROUND(EtalonRes!AG111*Source!I46, 7)</f>
        <v>30.75</v>
      </c>
      <c r="I239" s="58"/>
      <c r="J239" s="59"/>
      <c r="K239" s="58"/>
      <c r="L239" s="59"/>
      <c r="M239" s="58"/>
    </row>
    <row r="240" ht="14.25">
      <c r="A240" s="55"/>
      <c r="B240" s="55"/>
      <c r="C240" s="55" t="str">
        <f>EtalonRes!I112</f>
        <v>24.3.05.19</v>
      </c>
      <c r="D240" s="55" t="str">
        <f>EtalonRes!K112</f>
        <v xml:space="preserve">Фасонные и соединительные части</v>
      </c>
      <c r="E240" s="56" t="str">
        <f>EtalonRes!O112</f>
        <v>ШТ</v>
      </c>
      <c r="F240" s="57">
        <f>EtalonRes!X112</f>
        <v>0</v>
      </c>
      <c r="G240" s="57"/>
      <c r="H240" s="57">
        <f>ROUND(EtalonRes!AG112*Source!I46, 7)</f>
        <v>0</v>
      </c>
      <c r="I240" s="58"/>
      <c r="J240" s="59"/>
      <c r="K240" s="58"/>
      <c r="L240" s="59"/>
      <c r="M240" s="58"/>
    </row>
    <row r="241" ht="14.25">
      <c r="A241" s="55"/>
      <c r="B241" s="55"/>
      <c r="C241" s="55"/>
      <c r="D241" s="55" t="s">
        <v>52</v>
      </c>
      <c r="E241" s="56" t="s">
        <v>30</v>
      </c>
      <c r="F241" s="57">
        <f>Source!AQ46</f>
        <v>13.18</v>
      </c>
      <c r="G241" s="57"/>
      <c r="H241" s="57">
        <f>ROUND(Source!U46, 7)</f>
        <v>3.9539999999999997</v>
      </c>
      <c r="I241" s="58"/>
      <c r="J241" s="59"/>
      <c r="K241" s="58"/>
      <c r="L241" s="59"/>
      <c r="M241" s="58"/>
    </row>
    <row r="242" ht="14.25">
      <c r="A242" s="55"/>
      <c r="B242" s="55"/>
      <c r="C242" s="55"/>
      <c r="D242" s="62" t="s">
        <v>53</v>
      </c>
      <c r="E242" s="63" t="s">
        <v>30</v>
      </c>
      <c r="F242" s="64">
        <f>Source!AR46</f>
        <v>0.040000000000000001</v>
      </c>
      <c r="G242" s="64"/>
      <c r="H242" s="64">
        <f>ROUND(Source!V46, 7)</f>
        <v>0.012</v>
      </c>
      <c r="I242" s="65"/>
      <c r="J242" s="66"/>
      <c r="K242" s="65"/>
      <c r="L242" s="66"/>
      <c r="M242" s="65"/>
    </row>
    <row r="243" ht="14.25">
      <c r="A243" s="55"/>
      <c r="B243" s="55"/>
      <c r="C243" s="55"/>
      <c r="D243" s="55" t="s">
        <v>54</v>
      </c>
      <c r="E243" s="56"/>
      <c r="F243" s="57"/>
      <c r="G243" s="57"/>
      <c r="H243" s="57"/>
      <c r="I243" s="58">
        <f>I232+I233+I235</f>
        <v>241.91000000000003</v>
      </c>
      <c r="J243" s="59"/>
      <c r="K243" s="58">
        <f>K232+K233+K235</f>
        <v>72.569999999999993</v>
      </c>
      <c r="L243" s="59"/>
      <c r="M243" s="58"/>
    </row>
    <row r="244" ht="71.25">
      <c r="A244" s="54" t="s">
        <v>99</v>
      </c>
      <c r="B244" s="54" t="s">
        <v>99</v>
      </c>
      <c r="C244" s="55" t="s">
        <v>205</v>
      </c>
      <c r="D244" s="55" t="str">
        <f>Source!G47</f>
        <v xml:space="preserve">Кран шаровой 11Б27п1, номинальное давление 1,0 МПа (10 кгс/см2), номинальный диаметр 25 мм, присоединение к трубопроводу муфтовое</v>
      </c>
      <c r="E244" s="56" t="str">
        <f>Source!H47</f>
        <v>ШТ</v>
      </c>
      <c r="F244" s="57">
        <f>SmtRes!AT98</f>
        <v>43.3333333</v>
      </c>
      <c r="G244" s="57"/>
      <c r="H244" s="57">
        <f>Source!I47</f>
        <v>13</v>
      </c>
      <c r="I244" s="58">
        <f>Source!AL47+Source!AO47+Source!AM47</f>
        <v>33.280000000000001</v>
      </c>
      <c r="J244" s="59"/>
      <c r="K244" s="58">
        <f>ROUND(Source!AC47*Source!I47, 2)+ROUND((((Source!ET47)-(Source!EU47))+Source!AE47)*Source!I47, 2)+ROUND(Source!AF47*Source!I47, 2)</f>
        <v>432.63999999999999</v>
      </c>
      <c r="L244" s="59"/>
      <c r="M244" s="58"/>
      <c r="O244">
        <f t="shared" ref="O244:O247" si="30">K244</f>
        <v>432.63999999999999</v>
      </c>
      <c r="AA244">
        <f t="shared" ref="AA244:AA247" si="31">K244</f>
        <v>432.63999999999999</v>
      </c>
      <c r="AD244">
        <f>Source!X47</f>
        <v>0</v>
      </c>
      <c r="AE244">
        <f>Source!Y47</f>
        <v>0</v>
      </c>
      <c r="AN244">
        <f t="shared" ref="AN244:AN247" si="32">M244</f>
        <v>0</v>
      </c>
      <c r="AW244">
        <f t="shared" ref="AW244:AW247" si="33">M244</f>
        <v>0</v>
      </c>
      <c r="AZ244">
        <f>Source!HK47</f>
        <v>0</v>
      </c>
      <c r="BA244">
        <f>Source!HL47</f>
        <v>0</v>
      </c>
      <c r="BH244">
        <f t="shared" ref="BH244:BH247" si="34">K244</f>
        <v>432.63999999999999</v>
      </c>
      <c r="CD244">
        <v>1</v>
      </c>
    </row>
    <row r="245" ht="28.5">
      <c r="A245" s="54" t="s">
        <v>100</v>
      </c>
      <c r="B245" s="54" t="s">
        <v>100</v>
      </c>
      <c r="C245" s="55" t="s">
        <v>206</v>
      </c>
      <c r="D245" s="55" t="str">
        <f>Source!G48</f>
        <v xml:space="preserve">Хомуты с быстродействующим замком для крепления труб размером 25-30 мм</v>
      </c>
      <c r="E245" s="56" t="str">
        <f>Source!H48</f>
        <v>ШТ</v>
      </c>
      <c r="F245" s="57">
        <f>SmtRes!AT99</f>
        <v>100</v>
      </c>
      <c r="G245" s="57"/>
      <c r="H245" s="57">
        <f>Source!I48</f>
        <v>30</v>
      </c>
      <c r="I245" s="58">
        <f>Source!AL48+Source!AO48+Source!AM48</f>
        <v>10.369999999999999</v>
      </c>
      <c r="J245" s="59"/>
      <c r="K245" s="58">
        <f>ROUND(Source!AC48*Source!I48,2)+ROUND((((Source!ET48)-(Source!EU48))+Source!AE48)*Source!I48,2)+ROUND(Source!AF48*Source!I48,2)</f>
        <v>311.10000000000002</v>
      </c>
      <c r="L245" s="59"/>
      <c r="M245" s="58"/>
      <c r="O245">
        <f t="shared" si="30"/>
        <v>311.10000000000002</v>
      </c>
      <c r="AA245">
        <f t="shared" si="31"/>
        <v>311.10000000000002</v>
      </c>
      <c r="AD245">
        <f>Source!X48</f>
        <v>0</v>
      </c>
      <c r="AE245">
        <f>Source!Y48</f>
        <v>0</v>
      </c>
      <c r="AN245">
        <f t="shared" si="32"/>
        <v>0</v>
      </c>
      <c r="AW245">
        <f t="shared" si="33"/>
        <v>0</v>
      </c>
      <c r="AZ245">
        <f>Source!HK48</f>
        <v>0</v>
      </c>
      <c r="BA245">
        <f>Source!HL48</f>
        <v>0</v>
      </c>
      <c r="BH245">
        <f t="shared" si="34"/>
        <v>311.10000000000002</v>
      </c>
      <c r="CD245">
        <v>1</v>
      </c>
    </row>
    <row r="246" ht="42.75">
      <c r="A246" s="54" t="s">
        <v>101</v>
      </c>
      <c r="B246" s="54" t="s">
        <v>101</v>
      </c>
      <c r="C246" s="55" t="s">
        <v>207</v>
      </c>
      <c r="D246" s="55" t="str">
        <f>Source!G49</f>
        <v xml:space="preserve">Трубы полипропиленовые ПП-Р, номинальное давление 1,0 МПа, номинальный наружный диаметр 25 мм</v>
      </c>
      <c r="E246" s="56" t="str">
        <f>Source!H49</f>
        <v>м</v>
      </c>
      <c r="F246" s="57">
        <f>SmtRes!AT100</f>
        <v>102.5</v>
      </c>
      <c r="G246" s="57"/>
      <c r="H246" s="57">
        <f>Source!I49</f>
        <v>30.75</v>
      </c>
      <c r="I246" s="58">
        <f>Source!AL49+Source!AO49+Source!AM49</f>
        <v>5.54</v>
      </c>
      <c r="J246" s="59"/>
      <c r="K246" s="58">
        <f>ROUND(Source!AC49*Source!I49,2)+ROUND((((Source!ET49)-(Source!EU49))+Source!AE49)*Source!I49,2)+ROUND(Source!AF49*Source!I49,2)</f>
        <v>170.36000000000001</v>
      </c>
      <c r="L246" s="59"/>
      <c r="M246" s="58"/>
      <c r="O246">
        <f t="shared" si="30"/>
        <v>170.36000000000001</v>
      </c>
      <c r="AA246">
        <f t="shared" si="31"/>
        <v>170.36000000000001</v>
      </c>
      <c r="AD246">
        <f>Source!X49</f>
        <v>0</v>
      </c>
      <c r="AE246">
        <f>Source!Y49</f>
        <v>0</v>
      </c>
      <c r="AN246">
        <f t="shared" si="32"/>
        <v>0</v>
      </c>
      <c r="AW246">
        <f t="shared" si="33"/>
        <v>0</v>
      </c>
      <c r="AZ246">
        <f>Source!HK49</f>
        <v>0</v>
      </c>
      <c r="BA246">
        <f>Source!HL49</f>
        <v>0</v>
      </c>
      <c r="BH246">
        <f t="shared" si="34"/>
        <v>170.36000000000001</v>
      </c>
      <c r="CD246">
        <v>1</v>
      </c>
    </row>
    <row r="247" ht="28.5">
      <c r="A247" s="54" t="s">
        <v>102</v>
      </c>
      <c r="B247" s="54" t="s">
        <v>102</v>
      </c>
      <c r="C247" s="55" t="s">
        <v>201</v>
      </c>
      <c r="D247" s="55" t="s">
        <v>103</v>
      </c>
      <c r="E247" s="56" t="str">
        <f>Source!H50</f>
        <v>ШТ</v>
      </c>
      <c r="F247" s="57">
        <f>SmtRes!AT101</f>
        <v>33.3333333</v>
      </c>
      <c r="G247" s="57"/>
      <c r="H247" s="57">
        <f>Source!I50</f>
        <v>10</v>
      </c>
      <c r="I247" s="58">
        <f>Source!AL50+Source!AO50+Source!AM50</f>
        <v>25</v>
      </c>
      <c r="J247" s="59"/>
      <c r="K247" s="58">
        <f>Source!P50</f>
        <v>26.18</v>
      </c>
      <c r="L247" s="59">
        <f>IF(Source!BC50&lt;&gt; 0, Source!BC50, 1)</f>
        <v>9.5500000000000007</v>
      </c>
      <c r="M247" s="58">
        <f>Source!HG50</f>
        <v>250</v>
      </c>
      <c r="O247">
        <f t="shared" si="30"/>
        <v>26.18</v>
      </c>
      <c r="AA247">
        <f t="shared" si="31"/>
        <v>26.18</v>
      </c>
      <c r="AB247">
        <f>K247</f>
        <v>26.18</v>
      </c>
      <c r="AD247">
        <f>Source!X50</f>
        <v>0</v>
      </c>
      <c r="AE247">
        <f>Source!Y50</f>
        <v>0</v>
      </c>
      <c r="AN247">
        <f t="shared" si="32"/>
        <v>250</v>
      </c>
      <c r="AW247">
        <f t="shared" si="33"/>
        <v>250</v>
      </c>
      <c r="AX247">
        <f>M247</f>
        <v>250</v>
      </c>
      <c r="AZ247">
        <f>Source!HK50</f>
        <v>0</v>
      </c>
      <c r="BA247">
        <f>Source!HL50</f>
        <v>0</v>
      </c>
      <c r="BH247">
        <f t="shared" si="34"/>
        <v>26.18</v>
      </c>
      <c r="CD247">
        <v>1</v>
      </c>
    </row>
    <row r="248" ht="14.25">
      <c r="A248" s="55"/>
      <c r="B248" s="55"/>
      <c r="C248" s="55"/>
      <c r="D248" s="55" t="s">
        <v>55</v>
      </c>
      <c r="E248" s="56"/>
      <c r="F248" s="57"/>
      <c r="G248" s="57"/>
      <c r="H248" s="57"/>
      <c r="I248" s="58"/>
      <c r="J248" s="59"/>
      <c r="K248" s="58">
        <f>SUM(S230:S251)+SUM(T230:T251)+SUM(X230:X251)+SUM(Y230:Y251)+SUM(Z230:Z251)</f>
        <v>37.32</v>
      </c>
      <c r="L248" s="59"/>
      <c r="M248" s="58">
        <f>SUM(AR230:AR251)+SUM(AS230:AS251)+SUM(AT230:AT251)+SUM(AU230:AU251)+SUM(AV230:AV251)</f>
        <v>2064.5400000000004</v>
      </c>
    </row>
    <row r="249" ht="71.25">
      <c r="A249" s="55"/>
      <c r="B249" s="55"/>
      <c r="C249" s="55" t="s">
        <v>79</v>
      </c>
      <c r="D249" s="55" t="s">
        <v>80</v>
      </c>
      <c r="E249" s="56" t="s">
        <v>58</v>
      </c>
      <c r="F249" s="57">
        <f>Source!BZ46</f>
        <v>121</v>
      </c>
      <c r="G249" s="57"/>
      <c r="H249" s="57">
        <f>Source!AT46</f>
        <v>121</v>
      </c>
      <c r="I249" s="58"/>
      <c r="J249" s="59"/>
      <c r="K249" s="58">
        <f>SUM(AD230:AD251)</f>
        <v>45.160000000000004</v>
      </c>
      <c r="L249" s="59"/>
      <c r="M249" s="58">
        <f>SUM(AZ230:AZ251)</f>
        <v>2498.0900000000001</v>
      </c>
    </row>
    <row r="250" ht="71.25">
      <c r="A250" s="62"/>
      <c r="B250" s="62"/>
      <c r="C250" s="62" t="s">
        <v>81</v>
      </c>
      <c r="D250" s="62" t="s">
        <v>82</v>
      </c>
      <c r="E250" s="63" t="s">
        <v>58</v>
      </c>
      <c r="F250" s="64">
        <f>Source!CA46</f>
        <v>72</v>
      </c>
      <c r="G250" s="64"/>
      <c r="H250" s="64">
        <f>Source!AU46</f>
        <v>72</v>
      </c>
      <c r="I250" s="65"/>
      <c r="J250" s="66"/>
      <c r="K250" s="65">
        <f>SUM(AE230:AE251)</f>
        <v>26.870000000000001</v>
      </c>
      <c r="L250" s="66"/>
      <c r="M250" s="65">
        <f>SUM(BA230:BA251)</f>
        <v>1486.47</v>
      </c>
    </row>
    <row r="251" ht="15">
      <c r="D251" s="67" t="s">
        <v>61</v>
      </c>
      <c r="E251" s="67"/>
      <c r="F251" s="67"/>
      <c r="G251" s="67"/>
      <c r="H251" s="67"/>
      <c r="I251" s="67"/>
      <c r="J251" s="68">
        <f>K232+K233+K235+K249+K250+SUM(K244:K247)-SUMIF(CE244:CE247, 1, K244:K247)</f>
        <v>1084.8799999999999</v>
      </c>
      <c r="K251" s="68"/>
      <c r="O251" s="69">
        <f>K232+K233+K235+K249+K250</f>
        <v>144.59999999999999</v>
      </c>
      <c r="P251" s="69">
        <f>K233</f>
        <v>12.15</v>
      </c>
      <c r="R251" t="s">
        <v>62</v>
      </c>
      <c r="S251" s="69">
        <f>K232</f>
        <v>37.170000000000002</v>
      </c>
      <c r="U251" s="69">
        <f>K232</f>
        <v>37.170000000000002</v>
      </c>
      <c r="X251" s="69">
        <f>K234</f>
        <v>0.14999999999999999</v>
      </c>
      <c r="Z251" t="s">
        <v>62</v>
      </c>
      <c r="AA251" s="69">
        <f>K235</f>
        <v>23.25</v>
      </c>
      <c r="AD251">
        <f>Source!X46</f>
        <v>45.160000000000004</v>
      </c>
      <c r="AE251">
        <f>Source!Y46</f>
        <v>26.870000000000001</v>
      </c>
      <c r="AN251" s="69">
        <f>M232+M233+M235+M249+M250</f>
        <v>6040.8000000000002</v>
      </c>
      <c r="AO251" s="69">
        <f>M233</f>
        <v>0</v>
      </c>
      <c r="AQ251" t="s">
        <v>62</v>
      </c>
      <c r="AR251" s="69">
        <f>M232</f>
        <v>2056.2400000000002</v>
      </c>
      <c r="AT251" s="69">
        <f>M234</f>
        <v>8.3000000000000007</v>
      </c>
      <c r="AV251" t="s">
        <v>62</v>
      </c>
      <c r="AW251" s="69">
        <f>M235</f>
        <v>0</v>
      </c>
      <c r="AZ251">
        <f>Source!HK46</f>
        <v>2498.0900000000001</v>
      </c>
      <c r="BA251">
        <f>Source!HL46</f>
        <v>1486.47</v>
      </c>
      <c r="BH251" s="69">
        <f>K232+K233+K235+K249+K250</f>
        <v>144.59999999999999</v>
      </c>
      <c r="CD251">
        <v>1</v>
      </c>
    </row>
    <row r="252" ht="85.5">
      <c r="A252" s="54" t="s">
        <v>104</v>
      </c>
      <c r="B252" s="54" t="s">
        <v>104</v>
      </c>
      <c r="C252" s="55" t="s">
        <v>208</v>
      </c>
      <c r="D252" s="55" t="str">
        <f>Source!G51</f>
        <v xml:space="preserve"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25 мм</v>
      </c>
      <c r="E252" s="56" t="str">
        <f>Source!H51</f>
        <v xml:space="preserve">100 соединений</v>
      </c>
      <c r="F252" s="57">
        <f>Source!K51</f>
        <v>0.19999999999999998</v>
      </c>
      <c r="G252" s="57"/>
      <c r="H252" s="57">
        <f>Source!I51</f>
        <v>0.19999999999999998</v>
      </c>
      <c r="I252" s="58"/>
      <c r="J252" s="59"/>
      <c r="K252" s="58"/>
      <c r="L252" s="59"/>
      <c r="M252" s="58"/>
    </row>
    <row r="253">
      <c r="D253" s="60" t="str">
        <f>"Объем: "&amp;Source!I51&amp;"=20/"&amp;"100"</f>
        <v xml:space="preserve">Объем: 0,19999999999999998=20/100</v>
      </c>
    </row>
    <row r="254" ht="14.25">
      <c r="A254" s="55"/>
      <c r="B254" s="55"/>
      <c r="C254" s="59">
        <v>1</v>
      </c>
      <c r="D254" s="55" t="s">
        <v>48</v>
      </c>
      <c r="E254" s="56"/>
      <c r="F254" s="57"/>
      <c r="G254" s="57"/>
      <c r="H254" s="57"/>
      <c r="I254" s="58">
        <f>Source!AO51</f>
        <v>23.890000000000001</v>
      </c>
      <c r="J254" s="59"/>
      <c r="K254" s="58">
        <f>ROUND(Source!AF51*Source!I51, 2)</f>
        <v>4.7800000000000002</v>
      </c>
      <c r="L254" s="59">
        <f>IF(Source!BA51&lt;&gt; 0, Source!BA51, 1)</f>
        <v>55.32</v>
      </c>
      <c r="M254" s="58">
        <f>Source!HJ51</f>
        <v>264.43000000000001</v>
      </c>
    </row>
    <row r="255" ht="14.25">
      <c r="A255" s="55"/>
      <c r="B255" s="55"/>
      <c r="C255" s="59">
        <v>2</v>
      </c>
      <c r="D255" s="55" t="s">
        <v>49</v>
      </c>
      <c r="E255" s="56"/>
      <c r="F255" s="57"/>
      <c r="G255" s="57"/>
      <c r="H255" s="57"/>
      <c r="I255" s="58">
        <f>Source!AM51</f>
        <v>0</v>
      </c>
      <c r="J255" s="59"/>
      <c r="K255" s="58">
        <f>ROUND((((Source!ET51)-(Source!EU51))+Source!AE51)*Source!I51, 2)</f>
        <v>0</v>
      </c>
      <c r="L255" s="59"/>
      <c r="M255" s="58"/>
    </row>
    <row r="256" ht="14.25">
      <c r="A256" s="55"/>
      <c r="B256" s="55"/>
      <c r="C256" s="59">
        <v>3</v>
      </c>
      <c r="D256" s="55" t="s">
        <v>50</v>
      </c>
      <c r="E256" s="56"/>
      <c r="F256" s="57"/>
      <c r="G256" s="57"/>
      <c r="H256" s="57"/>
      <c r="I256" s="58">
        <f>Source!AN51</f>
        <v>0</v>
      </c>
      <c r="J256" s="59"/>
      <c r="K256" s="61">
        <f>ROUND(Source!AE51*Source!I51, 2)</f>
        <v>0</v>
      </c>
      <c r="L256" s="59">
        <f>IF(Source!BS51&lt;&gt; 0, Source!BS51, 1)</f>
        <v>55.32</v>
      </c>
      <c r="M256" s="61">
        <f>Source!HI51</f>
        <v>0</v>
      </c>
    </row>
    <row r="257" ht="14.25">
      <c r="A257" s="55"/>
      <c r="B257" s="55"/>
      <c r="C257" s="59">
        <v>4</v>
      </c>
      <c r="D257" s="55" t="s">
        <v>51</v>
      </c>
      <c r="E257" s="56"/>
      <c r="F257" s="57"/>
      <c r="G257" s="57"/>
      <c r="H257" s="57"/>
      <c r="I257" s="58">
        <f>Source!AL51</f>
        <v>0</v>
      </c>
      <c r="J257" s="59"/>
      <c r="K257" s="58">
        <f>ROUND(Source!AC51*Source!I51, 2)</f>
        <v>0</v>
      </c>
      <c r="L257" s="59"/>
      <c r="M257" s="58"/>
    </row>
    <row r="258" ht="14.25">
      <c r="A258" s="55"/>
      <c r="B258" s="55"/>
      <c r="C258" s="55"/>
      <c r="D258" s="55" t="s">
        <v>52</v>
      </c>
      <c r="E258" s="56" t="s">
        <v>30</v>
      </c>
      <c r="F258" s="57">
        <f>Source!AQ51</f>
        <v>2.3399999999999999</v>
      </c>
      <c r="G258" s="57"/>
      <c r="H258" s="57">
        <f>ROUND(Source!U51, 7)</f>
        <v>0.46799999999999997</v>
      </c>
      <c r="I258" s="58"/>
      <c r="J258" s="59"/>
      <c r="K258" s="58"/>
      <c r="L258" s="59"/>
      <c r="M258" s="58"/>
    </row>
    <row r="259" ht="14.25">
      <c r="A259" s="55"/>
      <c r="B259" s="55"/>
      <c r="C259" s="55"/>
      <c r="D259" s="62" t="s">
        <v>53</v>
      </c>
      <c r="E259" s="63" t="s">
        <v>30</v>
      </c>
      <c r="F259" s="64">
        <f>Source!AR51</f>
        <v>0</v>
      </c>
      <c r="G259" s="64"/>
      <c r="H259" s="64">
        <f>ROUND(Source!V51, 7)</f>
        <v>0</v>
      </c>
      <c r="I259" s="65"/>
      <c r="J259" s="66"/>
      <c r="K259" s="65"/>
      <c r="L259" s="66"/>
      <c r="M259" s="65"/>
    </row>
    <row r="260" ht="14.25">
      <c r="A260" s="55"/>
      <c r="B260" s="55"/>
      <c r="C260" s="55"/>
      <c r="D260" s="55" t="s">
        <v>54</v>
      </c>
      <c r="E260" s="56"/>
      <c r="F260" s="57"/>
      <c r="G260" s="57"/>
      <c r="H260" s="57"/>
      <c r="I260" s="58">
        <f>I254+I255+I257</f>
        <v>23.890000000000001</v>
      </c>
      <c r="J260" s="59"/>
      <c r="K260" s="58">
        <f>K254+K255+K257</f>
        <v>4.7800000000000002</v>
      </c>
      <c r="L260" s="59"/>
      <c r="M260" s="58"/>
    </row>
    <row r="261" ht="14.25">
      <c r="A261" s="55"/>
      <c r="B261" s="55"/>
      <c r="C261" s="55"/>
      <c r="D261" s="55" t="s">
        <v>55</v>
      </c>
      <c r="E261" s="56"/>
      <c r="F261" s="57"/>
      <c r="G261" s="57"/>
      <c r="H261" s="57"/>
      <c r="I261" s="58"/>
      <c r="J261" s="59"/>
      <c r="K261" s="58">
        <f>SUM(S252:S264)+SUM(T252:T264)+SUM(X252:X264)+SUM(Y252:Y264)+SUM(Z252:Z264)</f>
        <v>4.7800000000000002</v>
      </c>
      <c r="L261" s="59"/>
      <c r="M261" s="58">
        <f>SUM(AR252:AR264)+SUM(AS252:AS264)+SUM(AT252:AT264)+SUM(AU252:AU264)+SUM(AV252:AV264)</f>
        <v>264.43000000000001</v>
      </c>
    </row>
    <row r="262" ht="71.25">
      <c r="A262" s="55"/>
      <c r="B262" s="55"/>
      <c r="C262" s="55" t="s">
        <v>79</v>
      </c>
      <c r="D262" s="55" t="s">
        <v>80</v>
      </c>
      <c r="E262" s="56" t="s">
        <v>58</v>
      </c>
      <c r="F262" s="57">
        <f>Source!BZ51</f>
        <v>121</v>
      </c>
      <c r="G262" s="57"/>
      <c r="H262" s="57">
        <f>Source!AT51</f>
        <v>121</v>
      </c>
      <c r="I262" s="58"/>
      <c r="J262" s="59"/>
      <c r="K262" s="58">
        <f>SUM(AD252:AD264)</f>
        <v>5.7800000000000002</v>
      </c>
      <c r="L262" s="59"/>
      <c r="M262" s="58">
        <f>SUM(AZ252:AZ264)</f>
        <v>319.95999999999998</v>
      </c>
    </row>
    <row r="263" ht="71.25">
      <c r="A263" s="62"/>
      <c r="B263" s="62"/>
      <c r="C263" s="62" t="s">
        <v>81</v>
      </c>
      <c r="D263" s="62" t="s">
        <v>82</v>
      </c>
      <c r="E263" s="63" t="s">
        <v>58</v>
      </c>
      <c r="F263" s="64">
        <f>Source!CA51</f>
        <v>72</v>
      </c>
      <c r="G263" s="64"/>
      <c r="H263" s="64">
        <f>Source!AU51</f>
        <v>72</v>
      </c>
      <c r="I263" s="65"/>
      <c r="J263" s="66"/>
      <c r="K263" s="65">
        <f>SUM(AE252:AE264)</f>
        <v>3.4399999999999999</v>
      </c>
      <c r="L263" s="66"/>
      <c r="M263" s="65">
        <f>SUM(BA252:BA264)</f>
        <v>190.39000000000001</v>
      </c>
    </row>
    <row r="264" ht="15">
      <c r="D264" s="67" t="s">
        <v>61</v>
      </c>
      <c r="E264" s="67"/>
      <c r="F264" s="67"/>
      <c r="G264" s="67"/>
      <c r="H264" s="67"/>
      <c r="I264" s="67"/>
      <c r="J264" s="68">
        <f>K254+K255+K257+K262+K263</f>
        <v>14</v>
      </c>
      <c r="K264" s="68"/>
      <c r="O264" s="69">
        <f>K254+K255+K257+K262+K263</f>
        <v>14</v>
      </c>
      <c r="P264" s="69">
        <f>K255</f>
        <v>0</v>
      </c>
      <c r="R264" t="s">
        <v>62</v>
      </c>
      <c r="S264" s="69">
        <f>K254</f>
        <v>4.7800000000000002</v>
      </c>
      <c r="U264" s="69">
        <f>K254</f>
        <v>4.7800000000000002</v>
      </c>
      <c r="X264" s="69">
        <f>K256</f>
        <v>0</v>
      </c>
      <c r="Z264" t="s">
        <v>62</v>
      </c>
      <c r="AA264" s="69">
        <f>K257</f>
        <v>0</v>
      </c>
      <c r="AD264">
        <f>Source!X51</f>
        <v>5.7800000000000002</v>
      </c>
      <c r="AE264">
        <f>Source!Y51</f>
        <v>3.4399999999999999</v>
      </c>
      <c r="AN264" s="69">
        <f>M254+M255+M257+M262+M263</f>
        <v>774.77999999999997</v>
      </c>
      <c r="AO264" s="69">
        <f>M255</f>
        <v>0</v>
      </c>
      <c r="AQ264" t="s">
        <v>62</v>
      </c>
      <c r="AR264" s="69">
        <f>M254</f>
        <v>264.43000000000001</v>
      </c>
      <c r="AT264" s="69">
        <f>M256</f>
        <v>0</v>
      </c>
      <c r="AV264" t="s">
        <v>62</v>
      </c>
      <c r="AW264" s="69">
        <f>M257</f>
        <v>0</v>
      </c>
      <c r="AZ264">
        <f>Source!HK51</f>
        <v>319.95999999999998</v>
      </c>
      <c r="BA264">
        <f>Source!HL51</f>
        <v>190.39000000000001</v>
      </c>
      <c r="BH264" s="69">
        <f>K254+K255+K257+K262+K263</f>
        <v>14</v>
      </c>
      <c r="CD264">
        <v>1</v>
      </c>
    </row>
    <row r="266" ht="15">
      <c r="A266" s="71"/>
      <c r="B266" s="71"/>
      <c r="C266" s="72"/>
      <c r="D266" s="73" t="s">
        <v>209</v>
      </c>
      <c r="E266" s="73"/>
      <c r="F266" s="73"/>
      <c r="G266" s="73"/>
      <c r="H266" s="73"/>
      <c r="I266" s="73"/>
      <c r="J266" s="74"/>
      <c r="K266" s="68"/>
      <c r="L266" s="68"/>
      <c r="M266" s="68"/>
    </row>
    <row r="268" ht="15">
      <c r="A268" s="75"/>
      <c r="B268" s="75"/>
      <c r="C268" s="76"/>
      <c r="D268" s="77" t="s">
        <v>106</v>
      </c>
      <c r="E268" s="77"/>
      <c r="F268" s="77"/>
      <c r="G268" s="77"/>
      <c r="H268" s="77"/>
      <c r="I268" s="77"/>
      <c r="J268" s="78"/>
      <c r="K268" s="79">
        <f>K270+K285+K286</f>
        <v>10714.93</v>
      </c>
      <c r="L268" s="79"/>
      <c r="M268" s="79">
        <f>M270+M285+M286</f>
        <v>161770.13999999998</v>
      </c>
    </row>
    <row r="269" ht="14.25">
      <c r="A269" s="80"/>
      <c r="B269" s="80"/>
      <c r="C269" s="81"/>
      <c r="D269" s="82" t="s">
        <v>107</v>
      </c>
      <c r="E269" s="55"/>
      <c r="F269" s="55"/>
      <c r="G269" s="55"/>
      <c r="H269" s="55"/>
      <c r="I269" s="55"/>
      <c r="J269" s="57"/>
      <c r="K269" s="58"/>
      <c r="L269" s="58"/>
      <c r="M269" s="58"/>
    </row>
    <row r="270" ht="14.25">
      <c r="A270" s="80"/>
      <c r="B270" s="80"/>
      <c r="C270" s="81"/>
      <c r="D270" s="55" t="s">
        <v>108</v>
      </c>
      <c r="E270" s="55"/>
      <c r="F270" s="55"/>
      <c r="G270" s="55"/>
      <c r="H270" s="55"/>
      <c r="I270" s="55"/>
      <c r="J270" s="57"/>
      <c r="K270" s="58">
        <f>K272+K273+K279+K283</f>
        <v>9909.9800000000014</v>
      </c>
      <c r="L270" s="58"/>
      <c r="M270" s="58">
        <f>M272+M273+M279+M283</f>
        <v>117240.19</v>
      </c>
    </row>
    <row r="271" ht="14.25">
      <c r="A271" s="80"/>
      <c r="B271" s="80"/>
      <c r="C271" s="81"/>
      <c r="D271" s="82" t="s">
        <v>107</v>
      </c>
      <c r="E271" s="55"/>
      <c r="F271" s="55"/>
      <c r="G271" s="55"/>
      <c r="H271" s="55"/>
      <c r="I271" s="55"/>
      <c r="J271" s="57"/>
      <c r="K271" s="58"/>
      <c r="L271" s="58"/>
      <c r="M271" s="58"/>
    </row>
    <row r="272" ht="14.25">
      <c r="A272" s="80"/>
      <c r="B272" s="80"/>
      <c r="C272" s="81"/>
      <c r="D272" s="55" t="s">
        <v>109</v>
      </c>
      <c r="E272" s="55"/>
      <c r="F272" s="55"/>
      <c r="G272" s="55"/>
      <c r="H272" s="55"/>
      <c r="I272" s="55"/>
      <c r="J272" s="57"/>
      <c r="K272" s="58">
        <f>SUMIF(CD38:CD264, 1, S38:S264)</f>
        <v>486.44</v>
      </c>
      <c r="L272" s="58"/>
      <c r="M272" s="58">
        <f>SUMIF(CD38:CD264, 1, AR38:AR264)</f>
        <v>26909.870000000003</v>
      </c>
    </row>
    <row r="273" ht="14.25">
      <c r="A273" s="80"/>
      <c r="B273" s="80"/>
      <c r="C273" s="81"/>
      <c r="D273" s="55" t="s">
        <v>110</v>
      </c>
      <c r="E273" s="55"/>
      <c r="F273" s="55"/>
      <c r="G273" s="55"/>
      <c r="H273" s="55"/>
      <c r="I273" s="55"/>
      <c r="J273" s="57"/>
      <c r="K273" s="58">
        <f>K275+K278</f>
        <v>48.980000000000004</v>
      </c>
      <c r="L273" s="58"/>
      <c r="M273" s="58">
        <f>M275+M278</f>
        <v>803.26999999999998</v>
      </c>
    </row>
    <row r="274" ht="14.25">
      <c r="A274" s="80"/>
      <c r="B274" s="80"/>
      <c r="C274" s="81"/>
      <c r="D274" s="82" t="s">
        <v>111</v>
      </c>
      <c r="E274" s="55"/>
      <c r="F274" s="55"/>
      <c r="G274" s="55"/>
      <c r="H274" s="55"/>
      <c r="I274" s="55"/>
      <c r="J274" s="57"/>
      <c r="K274" s="58"/>
      <c r="L274" s="58"/>
      <c r="M274" s="58"/>
    </row>
    <row r="275" ht="14.25">
      <c r="A275" s="80"/>
      <c r="B275" s="80"/>
      <c r="C275" s="81" t="str">
        <f>Source!V140</f>
        <v/>
      </c>
      <c r="D275" s="55" t="s">
        <v>112</v>
      </c>
      <c r="E275" s="55"/>
      <c r="F275" s="55"/>
      <c r="G275" s="55"/>
      <c r="H275" s="55"/>
      <c r="I275" s="55"/>
      <c r="J275" s="57"/>
      <c r="K275" s="58">
        <f>SUMIF(CD38:CD264, 1, P38:P264)</f>
        <v>48.980000000000004</v>
      </c>
      <c r="L275" s="58">
        <f>Source!E140</f>
        <v>16.399999999999999</v>
      </c>
      <c r="M275" s="58">
        <f>ROUND(K275*Source!E140, 2)</f>
        <v>803.26999999999998</v>
      </c>
    </row>
    <row r="276" ht="14.25">
      <c r="A276" s="80"/>
      <c r="B276" s="80"/>
      <c r="C276" s="81"/>
      <c r="D276" s="82" t="s">
        <v>113</v>
      </c>
      <c r="E276" s="55"/>
      <c r="F276" s="55"/>
      <c r="G276" s="55"/>
      <c r="H276" s="55"/>
      <c r="I276" s="55"/>
      <c r="J276" s="57"/>
      <c r="K276" s="58"/>
      <c r="L276" s="58"/>
      <c r="M276" s="58"/>
    </row>
    <row r="277" ht="14.25">
      <c r="A277" s="80"/>
      <c r="B277" s="80"/>
      <c r="C277" s="81"/>
      <c r="D277" s="55" t="s">
        <v>114</v>
      </c>
      <c r="E277" s="55"/>
      <c r="F277" s="55"/>
      <c r="G277" s="55"/>
      <c r="H277" s="55"/>
      <c r="I277" s="55"/>
      <c r="J277" s="57"/>
      <c r="K277" s="58">
        <f>SUMIF(CD38:CD264, 1, X38:X264)</f>
        <v>8.9500000000000011</v>
      </c>
      <c r="L277" s="58"/>
      <c r="M277" s="58">
        <f>SUMIF(CD38:CD264, 1, AT38:AT264)</f>
        <v>495.12000000000006</v>
      </c>
    </row>
    <row r="278" ht="14.25" hidden="1">
      <c r="A278" s="80"/>
      <c r="B278" s="80"/>
      <c r="C278" s="81"/>
      <c r="D278" s="55" t="s">
        <v>115</v>
      </c>
      <c r="E278" s="55"/>
      <c r="F278" s="55"/>
      <c r="G278" s="55"/>
      <c r="H278" s="55"/>
      <c r="I278" s="55"/>
      <c r="J278" s="57"/>
      <c r="K278" s="58">
        <f>SUMIF(CD38:CD264, 1, Z38:Z264)</f>
        <v>0</v>
      </c>
      <c r="L278" s="58"/>
      <c r="M278" s="58">
        <f>SUMIF(CD38:CD264, 1, AV38:AV264)</f>
        <v>0</v>
      </c>
    </row>
    <row r="279" ht="14.25">
      <c r="A279" s="80"/>
      <c r="B279" s="80"/>
      <c r="C279" s="81"/>
      <c r="D279" s="55" t="s">
        <v>116</v>
      </c>
      <c r="E279" s="55"/>
      <c r="F279" s="55"/>
      <c r="G279" s="55"/>
      <c r="H279" s="55"/>
      <c r="I279" s="55"/>
      <c r="J279" s="57"/>
      <c r="K279" s="58">
        <f>K281+K282</f>
        <v>9374.5600000000013</v>
      </c>
      <c r="L279" s="58"/>
      <c r="M279" s="58">
        <f>M281+M282</f>
        <v>89527.050000000003</v>
      </c>
    </row>
    <row r="280" ht="14.25">
      <c r="A280" s="80"/>
      <c r="B280" s="80"/>
      <c r="C280" s="81"/>
      <c r="D280" s="82" t="s">
        <v>111</v>
      </c>
      <c r="E280" s="55"/>
      <c r="F280" s="55"/>
      <c r="G280" s="55"/>
      <c r="H280" s="55"/>
      <c r="I280" s="55"/>
      <c r="J280" s="57"/>
      <c r="K280" s="58"/>
      <c r="L280" s="58"/>
      <c r="M280" s="58"/>
    </row>
    <row r="281" ht="14.25">
      <c r="A281" s="80"/>
      <c r="B281" s="80"/>
      <c r="C281" s="81" t="str">
        <f>Source!U140</f>
        <v/>
      </c>
      <c r="D281" s="55" t="s">
        <v>117</v>
      </c>
      <c r="E281" s="55"/>
      <c r="F281" s="55"/>
      <c r="G281" s="55"/>
      <c r="H281" s="55"/>
      <c r="I281" s="55"/>
      <c r="J281" s="57"/>
      <c r="K281" s="58">
        <f>SUMIF(CD38:CD264, 1, AA38:AA264)-SUMIF(CD38:CD264, 1, BJ38:BJ264)</f>
        <v>9374.5600000000013</v>
      </c>
      <c r="L281" s="58">
        <f>Source!D140</f>
        <v>9.5500000000000007</v>
      </c>
      <c r="M281" s="58">
        <f>ROUND(K281*Source!D140, 2)</f>
        <v>89527.050000000003</v>
      </c>
    </row>
    <row r="282" ht="14.25" hidden="1">
      <c r="A282" s="80"/>
      <c r="B282" s="80"/>
      <c r="C282" s="81" t="str">
        <f>Source!AB140</f>
        <v/>
      </c>
      <c r="D282" s="55" t="s">
        <v>118</v>
      </c>
      <c r="E282" s="55"/>
      <c r="F282" s="55"/>
      <c r="G282" s="55"/>
      <c r="H282" s="55"/>
      <c r="I282" s="55"/>
      <c r="J282" s="57"/>
      <c r="K282" s="58">
        <f>SUMIF(CD38:CD264, 1, AG38:AG264)</f>
        <v>0</v>
      </c>
      <c r="L282" s="58">
        <f>Source!L140</f>
        <v>1</v>
      </c>
      <c r="M282" s="58">
        <f>ROUND(K282*Source!L140, 2)</f>
        <v>0</v>
      </c>
    </row>
    <row r="283" ht="14.25" hidden="1">
      <c r="A283" s="80"/>
      <c r="B283" s="80"/>
      <c r="C283" s="81" t="str">
        <f>Source!AB140</f>
        <v/>
      </c>
      <c r="D283" s="55" t="s">
        <v>119</v>
      </c>
      <c r="E283" s="55"/>
      <c r="F283" s="55"/>
      <c r="G283" s="55"/>
      <c r="H283" s="55"/>
      <c r="I283" s="55"/>
      <c r="J283" s="57"/>
      <c r="K283" s="58">
        <f>SUMIF(CD38:CD264, 1, AF38:AF264)</f>
        <v>0</v>
      </c>
      <c r="L283" s="58">
        <f>Source!L140</f>
        <v>1</v>
      </c>
      <c r="M283" s="58">
        <f>ROUND(K283*Source!L140, 2)</f>
        <v>0</v>
      </c>
    </row>
    <row r="284" ht="14.25">
      <c r="A284" s="80"/>
      <c r="B284" s="80"/>
      <c r="C284" s="81"/>
      <c r="D284" s="55" t="s">
        <v>120</v>
      </c>
      <c r="E284" s="55"/>
      <c r="F284" s="55"/>
      <c r="G284" s="55"/>
      <c r="H284" s="55"/>
      <c r="I284" s="55"/>
      <c r="J284" s="57"/>
      <c r="K284" s="58">
        <f>SUMIF(CD38:CD264, 1, S38:S264)+SUMIF(CD38:CD264, 1, X38:X264)+SUMIF(CD38:CD264, 1, Z38:Z264)</f>
        <v>495.38999999999999</v>
      </c>
      <c r="L284" s="58"/>
      <c r="M284" s="58">
        <f>SUMIF(CD38:CD264, 1, AR38:AR264)+SUMIF(CD38:CD264, 1, AT38:AT264)+SUMIF(CD38:CD264, 1, AV38:AV264)</f>
        <v>27404.990000000002</v>
      </c>
    </row>
    <row r="285" ht="14.25">
      <c r="A285" s="80"/>
      <c r="B285" s="80"/>
      <c r="C285" s="81"/>
      <c r="D285" s="55" t="s">
        <v>121</v>
      </c>
      <c r="E285" s="55"/>
      <c r="F285" s="55"/>
      <c r="G285" s="55"/>
      <c r="H285" s="55"/>
      <c r="I285" s="55"/>
      <c r="J285" s="57"/>
      <c r="K285" s="58">
        <f>SUMIF(CD38:CD264, 1, AD38:AD264)</f>
        <v>517.88999999999999</v>
      </c>
      <c r="L285" s="58"/>
      <c r="M285" s="58">
        <f>SUMIF(CD38:CD264, 1, AZ38:AZ264)</f>
        <v>28649.579999999998</v>
      </c>
    </row>
    <row r="286" ht="14.25">
      <c r="A286" s="80"/>
      <c r="B286" s="80"/>
      <c r="C286" s="81"/>
      <c r="D286" s="55" t="s">
        <v>122</v>
      </c>
      <c r="E286" s="55"/>
      <c r="F286" s="55"/>
      <c r="G286" s="55"/>
      <c r="H286" s="55"/>
      <c r="I286" s="55"/>
      <c r="J286" s="57"/>
      <c r="K286" s="58">
        <f>SUMIF(CD38:CD264, 1, AE38:AE264)</f>
        <v>287.06</v>
      </c>
      <c r="L286" s="58"/>
      <c r="M286" s="58">
        <f>SUMIF(CD38:CD264, 1, BA38:BA264)</f>
        <v>15880.369999999999</v>
      </c>
    </row>
    <row r="287" hidden="1"/>
    <row r="288" ht="15" hidden="1">
      <c r="A288" s="75"/>
      <c r="B288" s="75"/>
      <c r="C288" s="76"/>
      <c r="D288" s="77" t="s">
        <v>123</v>
      </c>
      <c r="E288" s="77"/>
      <c r="F288" s="77"/>
      <c r="G288" s="77"/>
      <c r="H288" s="77"/>
      <c r="I288" s="77"/>
      <c r="J288" s="78"/>
      <c r="K288" s="79">
        <f>K290+K305+K306</f>
        <v>0</v>
      </c>
      <c r="L288" s="79"/>
      <c r="M288" s="79">
        <f>M290+M305+M306</f>
        <v>0</v>
      </c>
    </row>
    <row r="289" ht="14.25" hidden="1">
      <c r="A289" s="80"/>
      <c r="B289" s="80"/>
      <c r="C289" s="81"/>
      <c r="D289" s="82" t="s">
        <v>107</v>
      </c>
      <c r="E289" s="55"/>
      <c r="F289" s="55"/>
      <c r="G289" s="55"/>
      <c r="H289" s="55"/>
      <c r="I289" s="55"/>
      <c r="J289" s="57"/>
      <c r="K289" s="58"/>
      <c r="L289" s="58"/>
      <c r="M289" s="58"/>
    </row>
    <row r="290" ht="14.25" hidden="1">
      <c r="A290" s="80"/>
      <c r="B290" s="80"/>
      <c r="C290" s="81"/>
      <c r="D290" s="55" t="s">
        <v>108</v>
      </c>
      <c r="E290" s="55"/>
      <c r="F290" s="55"/>
      <c r="G290" s="55"/>
      <c r="H290" s="55"/>
      <c r="I290" s="55"/>
      <c r="J290" s="57"/>
      <c r="K290" s="58">
        <f>K292+K293+K299+K303</f>
        <v>0</v>
      </c>
      <c r="L290" s="58"/>
      <c r="M290" s="58">
        <f>M292+M293+M299+M303</f>
        <v>0</v>
      </c>
    </row>
    <row r="291" ht="14.25" hidden="1">
      <c r="A291" s="80"/>
      <c r="B291" s="80"/>
      <c r="C291" s="81"/>
      <c r="D291" s="82" t="s">
        <v>107</v>
      </c>
      <c r="E291" s="55"/>
      <c r="F291" s="55"/>
      <c r="G291" s="55"/>
      <c r="H291" s="55"/>
      <c r="I291" s="55"/>
      <c r="J291" s="57"/>
      <c r="K291" s="58"/>
      <c r="L291" s="58"/>
      <c r="M291" s="58"/>
    </row>
    <row r="292" ht="14.25" hidden="1">
      <c r="A292" s="80"/>
      <c r="B292" s="80"/>
      <c r="C292" s="81"/>
      <c r="D292" s="55" t="s">
        <v>109</v>
      </c>
      <c r="E292" s="55"/>
      <c r="F292" s="55"/>
      <c r="G292" s="55"/>
      <c r="H292" s="55"/>
      <c r="I292" s="55"/>
      <c r="J292" s="57"/>
      <c r="K292" s="58">
        <f>SUMIF(CD38:CD286, 2, S38:S286)</f>
        <v>0</v>
      </c>
      <c r="L292" s="58"/>
      <c r="M292" s="58">
        <f>SUMIF(CD38:CD286, 2, AR38:AR286)</f>
        <v>0</v>
      </c>
    </row>
    <row r="293" ht="14.25" hidden="1">
      <c r="A293" s="80"/>
      <c r="B293" s="80"/>
      <c r="C293" s="81"/>
      <c r="D293" s="55" t="s">
        <v>110</v>
      </c>
      <c r="E293" s="55"/>
      <c r="F293" s="55"/>
      <c r="G293" s="55"/>
      <c r="H293" s="55"/>
      <c r="I293" s="55"/>
      <c r="J293" s="57"/>
      <c r="K293" s="58">
        <f>K295+K298</f>
        <v>0</v>
      </c>
      <c r="L293" s="58"/>
      <c r="M293" s="58">
        <f>M295+M298</f>
        <v>0</v>
      </c>
    </row>
    <row r="294" ht="14.25" hidden="1">
      <c r="A294" s="80"/>
      <c r="B294" s="80"/>
      <c r="C294" s="81"/>
      <c r="D294" s="82" t="s">
        <v>111</v>
      </c>
      <c r="E294" s="55"/>
      <c r="F294" s="55"/>
      <c r="G294" s="55"/>
      <c r="H294" s="55"/>
      <c r="I294" s="55"/>
      <c r="J294" s="57"/>
      <c r="K294" s="58"/>
      <c r="L294" s="58"/>
      <c r="M294" s="58"/>
    </row>
    <row r="295" ht="14.25" hidden="1">
      <c r="A295" s="80"/>
      <c r="B295" s="80"/>
      <c r="C295" s="81" t="str">
        <f>Source!V140</f>
        <v/>
      </c>
      <c r="D295" s="55" t="s">
        <v>112</v>
      </c>
      <c r="E295" s="55"/>
      <c r="F295" s="55"/>
      <c r="G295" s="55"/>
      <c r="H295" s="55"/>
      <c r="I295" s="55"/>
      <c r="J295" s="57"/>
      <c r="K295" s="58">
        <f>SUMIF(CD38:CD286, 2, P38:P286)</f>
        <v>0</v>
      </c>
      <c r="L295" s="58">
        <f>Source!E140</f>
        <v>16.399999999999999</v>
      </c>
      <c r="M295" s="58">
        <f>ROUND(K295*Source!E140, 2)</f>
        <v>0</v>
      </c>
    </row>
    <row r="296" ht="14.25" hidden="1">
      <c r="A296" s="80"/>
      <c r="B296" s="80"/>
      <c r="C296" s="81"/>
      <c r="D296" s="82" t="s">
        <v>113</v>
      </c>
      <c r="E296" s="55"/>
      <c r="F296" s="55"/>
      <c r="G296" s="55"/>
      <c r="H296" s="55"/>
      <c r="I296" s="55"/>
      <c r="J296" s="57"/>
      <c r="K296" s="58"/>
      <c r="L296" s="58"/>
      <c r="M296" s="58"/>
    </row>
    <row r="297" ht="14.25" hidden="1">
      <c r="A297" s="80"/>
      <c r="B297" s="80"/>
      <c r="C297" s="81"/>
      <c r="D297" s="55" t="s">
        <v>114</v>
      </c>
      <c r="E297" s="55"/>
      <c r="F297" s="55"/>
      <c r="G297" s="55"/>
      <c r="H297" s="55"/>
      <c r="I297" s="55"/>
      <c r="J297" s="57"/>
      <c r="K297" s="58">
        <f>SUMIF(CD38:CD286, 2, X38:X286)</f>
        <v>0</v>
      </c>
      <c r="L297" s="58"/>
      <c r="M297" s="58">
        <f>SUMIF(CD38:CD286, 2, AT38:AT286)</f>
        <v>0</v>
      </c>
    </row>
    <row r="298" ht="14.25" hidden="1">
      <c r="A298" s="80"/>
      <c r="B298" s="80"/>
      <c r="C298" s="81"/>
      <c r="D298" s="55" t="s">
        <v>115</v>
      </c>
      <c r="E298" s="55"/>
      <c r="F298" s="55"/>
      <c r="G298" s="55"/>
      <c r="H298" s="55"/>
      <c r="I298" s="55"/>
      <c r="J298" s="57"/>
      <c r="K298" s="58">
        <f>SUMIF(CD38:CD286, 2, Z38:Z286)</f>
        <v>0</v>
      </c>
      <c r="L298" s="58"/>
      <c r="M298" s="58">
        <f>SUMIF(CD38:CD286, 2, AV38:AV286)</f>
        <v>0</v>
      </c>
    </row>
    <row r="299" ht="14.25" hidden="1">
      <c r="A299" s="80"/>
      <c r="B299" s="80"/>
      <c r="C299" s="81"/>
      <c r="D299" s="55" t="s">
        <v>116</v>
      </c>
      <c r="E299" s="55"/>
      <c r="F299" s="55"/>
      <c r="G299" s="55"/>
      <c r="H299" s="55"/>
      <c r="I299" s="55"/>
      <c r="J299" s="57"/>
      <c r="K299" s="58">
        <f>K301+K302</f>
        <v>0</v>
      </c>
      <c r="L299" s="58"/>
      <c r="M299" s="58">
        <f>M301+M302</f>
        <v>0</v>
      </c>
    </row>
    <row r="300" ht="14.25" hidden="1">
      <c r="A300" s="80"/>
      <c r="B300" s="80"/>
      <c r="C300" s="81"/>
      <c r="D300" s="82" t="s">
        <v>111</v>
      </c>
      <c r="E300" s="55"/>
      <c r="F300" s="55"/>
      <c r="G300" s="55"/>
      <c r="H300" s="55"/>
      <c r="I300" s="55"/>
      <c r="J300" s="57"/>
      <c r="K300" s="58"/>
      <c r="L300" s="58"/>
      <c r="M300" s="58"/>
    </row>
    <row r="301" ht="14.25" hidden="1">
      <c r="A301" s="80"/>
      <c r="B301" s="80"/>
      <c r="C301" s="81" t="str">
        <f>Source!U140</f>
        <v/>
      </c>
      <c r="D301" s="55" t="s">
        <v>117</v>
      </c>
      <c r="E301" s="55"/>
      <c r="F301" s="55"/>
      <c r="G301" s="55"/>
      <c r="H301" s="55"/>
      <c r="I301" s="55"/>
      <c r="J301" s="57"/>
      <c r="K301" s="58">
        <f>SUMIF(CD38:CD286, 2, AA38:AA286)-SUMIF(CD38:CD286, 2, BJ38:BJ286)</f>
        <v>0</v>
      </c>
      <c r="L301" s="58">
        <f>Source!D140</f>
        <v>9.5500000000000007</v>
      </c>
      <c r="M301" s="58">
        <f>ROUND(K301*Source!D140, 2)</f>
        <v>0</v>
      </c>
    </row>
    <row r="302" ht="14.25" hidden="1">
      <c r="A302" s="80"/>
      <c r="B302" s="80"/>
      <c r="C302" s="81" t="str">
        <f>Source!AB140</f>
        <v/>
      </c>
      <c r="D302" s="55" t="s">
        <v>118</v>
      </c>
      <c r="E302" s="55"/>
      <c r="F302" s="55"/>
      <c r="G302" s="55"/>
      <c r="H302" s="55"/>
      <c r="I302" s="55"/>
      <c r="J302" s="57"/>
      <c r="K302" s="58">
        <f>SUMIF(CD38:CD286, 2, AG38:AG286)</f>
        <v>0</v>
      </c>
      <c r="L302" s="58">
        <f>Source!L140</f>
        <v>1</v>
      </c>
      <c r="M302" s="58">
        <f>ROUND(K302*Source!L140, 2)</f>
        <v>0</v>
      </c>
    </row>
    <row r="303" ht="14.25" hidden="1">
      <c r="A303" s="80"/>
      <c r="B303" s="80"/>
      <c r="C303" s="81" t="str">
        <f>Source!AB140</f>
        <v/>
      </c>
      <c r="D303" s="55" t="s">
        <v>119</v>
      </c>
      <c r="E303" s="55"/>
      <c r="F303" s="55"/>
      <c r="G303" s="55"/>
      <c r="H303" s="55"/>
      <c r="I303" s="55"/>
      <c r="J303" s="57"/>
      <c r="K303" s="58">
        <f>SUMIF(CD38:CD286, 2, AF38:AF286)</f>
        <v>0</v>
      </c>
      <c r="L303" s="58">
        <f>Source!L140</f>
        <v>1</v>
      </c>
      <c r="M303" s="58">
        <f>ROUND(K303*Source!L140, 2)</f>
        <v>0</v>
      </c>
    </row>
    <row r="304" ht="14.25" hidden="1">
      <c r="A304" s="80"/>
      <c r="B304" s="80"/>
      <c r="C304" s="81"/>
      <c r="D304" s="55" t="s">
        <v>120</v>
      </c>
      <c r="E304" s="55"/>
      <c r="F304" s="55"/>
      <c r="G304" s="55"/>
      <c r="H304" s="55"/>
      <c r="I304" s="55"/>
      <c r="J304" s="57"/>
      <c r="K304" s="58">
        <f>SUMIF(CD38:CD286, 2, S38:S286)+SUMIF(CD38:CD286, 2, X38:X286)+SUMIF(CD38:CD286, 2, Z38:Z286)</f>
        <v>0</v>
      </c>
      <c r="L304" s="58"/>
      <c r="M304" s="58">
        <f>SUMIF(CD38:CD286, 2, AR38:AR286)+SUMIF(CD38:CD286, 2, AT38:AT286)+SUMIF(CD38:CD286, 2, AV38:AV286)</f>
        <v>0</v>
      </c>
    </row>
    <row r="305" ht="14.25" hidden="1">
      <c r="A305" s="80"/>
      <c r="B305" s="80"/>
      <c r="C305" s="81"/>
      <c r="D305" s="55" t="s">
        <v>121</v>
      </c>
      <c r="E305" s="55"/>
      <c r="F305" s="55"/>
      <c r="G305" s="55"/>
      <c r="H305" s="55"/>
      <c r="I305" s="55"/>
      <c r="J305" s="57"/>
      <c r="K305" s="58">
        <f>SUMIF(CD38:CD286, 2, AD38:AD286)</f>
        <v>0</v>
      </c>
      <c r="L305" s="58"/>
      <c r="M305" s="58">
        <f>SUMIF(CD38:CD286, 2, AZ38:AZ286)</f>
        <v>0</v>
      </c>
    </row>
    <row r="306" ht="14.25" hidden="1">
      <c r="A306" s="80"/>
      <c r="B306" s="80"/>
      <c r="C306" s="81"/>
      <c r="D306" s="55" t="s">
        <v>122</v>
      </c>
      <c r="E306" s="55"/>
      <c r="F306" s="55"/>
      <c r="G306" s="55"/>
      <c r="H306" s="55"/>
      <c r="I306" s="55"/>
      <c r="J306" s="57"/>
      <c r="K306" s="58">
        <f>SUMIF(CD38:CD286, 2, AE38:AE286)</f>
        <v>0</v>
      </c>
      <c r="L306" s="58"/>
      <c r="M306" s="58">
        <f>SUMIF(CD38:CD286, 2, BA38:BA286)</f>
        <v>0</v>
      </c>
    </row>
    <row r="307" hidden="1"/>
    <row r="308" ht="15" hidden="1">
      <c r="A308" s="75"/>
      <c r="B308" s="75"/>
      <c r="C308" s="76"/>
      <c r="D308" s="77" t="s">
        <v>124</v>
      </c>
      <c r="E308" s="77"/>
      <c r="F308" s="77"/>
      <c r="G308" s="77"/>
      <c r="H308" s="77"/>
      <c r="I308" s="77"/>
      <c r="J308" s="78"/>
      <c r="K308" s="79">
        <f>K310+K311</f>
        <v>0</v>
      </c>
      <c r="L308" s="79"/>
      <c r="M308" s="79">
        <f>M310+M311</f>
        <v>0</v>
      </c>
    </row>
    <row r="309" ht="14.25" hidden="1">
      <c r="A309" s="80"/>
      <c r="B309" s="80"/>
      <c r="C309" s="81"/>
      <c r="D309" s="82" t="s">
        <v>107</v>
      </c>
      <c r="E309" s="55"/>
      <c r="F309" s="55"/>
      <c r="G309" s="55"/>
      <c r="H309" s="55"/>
      <c r="I309" s="55"/>
      <c r="J309" s="57"/>
      <c r="K309" s="58"/>
      <c r="L309" s="58"/>
      <c r="M309" s="58"/>
    </row>
    <row r="310" ht="14.25" hidden="1">
      <c r="A310" s="80"/>
      <c r="B310" s="80"/>
      <c r="C310" s="81" t="str">
        <f>Source!Y140</f>
        <v/>
      </c>
      <c r="D310" s="55" t="s">
        <v>125</v>
      </c>
      <c r="E310" s="55"/>
      <c r="F310" s="55"/>
      <c r="G310" s="55"/>
      <c r="H310" s="55"/>
      <c r="I310" s="55"/>
      <c r="J310" s="57"/>
      <c r="K310" s="58">
        <f>SUMIF(CD38:CD306, 3, BJ38:BJ306)</f>
        <v>0</v>
      </c>
      <c r="L310" s="58">
        <f>Source!H140</f>
        <v>1</v>
      </c>
      <c r="M310" s="58">
        <f>ROUND(K310*Source!H140, 2)</f>
        <v>0</v>
      </c>
    </row>
    <row r="311" ht="14.25" hidden="1">
      <c r="A311" s="80"/>
      <c r="B311" s="80"/>
      <c r="C311" s="81" t="str">
        <f>Source!AB140</f>
        <v/>
      </c>
      <c r="D311" s="55" t="s">
        <v>126</v>
      </c>
      <c r="E311" s="55"/>
      <c r="F311" s="55"/>
      <c r="G311" s="55"/>
      <c r="H311" s="55"/>
      <c r="I311" s="55"/>
      <c r="J311" s="57"/>
      <c r="K311" s="58">
        <f>SUMIF(CD38:CD306, 3, AH38:AH306)</f>
        <v>0</v>
      </c>
      <c r="L311" s="58">
        <f>Source!L140</f>
        <v>1</v>
      </c>
      <c r="M311" s="58">
        <f>ROUND(K311*Source!L140, 2)</f>
        <v>0</v>
      </c>
    </row>
    <row r="312" hidden="1"/>
    <row r="313" ht="15" hidden="1">
      <c r="A313" s="75"/>
      <c r="B313" s="75"/>
      <c r="C313" s="76"/>
      <c r="D313" s="77" t="s">
        <v>127</v>
      </c>
      <c r="E313" s="77"/>
      <c r="F313" s="77"/>
      <c r="G313" s="77"/>
      <c r="H313" s="77"/>
      <c r="I313" s="77"/>
      <c r="J313" s="78"/>
      <c r="K313" s="79">
        <f>K319+K334+K335+K315+K316</f>
        <v>0</v>
      </c>
      <c r="L313" s="79"/>
      <c r="M313" s="79">
        <f>M319+M334+M335+M315+M316</f>
        <v>0</v>
      </c>
    </row>
    <row r="314" ht="14.25" hidden="1">
      <c r="A314" s="80"/>
      <c r="B314" s="80"/>
      <c r="C314" s="81"/>
      <c r="D314" s="82" t="s">
        <v>107</v>
      </c>
      <c r="E314" s="55"/>
      <c r="F314" s="55"/>
      <c r="G314" s="55"/>
      <c r="H314" s="55"/>
      <c r="I314" s="55"/>
      <c r="J314" s="57"/>
      <c r="K314" s="58"/>
      <c r="L314" s="58"/>
      <c r="M314" s="58"/>
    </row>
    <row r="315" ht="14.25" hidden="1">
      <c r="A315" s="80"/>
      <c r="B315" s="80"/>
      <c r="C315" s="81" t="str">
        <f>Source!Z140</f>
        <v/>
      </c>
      <c r="D315" s="55" t="s">
        <v>128</v>
      </c>
      <c r="E315" s="55"/>
      <c r="F315" s="55"/>
      <c r="G315" s="55"/>
      <c r="H315" s="55"/>
      <c r="I315" s="55"/>
      <c r="J315" s="57"/>
      <c r="K315" s="58">
        <f>SUM(BL38:BL311)</f>
        <v>0</v>
      </c>
      <c r="L315" s="58">
        <f>Source!I140</f>
        <v>1</v>
      </c>
      <c r="M315" s="58">
        <f t="shared" ref="M315:M316" si="35">ROUND(K315*L315, 2)</f>
        <v>0</v>
      </c>
    </row>
    <row r="316" ht="14.25" hidden="1">
      <c r="A316" s="80"/>
      <c r="B316" s="80"/>
      <c r="C316" s="81" t="str">
        <f>Source!Y140</f>
        <v/>
      </c>
      <c r="D316" s="55" t="s">
        <v>129</v>
      </c>
      <c r="E316" s="55"/>
      <c r="F316" s="55"/>
      <c r="G316" s="55"/>
      <c r="H316" s="55"/>
      <c r="I316" s="55"/>
      <c r="J316" s="57"/>
      <c r="K316" s="58">
        <f>SUM(BN38:BN311)</f>
        <v>0</v>
      </c>
      <c r="L316" s="58">
        <f>Source!H140</f>
        <v>1</v>
      </c>
      <c r="M316" s="58">
        <f t="shared" si="35"/>
        <v>0</v>
      </c>
    </row>
    <row r="317" ht="14.25" hidden="1">
      <c r="A317" s="80"/>
      <c r="B317" s="80"/>
      <c r="C317" s="81"/>
      <c r="D317" s="55" t="s">
        <v>130</v>
      </c>
      <c r="E317" s="55"/>
      <c r="F317" s="55"/>
      <c r="G317" s="55"/>
      <c r="H317" s="55"/>
      <c r="I317" s="55"/>
      <c r="J317" s="57"/>
      <c r="K317" s="58">
        <f>K319+K334+K335</f>
        <v>0</v>
      </c>
      <c r="L317" s="58"/>
      <c r="M317" s="58">
        <f>M319+M334+M335</f>
        <v>0</v>
      </c>
    </row>
    <row r="318" ht="14.25" hidden="1">
      <c r="A318" s="80"/>
      <c r="B318" s="80"/>
      <c r="C318" s="81"/>
      <c r="D318" s="82" t="s">
        <v>107</v>
      </c>
      <c r="E318" s="55"/>
      <c r="F318" s="55"/>
      <c r="G318" s="55"/>
      <c r="H318" s="55"/>
      <c r="I318" s="55"/>
      <c r="J318" s="57"/>
      <c r="K318" s="58"/>
      <c r="L318" s="58"/>
      <c r="M318" s="58"/>
    </row>
    <row r="319" ht="14.25" hidden="1">
      <c r="A319" s="80"/>
      <c r="B319" s="80"/>
      <c r="C319" s="81"/>
      <c r="D319" s="55" t="s">
        <v>108</v>
      </c>
      <c r="E319" s="55"/>
      <c r="F319" s="55"/>
      <c r="G319" s="55"/>
      <c r="H319" s="55"/>
      <c r="I319" s="55"/>
      <c r="J319" s="57"/>
      <c r="K319" s="58">
        <f>K321+K322+K328+K332</f>
        <v>0</v>
      </c>
      <c r="L319" s="58"/>
      <c r="M319" s="58">
        <f>M321+M322+M328+M332</f>
        <v>0</v>
      </c>
    </row>
    <row r="320" ht="14.25" hidden="1">
      <c r="A320" s="80"/>
      <c r="B320" s="80"/>
      <c r="C320" s="81"/>
      <c r="D320" s="82" t="s">
        <v>107</v>
      </c>
      <c r="E320" s="55"/>
      <c r="F320" s="55"/>
      <c r="G320" s="55"/>
      <c r="H320" s="55"/>
      <c r="I320" s="55"/>
      <c r="J320" s="57"/>
      <c r="K320" s="58"/>
      <c r="L320" s="58"/>
      <c r="M320" s="58"/>
    </row>
    <row r="321" ht="14.25" hidden="1">
      <c r="A321" s="80"/>
      <c r="B321" s="80"/>
      <c r="C321" s="81"/>
      <c r="D321" s="55" t="s">
        <v>109</v>
      </c>
      <c r="E321" s="55"/>
      <c r="F321" s="55"/>
      <c r="G321" s="55"/>
      <c r="H321" s="55"/>
      <c r="I321" s="55"/>
      <c r="J321" s="57"/>
      <c r="K321" s="58">
        <f>SUMIF(CD38:CD311, 4, S38:S311)</f>
        <v>0</v>
      </c>
      <c r="L321" s="58"/>
      <c r="M321" s="58">
        <f>SUMIF(CD38:CD311, 4, AR38:AR311)</f>
        <v>0</v>
      </c>
    </row>
    <row r="322" ht="14.25" hidden="1">
      <c r="A322" s="80"/>
      <c r="B322" s="80"/>
      <c r="C322" s="81"/>
      <c r="D322" s="55" t="s">
        <v>110</v>
      </c>
      <c r="E322" s="55"/>
      <c r="F322" s="55"/>
      <c r="G322" s="55"/>
      <c r="H322" s="55"/>
      <c r="I322" s="55"/>
      <c r="J322" s="57"/>
      <c r="K322" s="58">
        <f>K324+K327</f>
        <v>0</v>
      </c>
      <c r="L322" s="58"/>
      <c r="M322" s="58">
        <f>M324+M327</f>
        <v>0</v>
      </c>
    </row>
    <row r="323" ht="14.25" hidden="1">
      <c r="A323" s="80"/>
      <c r="B323" s="80"/>
      <c r="C323" s="81"/>
      <c r="D323" s="82" t="s">
        <v>111</v>
      </c>
      <c r="E323" s="55"/>
      <c r="F323" s="55"/>
      <c r="G323" s="55"/>
      <c r="H323" s="55"/>
      <c r="I323" s="55"/>
      <c r="J323" s="57"/>
      <c r="K323" s="58"/>
      <c r="L323" s="58"/>
      <c r="M323" s="58"/>
    </row>
    <row r="324" ht="14.25" hidden="1">
      <c r="A324" s="80"/>
      <c r="B324" s="80"/>
      <c r="C324" s="81" t="str">
        <f>Source!V140</f>
        <v/>
      </c>
      <c r="D324" s="55" t="s">
        <v>112</v>
      </c>
      <c r="E324" s="55"/>
      <c r="F324" s="55"/>
      <c r="G324" s="55"/>
      <c r="H324" s="55"/>
      <c r="I324" s="55"/>
      <c r="J324" s="57"/>
      <c r="K324" s="58">
        <f>SUMIF(CD38:CD311, 4, P38:P311)</f>
        <v>0</v>
      </c>
      <c r="L324" s="58">
        <f>Source!E140</f>
        <v>16.399999999999999</v>
      </c>
      <c r="M324" s="58">
        <f>ROUND(K324*Source!E140, 2)</f>
        <v>0</v>
      </c>
    </row>
    <row r="325" ht="14.25" hidden="1">
      <c r="A325" s="80"/>
      <c r="B325" s="80"/>
      <c r="C325" s="81"/>
      <c r="D325" s="82" t="s">
        <v>113</v>
      </c>
      <c r="E325" s="55"/>
      <c r="F325" s="55"/>
      <c r="G325" s="55"/>
      <c r="H325" s="55"/>
      <c r="I325" s="55"/>
      <c r="J325" s="57"/>
      <c r="K325" s="58"/>
      <c r="L325" s="58"/>
      <c r="M325" s="58"/>
    </row>
    <row r="326" ht="14.25" hidden="1">
      <c r="A326" s="80"/>
      <c r="B326" s="80"/>
      <c r="C326" s="81"/>
      <c r="D326" s="55" t="s">
        <v>114</v>
      </c>
      <c r="E326" s="55"/>
      <c r="F326" s="55"/>
      <c r="G326" s="55"/>
      <c r="H326" s="55"/>
      <c r="I326" s="55"/>
      <c r="J326" s="57"/>
      <c r="K326" s="58">
        <f>SUMIF(CD38:CD311, 4, X38:X311)</f>
        <v>0</v>
      </c>
      <c r="L326" s="58"/>
      <c r="M326" s="58">
        <f>SUMIF(CD38:CD311, 4, AT38:AT311)</f>
        <v>0</v>
      </c>
    </row>
    <row r="327" ht="14.25" hidden="1">
      <c r="A327" s="80"/>
      <c r="B327" s="80"/>
      <c r="C327" s="81"/>
      <c r="D327" s="55" t="s">
        <v>115</v>
      </c>
      <c r="E327" s="55"/>
      <c r="F327" s="55"/>
      <c r="G327" s="55"/>
      <c r="H327" s="55"/>
      <c r="I327" s="55"/>
      <c r="J327" s="57"/>
      <c r="K327" s="58">
        <f>SUMIF(CD38:CD311, 4, Z38:Z311)</f>
        <v>0</v>
      </c>
      <c r="L327" s="58"/>
      <c r="M327" s="58">
        <f>SUMIF(CD38:CD311, 4, AV38:AV311)</f>
        <v>0</v>
      </c>
    </row>
    <row r="328" ht="14.25" hidden="1">
      <c r="A328" s="80"/>
      <c r="B328" s="80"/>
      <c r="C328" s="81"/>
      <c r="D328" s="55" t="s">
        <v>116</v>
      </c>
      <c r="E328" s="55"/>
      <c r="F328" s="55"/>
      <c r="G328" s="55"/>
      <c r="H328" s="55"/>
      <c r="I328" s="55"/>
      <c r="J328" s="57"/>
      <c r="K328" s="58">
        <f>K330+K331</f>
        <v>0</v>
      </c>
      <c r="L328" s="58"/>
      <c r="M328" s="58">
        <f>M330+M331</f>
        <v>0</v>
      </c>
    </row>
    <row r="329" ht="14.25" hidden="1">
      <c r="A329" s="80"/>
      <c r="B329" s="80"/>
      <c r="C329" s="81"/>
      <c r="D329" s="82" t="s">
        <v>111</v>
      </c>
      <c r="E329" s="55"/>
      <c r="F329" s="55"/>
      <c r="G329" s="55"/>
      <c r="H329" s="55"/>
      <c r="I329" s="55"/>
      <c r="J329" s="57"/>
      <c r="K329" s="58"/>
      <c r="L329" s="58"/>
      <c r="M329" s="58"/>
    </row>
    <row r="330" ht="14.25" hidden="1">
      <c r="A330" s="80"/>
      <c r="B330" s="80"/>
      <c r="C330" s="81" t="str">
        <f>Source!U140</f>
        <v/>
      </c>
      <c r="D330" s="55" t="s">
        <v>117</v>
      </c>
      <c r="E330" s="55"/>
      <c r="F330" s="55"/>
      <c r="G330" s="55"/>
      <c r="H330" s="55"/>
      <c r="I330" s="55"/>
      <c r="J330" s="57"/>
      <c r="K330" s="58">
        <f>SUMIF(CD38:CD311, 4, AA38:AA311)-SUMIF(CD38:CD311, 4, BJ38:BJ311)</f>
        <v>0</v>
      </c>
      <c r="L330" s="58">
        <f>Source!D140</f>
        <v>9.5500000000000007</v>
      </c>
      <c r="M330" s="58">
        <f>ROUND(K330*Source!D140, 2)</f>
        <v>0</v>
      </c>
    </row>
    <row r="331" ht="14.25" hidden="1">
      <c r="A331" s="80"/>
      <c r="B331" s="80"/>
      <c r="C331" s="81" t="str">
        <f>Source!AB140</f>
        <v/>
      </c>
      <c r="D331" s="55" t="s">
        <v>118</v>
      </c>
      <c r="E331" s="55"/>
      <c r="F331" s="55"/>
      <c r="G331" s="55"/>
      <c r="H331" s="55"/>
      <c r="I331" s="55"/>
      <c r="J331" s="57"/>
      <c r="K331" s="58">
        <f>SUMIF(CD38:CD311, 4, AG38:AG311)</f>
        <v>0</v>
      </c>
      <c r="L331" s="58">
        <f>Source!L140</f>
        <v>1</v>
      </c>
      <c r="M331" s="58">
        <f>ROUND(K331*Source!L140, 2)</f>
        <v>0</v>
      </c>
    </row>
    <row r="332" ht="14.25" hidden="1">
      <c r="A332" s="80"/>
      <c r="B332" s="80"/>
      <c r="C332" s="81" t="str">
        <f>Source!AB140</f>
        <v/>
      </c>
      <c r="D332" s="55" t="s">
        <v>119</v>
      </c>
      <c r="E332" s="55"/>
      <c r="F332" s="55"/>
      <c r="G332" s="55"/>
      <c r="H332" s="55"/>
      <c r="I332" s="55"/>
      <c r="J332" s="57"/>
      <c r="K332" s="58">
        <f>SUMIF(CD38:CD311, 4, AF38:AF311)</f>
        <v>0</v>
      </c>
      <c r="L332" s="58">
        <f>Source!L140</f>
        <v>1</v>
      </c>
      <c r="M332" s="58">
        <f>ROUND(K332*Source!L140, 2)</f>
        <v>0</v>
      </c>
    </row>
    <row r="333" ht="14.25" hidden="1">
      <c r="A333" s="80"/>
      <c r="B333" s="80"/>
      <c r="C333" s="81"/>
      <c r="D333" s="55" t="s">
        <v>120</v>
      </c>
      <c r="E333" s="55"/>
      <c r="F333" s="55"/>
      <c r="G333" s="55"/>
      <c r="H333" s="55"/>
      <c r="I333" s="55"/>
      <c r="J333" s="57"/>
      <c r="K333" s="58">
        <f>SUMIF(CD38:CD311, 4, S38:S311)+SUMIF(CD38:CD311, 4, X38:X311)+SUMIF(CD38:CD311, 4, Z38:Z311)</f>
        <v>0</v>
      </c>
      <c r="L333" s="58"/>
      <c r="M333" s="58">
        <f>SUMIF(CD38:CD311, 4, AR38:AR311)+SUMIF(CD38:CD311, 4, AT38:AT311)+SUMIF(CD38:CD311, 4, AV38:AV311)</f>
        <v>0</v>
      </c>
    </row>
    <row r="334" ht="14.25" hidden="1">
      <c r="A334" s="80"/>
      <c r="B334" s="80"/>
      <c r="C334" s="81"/>
      <c r="D334" s="55" t="s">
        <v>121</v>
      </c>
      <c r="E334" s="55"/>
      <c r="F334" s="55"/>
      <c r="G334" s="55"/>
      <c r="H334" s="55"/>
      <c r="I334" s="55"/>
      <c r="J334" s="57"/>
      <c r="K334" s="58">
        <f>SUMIF(CD38:CD311, 4, AD38:AD311)</f>
        <v>0</v>
      </c>
      <c r="L334" s="58"/>
      <c r="M334" s="58">
        <f>SUMIF(CD38:CD311, 4, AZ38:AZ311)</f>
        <v>0</v>
      </c>
    </row>
    <row r="335" ht="14.25" hidden="1">
      <c r="A335" s="80"/>
      <c r="B335" s="80"/>
      <c r="C335" s="81"/>
      <c r="D335" s="55" t="s">
        <v>122</v>
      </c>
      <c r="E335" s="55"/>
      <c r="F335" s="55"/>
      <c r="G335" s="55"/>
      <c r="H335" s="55"/>
      <c r="I335" s="55"/>
      <c r="J335" s="57"/>
      <c r="K335" s="58">
        <f>SUMIF(CD38:CD311, 4, AE38:AE311)</f>
        <v>0</v>
      </c>
      <c r="L335" s="58"/>
      <c r="M335" s="58">
        <f>SUMIF(CD38:CD311, 4, BA38:BA311)</f>
        <v>0</v>
      </c>
    </row>
    <row r="337" ht="14.25">
      <c r="A337" s="75"/>
      <c r="B337" s="75"/>
      <c r="C337" s="76"/>
      <c r="D337" s="77" t="s">
        <v>210</v>
      </c>
      <c r="E337" s="77"/>
      <c r="F337" s="77"/>
      <c r="G337" s="77"/>
      <c r="H337" s="77"/>
      <c r="I337" s="77"/>
      <c r="J337" s="78"/>
      <c r="K337" s="79">
        <f>K268+K288+K308+K313</f>
        <v>10714.93</v>
      </c>
      <c r="L337" s="79"/>
      <c r="M337" s="79">
        <f>M268+M288+M308+M313</f>
        <v>161770.13999999998</v>
      </c>
    </row>
    <row r="338" ht="14.25">
      <c r="A338" s="80"/>
      <c r="B338" s="80"/>
      <c r="C338" s="81"/>
      <c r="D338" s="82" t="s">
        <v>107</v>
      </c>
      <c r="E338" s="55"/>
      <c r="F338" s="55"/>
      <c r="G338" s="55"/>
      <c r="H338" s="55"/>
      <c r="I338" s="55"/>
      <c r="J338" s="57"/>
      <c r="K338" s="58"/>
      <c r="L338" s="58"/>
      <c r="M338" s="58"/>
    </row>
    <row r="339" ht="14.25">
      <c r="A339" s="80"/>
      <c r="B339" s="80"/>
      <c r="C339" s="81"/>
      <c r="D339" s="55" t="s">
        <v>108</v>
      </c>
      <c r="E339" s="55"/>
      <c r="F339" s="55"/>
      <c r="G339" s="55"/>
      <c r="H339" s="55"/>
      <c r="I339" s="55"/>
      <c r="J339" s="57"/>
      <c r="K339" s="58">
        <f>K341+K342+K348+K352</f>
        <v>9909.9800000000014</v>
      </c>
      <c r="L339" s="58"/>
      <c r="M339" s="58">
        <f>M341+M342+M348+M352</f>
        <v>117240.19</v>
      </c>
    </row>
    <row r="340" ht="14.25">
      <c r="A340" s="80"/>
      <c r="B340" s="80"/>
      <c r="C340" s="81"/>
      <c r="D340" s="82" t="s">
        <v>107</v>
      </c>
      <c r="E340" s="55"/>
      <c r="F340" s="55"/>
      <c r="G340" s="55"/>
      <c r="H340" s="55"/>
      <c r="I340" s="55"/>
      <c r="J340" s="57"/>
      <c r="K340" s="58"/>
      <c r="L340" s="58"/>
      <c r="M340" s="58"/>
    </row>
    <row r="341" ht="14.25">
      <c r="A341" s="80"/>
      <c r="B341" s="80"/>
      <c r="C341" s="81"/>
      <c r="D341" s="55" t="s">
        <v>109</v>
      </c>
      <c r="E341" s="55"/>
      <c r="F341" s="55"/>
      <c r="G341" s="55"/>
      <c r="H341" s="55"/>
      <c r="I341" s="55"/>
      <c r="J341" s="57"/>
      <c r="K341" s="58">
        <f>SUM(S38:S335)</f>
        <v>486.44</v>
      </c>
      <c r="L341" s="58"/>
      <c r="M341" s="58">
        <f>SUM(AR38:AR335)</f>
        <v>26909.870000000003</v>
      </c>
    </row>
    <row r="342" ht="14.25">
      <c r="A342" s="80"/>
      <c r="B342" s="80"/>
      <c r="C342" s="81"/>
      <c r="D342" s="55" t="s">
        <v>110</v>
      </c>
      <c r="E342" s="55"/>
      <c r="F342" s="55"/>
      <c r="G342" s="55"/>
      <c r="H342" s="55"/>
      <c r="I342" s="55"/>
      <c r="J342" s="57"/>
      <c r="K342" s="58">
        <f>K344+K347</f>
        <v>48.980000000000004</v>
      </c>
      <c r="L342" s="58"/>
      <c r="M342" s="58">
        <f>M344+M347</f>
        <v>803.26999999999998</v>
      </c>
    </row>
    <row r="343" ht="14.25">
      <c r="A343" s="80"/>
      <c r="B343" s="80"/>
      <c r="C343" s="81"/>
      <c r="D343" s="82" t="s">
        <v>111</v>
      </c>
      <c r="E343" s="55"/>
      <c r="F343" s="55"/>
      <c r="G343" s="55"/>
      <c r="H343" s="55"/>
      <c r="I343" s="55"/>
      <c r="J343" s="57"/>
      <c r="K343" s="58"/>
      <c r="L343" s="58"/>
      <c r="M343" s="58"/>
    </row>
    <row r="344" ht="14.25">
      <c r="A344" s="80"/>
      <c r="B344" s="80"/>
      <c r="C344" s="81"/>
      <c r="D344" s="55" t="s">
        <v>112</v>
      </c>
      <c r="E344" s="55"/>
      <c r="F344" s="55"/>
      <c r="G344" s="55"/>
      <c r="H344" s="55"/>
      <c r="I344" s="55"/>
      <c r="J344" s="57"/>
      <c r="K344" s="58">
        <f>SUM(P38:P335)</f>
        <v>48.980000000000004</v>
      </c>
      <c r="L344" s="58"/>
      <c r="M344" s="58">
        <f>ROUND(K344*Source!E140, 2)</f>
        <v>803.26999999999998</v>
      </c>
    </row>
    <row r="345" ht="14.25">
      <c r="A345" s="80"/>
      <c r="B345" s="80"/>
      <c r="C345" s="81"/>
      <c r="D345" s="82" t="s">
        <v>113</v>
      </c>
      <c r="E345" s="55"/>
      <c r="F345" s="55"/>
      <c r="G345" s="55"/>
      <c r="H345" s="55"/>
      <c r="I345" s="55"/>
      <c r="J345" s="57"/>
      <c r="K345" s="58"/>
      <c r="L345" s="58"/>
      <c r="M345" s="58"/>
    </row>
    <row r="346" ht="14.25">
      <c r="A346" s="80"/>
      <c r="B346" s="80"/>
      <c r="C346" s="81"/>
      <c r="D346" s="55" t="s">
        <v>114</v>
      </c>
      <c r="E346" s="55"/>
      <c r="F346" s="55"/>
      <c r="G346" s="55"/>
      <c r="H346" s="55"/>
      <c r="I346" s="55"/>
      <c r="J346" s="57"/>
      <c r="K346" s="58">
        <f>SUM(X38:X335)</f>
        <v>8.9500000000000011</v>
      </c>
      <c r="L346" s="58"/>
      <c r="M346" s="58">
        <f>SUM(AT38:AT335)</f>
        <v>495.12000000000006</v>
      </c>
    </row>
    <row r="347" ht="14.25" hidden="1">
      <c r="A347" s="80"/>
      <c r="B347" s="80"/>
      <c r="C347" s="81"/>
      <c r="D347" s="55" t="s">
        <v>115</v>
      </c>
      <c r="E347" s="55"/>
      <c r="F347" s="55"/>
      <c r="G347" s="55"/>
      <c r="H347" s="55"/>
      <c r="I347" s="55"/>
      <c r="J347" s="57"/>
      <c r="K347" s="58">
        <f>SUM(Z38:Z335)</f>
        <v>0</v>
      </c>
      <c r="L347" s="58"/>
      <c r="M347" s="58">
        <f>SUM(AV38:AV335)</f>
        <v>0</v>
      </c>
    </row>
    <row r="348" ht="14.25">
      <c r="A348" s="80"/>
      <c r="B348" s="80"/>
      <c r="C348" s="81"/>
      <c r="D348" s="55" t="s">
        <v>116</v>
      </c>
      <c r="E348" s="55"/>
      <c r="F348" s="55"/>
      <c r="G348" s="55"/>
      <c r="H348" s="55"/>
      <c r="I348" s="55"/>
      <c r="J348" s="57"/>
      <c r="K348" s="58">
        <f>K350+K351</f>
        <v>9374.5600000000013</v>
      </c>
      <c r="L348" s="58"/>
      <c r="M348" s="58">
        <f>M350+M351</f>
        <v>89527.050000000003</v>
      </c>
    </row>
    <row r="349" ht="14.25">
      <c r="A349" s="80"/>
      <c r="B349" s="80"/>
      <c r="C349" s="81"/>
      <c r="D349" s="82" t="s">
        <v>111</v>
      </c>
      <c r="E349" s="55"/>
      <c r="F349" s="55"/>
      <c r="G349" s="55"/>
      <c r="H349" s="55"/>
      <c r="I349" s="55"/>
      <c r="J349" s="57"/>
      <c r="K349" s="58"/>
      <c r="L349" s="58"/>
      <c r="M349" s="58"/>
    </row>
    <row r="350" ht="14.25">
      <c r="A350" s="80"/>
      <c r="B350" s="80"/>
      <c r="C350" s="81"/>
      <c r="D350" s="55" t="s">
        <v>117</v>
      </c>
      <c r="E350" s="55"/>
      <c r="F350" s="55"/>
      <c r="G350" s="55"/>
      <c r="H350" s="55"/>
      <c r="I350" s="55"/>
      <c r="J350" s="57"/>
      <c r="K350" s="58">
        <f>SUM(AA38:AA335)-SUM(BJ38:BJ335)</f>
        <v>9374.5600000000013</v>
      </c>
      <c r="L350" s="58"/>
      <c r="M350" s="58">
        <f>ROUND(K350*Source!D140, 2)</f>
        <v>89527.050000000003</v>
      </c>
    </row>
    <row r="351" ht="14.25" hidden="1">
      <c r="A351" s="80"/>
      <c r="B351" s="80"/>
      <c r="C351" s="81"/>
      <c r="D351" s="55" t="s">
        <v>118</v>
      </c>
      <c r="E351" s="55"/>
      <c r="F351" s="55"/>
      <c r="G351" s="55"/>
      <c r="H351" s="55"/>
      <c r="I351" s="55"/>
      <c r="J351" s="57"/>
      <c r="K351" s="58">
        <f>SUM(AG38:AG335)</f>
        <v>0</v>
      </c>
      <c r="L351" s="58"/>
      <c r="M351" s="58">
        <f>ROUND(K351*Source!L140, 2)</f>
        <v>0</v>
      </c>
    </row>
    <row r="352" ht="14.25" hidden="1">
      <c r="A352" s="80"/>
      <c r="B352" s="80"/>
      <c r="C352" s="81"/>
      <c r="D352" s="55" t="s">
        <v>119</v>
      </c>
      <c r="E352" s="55"/>
      <c r="F352" s="55"/>
      <c r="G352" s="55"/>
      <c r="H352" s="55"/>
      <c r="I352" s="55"/>
      <c r="J352" s="57"/>
      <c r="K352" s="58">
        <f>SUM(AF38:AF335)</f>
        <v>0</v>
      </c>
      <c r="L352" s="58"/>
      <c r="M352" s="58">
        <f>ROUND(K352*Source!L140, 2)</f>
        <v>0</v>
      </c>
    </row>
    <row r="353" ht="14.25">
      <c r="A353" s="80"/>
      <c r="B353" s="80"/>
      <c r="C353" s="81"/>
      <c r="D353" s="55" t="s">
        <v>132</v>
      </c>
      <c r="E353" s="55"/>
      <c r="F353" s="55"/>
      <c r="G353" s="55"/>
      <c r="H353" s="55"/>
      <c r="I353" s="55"/>
      <c r="J353" s="57"/>
      <c r="K353" s="58">
        <f>SUM(S38:S335)+SUM(X38:X335)+SUM(Z38:Z335)</f>
        <v>495.38999999999999</v>
      </c>
      <c r="L353" s="58"/>
      <c r="M353" s="58">
        <f>SUM(AR38:AR335)+SUM(AT38:AT335)+SUM(AV38:AV335)</f>
        <v>27404.990000000002</v>
      </c>
    </row>
    <row r="354" ht="14.25">
      <c r="A354" s="80"/>
      <c r="B354" s="80"/>
      <c r="C354" s="81"/>
      <c r="D354" s="55" t="s">
        <v>133</v>
      </c>
      <c r="E354" s="55"/>
      <c r="F354" s="55"/>
      <c r="G354" s="55"/>
      <c r="H354" s="55"/>
      <c r="I354" s="55"/>
      <c r="J354" s="57"/>
      <c r="K354" s="58">
        <f>SUM(AD38:AD335)</f>
        <v>517.88999999999999</v>
      </c>
      <c r="L354" s="58"/>
      <c r="M354" s="58">
        <f>SUM(AZ38:AZ335)</f>
        <v>28649.579999999998</v>
      </c>
    </row>
    <row r="355" ht="14.25">
      <c r="A355" s="80"/>
      <c r="B355" s="80"/>
      <c r="C355" s="81"/>
      <c r="D355" s="55" t="s">
        <v>134</v>
      </c>
      <c r="E355" s="55"/>
      <c r="F355" s="55"/>
      <c r="G355" s="55"/>
      <c r="H355" s="55"/>
      <c r="I355" s="55"/>
      <c r="J355" s="57"/>
      <c r="K355" s="58">
        <f>SUM(AE38:AE335)</f>
        <v>287.06</v>
      </c>
      <c r="L355" s="58"/>
      <c r="M355" s="58">
        <f>SUM(BA38:BA335)</f>
        <v>15880.369999999999</v>
      </c>
    </row>
    <row r="356" ht="14.25" hidden="1">
      <c r="A356" s="80"/>
      <c r="B356" s="80"/>
      <c r="C356" s="81"/>
      <c r="D356" s="55" t="s">
        <v>135</v>
      </c>
      <c r="E356" s="55"/>
      <c r="F356" s="55"/>
      <c r="G356" s="55"/>
      <c r="H356" s="55"/>
      <c r="I356" s="55"/>
      <c r="J356" s="57"/>
      <c r="K356" s="58">
        <f>K358+K359</f>
        <v>0</v>
      </c>
      <c r="L356" s="58"/>
      <c r="M356" s="58">
        <f>M358+M359</f>
        <v>0</v>
      </c>
    </row>
    <row r="357" ht="14.25" hidden="1">
      <c r="A357" s="80"/>
      <c r="B357" s="80"/>
      <c r="C357" s="81"/>
      <c r="D357" s="82" t="s">
        <v>107</v>
      </c>
      <c r="E357" s="55"/>
      <c r="F357" s="55"/>
      <c r="G357" s="55"/>
      <c r="H357" s="55"/>
      <c r="I357" s="55"/>
      <c r="J357" s="57"/>
      <c r="K357" s="58"/>
      <c r="L357" s="58"/>
      <c r="M357" s="58"/>
    </row>
    <row r="358" ht="14.25" hidden="1">
      <c r="A358" s="80"/>
      <c r="B358" s="80"/>
      <c r="C358" s="81"/>
      <c r="D358" s="55" t="s">
        <v>125</v>
      </c>
      <c r="E358" s="55"/>
      <c r="F358" s="55"/>
      <c r="G358" s="55"/>
      <c r="H358" s="55"/>
      <c r="I358" s="55"/>
      <c r="J358" s="57"/>
      <c r="K358" s="58">
        <f>SUM(BJ38:BJ335)</f>
        <v>0</v>
      </c>
      <c r="L358" s="58"/>
      <c r="M358" s="58">
        <f>ROUND(K358*Source!H140, 2)</f>
        <v>0</v>
      </c>
    </row>
    <row r="359" ht="14.25" hidden="1">
      <c r="A359" s="80"/>
      <c r="B359" s="80"/>
      <c r="C359" s="81"/>
      <c r="D359" s="55" t="s">
        <v>126</v>
      </c>
      <c r="E359" s="55"/>
      <c r="F359" s="55"/>
      <c r="G359" s="55"/>
      <c r="H359" s="55"/>
      <c r="I359" s="55"/>
      <c r="J359" s="57"/>
      <c r="K359" s="58">
        <f>SUM(AH38:AH335)</f>
        <v>0</v>
      </c>
      <c r="L359" s="58"/>
      <c r="M359" s="58">
        <f>ROUND(K359*Source!L140, 2)</f>
        <v>0</v>
      </c>
    </row>
    <row r="360" ht="14.25" hidden="1">
      <c r="A360" s="80"/>
      <c r="B360" s="80"/>
      <c r="C360" s="81"/>
      <c r="D360" s="55" t="s">
        <v>136</v>
      </c>
      <c r="E360" s="55"/>
      <c r="F360" s="55"/>
      <c r="G360" s="55"/>
      <c r="H360" s="55"/>
      <c r="I360" s="55"/>
      <c r="J360" s="57"/>
      <c r="K360" s="58">
        <f>K313</f>
        <v>0</v>
      </c>
      <c r="L360" s="58"/>
      <c r="M360" s="58">
        <f>M313</f>
        <v>0</v>
      </c>
    </row>
    <row r="361" ht="14.25">
      <c r="A361" s="80"/>
      <c r="B361" s="80"/>
      <c r="C361" s="81"/>
      <c r="D361" s="77" t="s">
        <v>137</v>
      </c>
      <c r="E361" s="55"/>
      <c r="F361" s="55"/>
      <c r="G361" s="55"/>
      <c r="H361" s="55"/>
      <c r="I361" s="55"/>
      <c r="J361" s="57"/>
      <c r="K361" s="58"/>
      <c r="L361" s="58"/>
      <c r="M361" s="58"/>
    </row>
    <row r="362" ht="14.25">
      <c r="A362" s="80"/>
      <c r="B362" s="80"/>
      <c r="C362" s="81"/>
      <c r="D362" s="55" t="s">
        <v>138</v>
      </c>
      <c r="E362" s="55"/>
      <c r="F362" s="55"/>
      <c r="G362" s="55"/>
      <c r="H362" s="55"/>
      <c r="I362" s="55"/>
      <c r="J362" s="57"/>
      <c r="K362" s="58">
        <f>SUM(AB38:AB335)</f>
        <v>7862.1400000000003</v>
      </c>
      <c r="L362" s="58"/>
      <c r="M362" s="58">
        <f>SUM(AX38:AX335)</f>
        <v>75083.400000000023</v>
      </c>
    </row>
    <row r="363" ht="14.25" hidden="1">
      <c r="A363" s="80"/>
      <c r="B363" s="80"/>
      <c r="C363" s="81"/>
      <c r="D363" s="55" t="s">
        <v>139</v>
      </c>
      <c r="E363" s="55"/>
      <c r="F363" s="55"/>
      <c r="G363" s="55"/>
      <c r="H363" s="55"/>
      <c r="I363" s="55"/>
      <c r="J363" s="57"/>
      <c r="K363" s="58">
        <f>SUM(AC38:AC335)</f>
        <v>0</v>
      </c>
      <c r="L363" s="58"/>
      <c r="M363" s="58">
        <f>SUM(AY38:AY335)</f>
        <v>0</v>
      </c>
    </row>
    <row r="364" ht="14.25">
      <c r="A364" s="80"/>
      <c r="B364" s="80"/>
      <c r="C364" s="81"/>
      <c r="D364" s="55" t="s">
        <v>140</v>
      </c>
      <c r="E364" s="55"/>
      <c r="F364" s="55"/>
      <c r="G364" s="59"/>
      <c r="H364" s="83">
        <f>Source!F75</f>
        <v>54.994399999999999</v>
      </c>
      <c r="I364" s="80"/>
      <c r="J364" s="80"/>
      <c r="K364" s="80"/>
      <c r="L364" s="80"/>
      <c r="M364" s="80"/>
    </row>
    <row r="365" ht="14.25">
      <c r="A365" s="80"/>
      <c r="B365" s="80"/>
      <c r="C365" s="81"/>
      <c r="D365" s="55" t="s">
        <v>141</v>
      </c>
      <c r="E365" s="55"/>
      <c r="F365" s="55"/>
      <c r="G365" s="59"/>
      <c r="H365" s="83">
        <f>Source!F76</f>
        <v>0.7137</v>
      </c>
      <c r="I365" s="80"/>
      <c r="J365" s="80"/>
      <c r="K365" s="80"/>
      <c r="L365" s="80"/>
      <c r="M365" s="80"/>
    </row>
    <row r="366">
      <c r="D366" t="s">
        <v>211</v>
      </c>
      <c r="M366" s="69">
        <f>M337</f>
        <v>161770.13999999998</v>
      </c>
    </row>
    <row r="367">
      <c r="D367" t="s">
        <v>212</v>
      </c>
      <c r="M367" s="129">
        <f>'Смета по ФЕР 421+557пр (12'!L385</f>
        <v>18528.259999999998</v>
      </c>
    </row>
    <row r="368">
      <c r="D368" t="s">
        <v>143</v>
      </c>
      <c r="M368" s="129">
        <f>'Смета по ФЕР 421+557пр (12'!L386</f>
        <v>16177.013999999999</v>
      </c>
    </row>
    <row r="369" s="130" customFormat="1" ht="15">
      <c r="D369" s="85" t="s">
        <v>211</v>
      </c>
      <c r="M369" s="131">
        <f>M366+M367+M368</f>
        <v>196475.41399999999</v>
      </c>
    </row>
    <row r="370" s="130" customFormat="1" ht="15">
      <c r="D370" s="85" t="s">
        <v>213</v>
      </c>
      <c r="M370" s="131">
        <f>M369*0.22</f>
        <v>43224.591079999998</v>
      </c>
    </row>
    <row r="371" s="130" customFormat="1" ht="15">
      <c r="D371" s="85" t="s">
        <v>210</v>
      </c>
      <c r="M371" s="131">
        <f>M369+M370-0.01</f>
        <v>239699.99507999996</v>
      </c>
    </row>
    <row r="372" ht="63" customHeight="1"/>
    <row r="373" ht="14.25" customHeight="1">
      <c r="A373" s="132"/>
      <c r="B373" s="133" t="s">
        <v>214</v>
      </c>
      <c r="C373" s="133"/>
      <c r="D373" s="103" t="str">
        <f>IF(Source!AM12&lt;&gt;"", Source!AM12," ")</f>
        <v xml:space="preserve"> </v>
      </c>
      <c r="E373" s="125"/>
      <c r="F373" s="125"/>
      <c r="G373" s="125"/>
      <c r="H373" s="125"/>
      <c r="I373" s="8" t="str">
        <f>IF(Source!AL12&lt;&gt;"", Source!AL12," ")</f>
        <v xml:space="preserve"> </v>
      </c>
      <c r="J373" s="21"/>
      <c r="K373" s="21"/>
      <c r="L373" s="21"/>
      <c r="M373" s="21"/>
    </row>
    <row r="374" ht="14.25" customHeight="1">
      <c r="A374" s="26"/>
      <c r="B374" s="7"/>
      <c r="C374" s="7"/>
      <c r="D374" s="106" t="s">
        <v>151</v>
      </c>
      <c r="E374" s="106"/>
      <c r="F374" s="106"/>
      <c r="G374" s="106"/>
      <c r="H374" s="106"/>
      <c r="I374" s="7"/>
      <c r="J374" s="21"/>
      <c r="K374" s="21"/>
      <c r="L374" s="21"/>
      <c r="M374" s="21"/>
    </row>
    <row r="375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1"/>
      <c r="K375" s="21"/>
      <c r="L375" s="21"/>
      <c r="M375" s="21"/>
    </row>
    <row r="376" ht="14.25" customHeight="1">
      <c r="A376" s="26"/>
      <c r="B376" s="133" t="s">
        <v>215</v>
      </c>
      <c r="C376" s="133"/>
      <c r="D376" s="103" t="str">
        <f>IF(Source!AI12&lt;&gt;"", Source!AI12," ")</f>
        <v xml:space="preserve"> </v>
      </c>
      <c r="E376" s="125"/>
      <c r="F376" s="125"/>
      <c r="G376" s="125"/>
      <c r="H376" s="125"/>
      <c r="I376" s="134" t="str">
        <f>IF(Source!AH12&lt;&gt;"", Source!AH12," ")</f>
        <v xml:space="preserve"> </v>
      </c>
      <c r="J376" s="21"/>
      <c r="K376" s="21"/>
      <c r="L376" s="21"/>
      <c r="M376" s="21"/>
    </row>
    <row r="377" ht="14.25" customHeight="1">
      <c r="A377" s="26"/>
      <c r="B377" s="7"/>
      <c r="C377" s="7"/>
      <c r="D377" s="106" t="s">
        <v>151</v>
      </c>
      <c r="E377" s="106"/>
      <c r="F377" s="106"/>
      <c r="G377" s="106"/>
      <c r="H377" s="106"/>
      <c r="I377" s="7"/>
      <c r="J377" s="21"/>
      <c r="K377" s="21"/>
      <c r="L377" s="21"/>
      <c r="M377" s="21"/>
    </row>
  </sheetData>
  <mergeCells count="178">
    <mergeCell ref="J2:M2"/>
    <mergeCell ref="I3:M3"/>
    <mergeCell ref="J4:M4"/>
    <mergeCell ref="K6:M6"/>
    <mergeCell ref="K7:M7"/>
    <mergeCell ref="K8:M9"/>
    <mergeCell ref="A9:B9"/>
    <mergeCell ref="C9:I9"/>
    <mergeCell ref="C10:I10"/>
    <mergeCell ref="K10:M11"/>
    <mergeCell ref="A11:B11"/>
    <mergeCell ref="C11:I11"/>
    <mergeCell ref="C12:I12"/>
    <mergeCell ref="K12:M13"/>
    <mergeCell ref="A13:B13"/>
    <mergeCell ref="C13:I13"/>
    <mergeCell ref="C14:I14"/>
    <mergeCell ref="K14:M15"/>
    <mergeCell ref="A15:B15"/>
    <mergeCell ref="C15:I15"/>
    <mergeCell ref="C16:I16"/>
    <mergeCell ref="K16:M17"/>
    <mergeCell ref="A17:B17"/>
    <mergeCell ref="C17:I17"/>
    <mergeCell ref="C18:I18"/>
    <mergeCell ref="H19:J19"/>
    <mergeCell ref="K19:M19"/>
    <mergeCell ref="H20:I20"/>
    <mergeCell ref="K20:M20"/>
    <mergeCell ref="K21:M21"/>
    <mergeCell ref="K22:M22"/>
    <mergeCell ref="G24:G25"/>
    <mergeCell ref="H24:H25"/>
    <mergeCell ref="I24:J24"/>
    <mergeCell ref="A28:M28"/>
    <mergeCell ref="A29:M29"/>
    <mergeCell ref="A31:M31"/>
    <mergeCell ref="A32:B32"/>
    <mergeCell ref="C32:C35"/>
    <mergeCell ref="D32:D35"/>
    <mergeCell ref="E32:E35"/>
    <mergeCell ref="F32:H34"/>
    <mergeCell ref="I32:K34"/>
    <mergeCell ref="L32:L35"/>
    <mergeCell ref="M32:M35"/>
    <mergeCell ref="A33:A35"/>
    <mergeCell ref="B33:B35"/>
    <mergeCell ref="A38:M38"/>
    <mergeCell ref="D51:I51"/>
    <mergeCell ref="J51:K51"/>
    <mergeCell ref="D64:I64"/>
    <mergeCell ref="J64:K64"/>
    <mergeCell ref="D66:M66"/>
    <mergeCell ref="D79:I79"/>
    <mergeCell ref="J79:K79"/>
    <mergeCell ref="D92:I92"/>
    <mergeCell ref="J92:K92"/>
    <mergeCell ref="D105:I105"/>
    <mergeCell ref="J105:K105"/>
    <mergeCell ref="D118:I118"/>
    <mergeCell ref="J118:K118"/>
    <mergeCell ref="D131:I131"/>
    <mergeCell ref="J131:K131"/>
    <mergeCell ref="D144:I144"/>
    <mergeCell ref="J144:K144"/>
    <mergeCell ref="D159:I159"/>
    <mergeCell ref="J159:K159"/>
    <mergeCell ref="D174:I174"/>
    <mergeCell ref="J174:K174"/>
    <mergeCell ref="D189:I189"/>
    <mergeCell ref="J189:K189"/>
    <mergeCell ref="D209:I209"/>
    <mergeCell ref="J209:K209"/>
    <mergeCell ref="D229:I229"/>
    <mergeCell ref="J229:K229"/>
    <mergeCell ref="D251:I251"/>
    <mergeCell ref="J251:K251"/>
    <mergeCell ref="D264:I264"/>
    <mergeCell ref="J264:K264"/>
    <mergeCell ref="D266:I266"/>
    <mergeCell ref="D268:I268"/>
    <mergeCell ref="D269:I269"/>
    <mergeCell ref="D270:I270"/>
    <mergeCell ref="D271:I271"/>
    <mergeCell ref="D272:I272"/>
    <mergeCell ref="D273:I273"/>
    <mergeCell ref="D274:I274"/>
    <mergeCell ref="D275:I275"/>
    <mergeCell ref="D276:I276"/>
    <mergeCell ref="D277:I277"/>
    <mergeCell ref="D278:I278"/>
    <mergeCell ref="D279:I279"/>
    <mergeCell ref="D280:I280"/>
    <mergeCell ref="D281:I281"/>
    <mergeCell ref="D282:I282"/>
    <mergeCell ref="D283:I283"/>
    <mergeCell ref="D284:I284"/>
    <mergeCell ref="D285:I285"/>
    <mergeCell ref="D286:I286"/>
    <mergeCell ref="D288:I288"/>
    <mergeCell ref="D289:I289"/>
    <mergeCell ref="D290:I290"/>
    <mergeCell ref="D291:I291"/>
    <mergeCell ref="D292:I292"/>
    <mergeCell ref="D293:I293"/>
    <mergeCell ref="D294:I294"/>
    <mergeCell ref="D295:I295"/>
    <mergeCell ref="D296:I296"/>
    <mergeCell ref="D297:I297"/>
    <mergeCell ref="D298:I298"/>
    <mergeCell ref="D299:I299"/>
    <mergeCell ref="D300:I300"/>
    <mergeCell ref="D301:I301"/>
    <mergeCell ref="D302:I302"/>
    <mergeCell ref="D303:I303"/>
    <mergeCell ref="D304:I304"/>
    <mergeCell ref="D305:I305"/>
    <mergeCell ref="D306:I306"/>
    <mergeCell ref="D308:I308"/>
    <mergeCell ref="D309:I309"/>
    <mergeCell ref="D310:I310"/>
    <mergeCell ref="D311:I311"/>
    <mergeCell ref="D313:I313"/>
    <mergeCell ref="D314:I314"/>
    <mergeCell ref="D315:I315"/>
    <mergeCell ref="D316:I316"/>
    <mergeCell ref="D317:I317"/>
    <mergeCell ref="D318:I318"/>
    <mergeCell ref="D319:I319"/>
    <mergeCell ref="D320:I320"/>
    <mergeCell ref="D321:I321"/>
    <mergeCell ref="D322:I322"/>
    <mergeCell ref="D323:I323"/>
    <mergeCell ref="D324:I324"/>
    <mergeCell ref="D325:I325"/>
    <mergeCell ref="D326:I326"/>
    <mergeCell ref="D327:I327"/>
    <mergeCell ref="D328:I328"/>
    <mergeCell ref="D329:I329"/>
    <mergeCell ref="D330:I330"/>
    <mergeCell ref="D331:I331"/>
    <mergeCell ref="D332:I332"/>
    <mergeCell ref="D333:I333"/>
    <mergeCell ref="D334:I334"/>
    <mergeCell ref="D335:I335"/>
    <mergeCell ref="D337:I337"/>
    <mergeCell ref="D338:I338"/>
    <mergeCell ref="D339:I339"/>
    <mergeCell ref="D340:I340"/>
    <mergeCell ref="D341:I341"/>
    <mergeCell ref="D342:I342"/>
    <mergeCell ref="D343:I343"/>
    <mergeCell ref="D344:I344"/>
    <mergeCell ref="D345:I345"/>
    <mergeCell ref="D346:I346"/>
    <mergeCell ref="D347:I347"/>
    <mergeCell ref="D348:I348"/>
    <mergeCell ref="D349:I349"/>
    <mergeCell ref="D350:I350"/>
    <mergeCell ref="D351:I351"/>
    <mergeCell ref="D352:I352"/>
    <mergeCell ref="D353:I353"/>
    <mergeCell ref="D354:I354"/>
    <mergeCell ref="D355:I355"/>
    <mergeCell ref="D356:I356"/>
    <mergeCell ref="D357:I357"/>
    <mergeCell ref="D358:I358"/>
    <mergeCell ref="D359:I359"/>
    <mergeCell ref="D360:I360"/>
    <mergeCell ref="D361:I361"/>
    <mergeCell ref="D362:I362"/>
    <mergeCell ref="D363:I363"/>
    <mergeCell ref="D364:G364"/>
    <mergeCell ref="D365:G365"/>
    <mergeCell ref="B373:C373"/>
    <mergeCell ref="D374:H374"/>
    <mergeCell ref="B376:C376"/>
    <mergeCell ref="D377:H377"/>
  </mergeCells>
  <printOptions headings="0" gridLines="0"/>
  <pageMargins left="0.40000000000000008" right="0.20000000000000004" top="0.20000000000000004" bottom="0.40000000000000008" header="0.20000000000000004" footer="0.20000000000000004"/>
  <pageSetup paperSize="9" scale="46" fitToWidth="1" fitToHeight="0" pageOrder="downThenOver" orientation="portrait" usePrinterDefaults="1" blackAndWhite="0" draft="0" cellComments="none" useFirstPageNumber="0" errors="displayed" horizontalDpi="600" verticalDpi="600" copies="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1"/>
  </sheetPr>
  <sheetViews>
    <sheetView topLeftCell="A12" zoomScale="100" workbookViewId="0">
      <selection activeCell="Q23" activeCellId="0" sqref="Q23:R23"/>
    </sheetView>
  </sheetViews>
  <sheetFormatPr defaultRowHeight="12.75"/>
  <cols>
    <col customWidth="1" min="1" max="1" width="5.7109375"/>
    <col customWidth="1" min="2" max="2" width="22.7109375"/>
    <col customWidth="1" min="10" max="11" width="11.140625"/>
  </cols>
  <sheetData>
    <row r="1" ht="14.25">
      <c r="A1" s="1" t="str">
        <f>Source!B1</f>
        <v xml:space="preserve">Smeta.RU  (495) 974-1589</v>
      </c>
      <c r="B1" s="1"/>
      <c r="C1" s="1"/>
      <c r="D1" s="1"/>
      <c r="E1" s="135"/>
      <c r="F1" s="135"/>
      <c r="G1" s="135"/>
      <c r="H1" s="136" t="s">
        <v>216</v>
      </c>
      <c r="I1" s="136"/>
      <c r="J1" s="136"/>
      <c r="K1" s="136"/>
      <c r="L1" s="136"/>
    </row>
    <row r="2" ht="14.25">
      <c r="A2" s="135"/>
      <c r="B2" s="135"/>
      <c r="C2" s="135"/>
      <c r="D2" s="135"/>
      <c r="E2" s="135"/>
      <c r="F2" s="135"/>
      <c r="G2" s="135"/>
      <c r="H2" s="136" t="s">
        <v>154</v>
      </c>
      <c r="I2" s="136"/>
      <c r="J2" s="136"/>
      <c r="K2" s="136"/>
      <c r="L2" s="136"/>
    </row>
    <row r="3" ht="14.25">
      <c r="A3" s="135"/>
      <c r="B3" s="135"/>
      <c r="C3" s="135"/>
      <c r="D3" s="135"/>
      <c r="E3" s="135"/>
      <c r="F3" s="135"/>
      <c r="G3" s="135"/>
      <c r="H3" s="136" t="s">
        <v>155</v>
      </c>
      <c r="I3" s="136"/>
      <c r="J3" s="136"/>
      <c r="K3" s="136"/>
      <c r="L3" s="136"/>
    </row>
    <row r="4" ht="14.2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7" t="s">
        <v>217</v>
      </c>
      <c r="L4" s="138"/>
    </row>
    <row r="5" ht="14.25">
      <c r="A5" s="135"/>
      <c r="B5" s="135"/>
      <c r="C5" s="135"/>
      <c r="D5" s="135"/>
      <c r="E5" s="135"/>
      <c r="F5" s="135"/>
      <c r="G5" s="135"/>
      <c r="H5" s="135"/>
      <c r="I5" s="139" t="s">
        <v>157</v>
      </c>
      <c r="J5" s="139"/>
      <c r="K5" s="137">
        <v>322001</v>
      </c>
      <c r="L5" s="138"/>
    </row>
    <row r="6" ht="14.25">
      <c r="A6" s="139" t="s">
        <v>218</v>
      </c>
      <c r="B6" s="139"/>
      <c r="C6" s="140"/>
      <c r="D6" s="140"/>
      <c r="E6" s="140"/>
      <c r="F6" s="140"/>
      <c r="G6" s="140"/>
      <c r="H6" s="140"/>
      <c r="I6" s="140"/>
      <c r="J6" s="139" t="s">
        <v>159</v>
      </c>
      <c r="K6" s="137"/>
      <c r="L6" s="138"/>
    </row>
    <row r="7" ht="14.25">
      <c r="A7" s="135"/>
      <c r="B7" s="135"/>
      <c r="C7" s="141" t="s">
        <v>160</v>
      </c>
      <c r="D7" s="141"/>
      <c r="E7" s="141"/>
      <c r="F7" s="141"/>
      <c r="G7" s="141"/>
      <c r="H7" s="141"/>
      <c r="I7" s="141"/>
      <c r="J7" s="135"/>
      <c r="K7" s="137"/>
      <c r="L7" s="138"/>
    </row>
    <row r="8" ht="14.25">
      <c r="A8" s="139" t="s">
        <v>219</v>
      </c>
      <c r="B8" s="139"/>
      <c r="C8" s="140"/>
      <c r="D8" s="140"/>
      <c r="E8" s="140"/>
      <c r="F8" s="140"/>
      <c r="G8" s="140"/>
      <c r="H8" s="140"/>
      <c r="I8" s="140"/>
      <c r="J8" s="139" t="s">
        <v>159</v>
      </c>
      <c r="K8" s="142"/>
      <c r="L8" s="143"/>
    </row>
    <row r="9" ht="14.25">
      <c r="A9" s="135"/>
      <c r="B9" s="135"/>
      <c r="C9" s="141" t="s">
        <v>160</v>
      </c>
      <c r="D9" s="141"/>
      <c r="E9" s="141"/>
      <c r="F9" s="141"/>
      <c r="G9" s="141"/>
      <c r="H9" s="141"/>
      <c r="I9" s="141"/>
      <c r="J9" s="135"/>
      <c r="K9" s="137"/>
      <c r="L9" s="138"/>
    </row>
    <row r="10" ht="14.25">
      <c r="A10" s="139" t="s">
        <v>220</v>
      </c>
      <c r="B10" s="139"/>
      <c r="C10" s="140"/>
      <c r="D10" s="140"/>
      <c r="E10" s="140"/>
      <c r="F10" s="140"/>
      <c r="G10" s="140"/>
      <c r="H10" s="140"/>
      <c r="I10" s="140"/>
      <c r="J10" s="139" t="s">
        <v>159</v>
      </c>
      <c r="K10" s="142"/>
      <c r="L10" s="143"/>
    </row>
    <row r="11" ht="14.25">
      <c r="A11" s="135"/>
      <c r="B11" s="135"/>
      <c r="C11" s="141" t="s">
        <v>160</v>
      </c>
      <c r="D11" s="141"/>
      <c r="E11" s="141"/>
      <c r="F11" s="141"/>
      <c r="G11" s="141"/>
      <c r="H11" s="141"/>
      <c r="I11" s="141"/>
      <c r="J11" s="135"/>
      <c r="K11" s="137"/>
      <c r="L11" s="138"/>
    </row>
    <row r="12" ht="14.25">
      <c r="A12" s="139" t="s">
        <v>221</v>
      </c>
      <c r="B12" s="139"/>
      <c r="C12" s="140"/>
      <c r="D12" s="140"/>
      <c r="E12" s="140"/>
      <c r="F12" s="140"/>
      <c r="G12" s="140"/>
      <c r="H12" s="140"/>
      <c r="I12" s="140"/>
      <c r="J12" s="139" t="s">
        <v>159</v>
      </c>
      <c r="K12" s="142"/>
      <c r="L12" s="143"/>
    </row>
    <row r="13" ht="14.25">
      <c r="A13" s="135"/>
      <c r="B13" s="135"/>
      <c r="C13" s="141" t="s">
        <v>165</v>
      </c>
      <c r="D13" s="141"/>
      <c r="E13" s="141"/>
      <c r="F13" s="141"/>
      <c r="G13" s="141"/>
      <c r="H13" s="139" t="s">
        <v>222</v>
      </c>
      <c r="I13" s="139"/>
      <c r="J13" s="144"/>
      <c r="K13" s="137"/>
      <c r="L13" s="138"/>
    </row>
    <row r="14" ht="14.25">
      <c r="A14" s="135"/>
      <c r="B14" s="135"/>
      <c r="C14" s="135"/>
      <c r="D14" s="135"/>
      <c r="E14" s="139" t="s">
        <v>223</v>
      </c>
      <c r="F14" s="139"/>
      <c r="G14" s="139"/>
      <c r="H14" s="139"/>
      <c r="I14" s="145" t="s">
        <v>170</v>
      </c>
      <c r="J14" s="146"/>
      <c r="K14" s="137"/>
      <c r="L14" s="138"/>
    </row>
    <row r="15" ht="14.25">
      <c r="A15" s="135"/>
      <c r="B15" s="135"/>
      <c r="C15" s="135"/>
      <c r="D15" s="135"/>
      <c r="E15" s="135"/>
      <c r="F15" s="135"/>
      <c r="G15" s="135"/>
      <c r="H15" s="135"/>
      <c r="I15" s="147" t="s">
        <v>171</v>
      </c>
      <c r="J15" s="148"/>
      <c r="K15" s="149"/>
      <c r="L15" s="150"/>
    </row>
    <row r="16" ht="14.25">
      <c r="A16" s="135"/>
      <c r="B16" s="135"/>
      <c r="C16" s="135"/>
      <c r="D16" s="135"/>
      <c r="E16" s="135"/>
      <c r="F16" s="135"/>
      <c r="G16" s="135"/>
      <c r="H16" s="135"/>
      <c r="I16" s="146" t="s">
        <v>172</v>
      </c>
      <c r="J16" s="146"/>
      <c r="K16" s="151"/>
      <c r="L16" s="152"/>
    </row>
    <row r="17" ht="14.25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</row>
    <row r="18" ht="14.25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</row>
    <row r="19" ht="14.25">
      <c r="A19" s="135"/>
      <c r="B19" s="135"/>
      <c r="C19" s="153" t="s">
        <v>173</v>
      </c>
      <c r="D19" s="154"/>
      <c r="E19" s="153" t="s">
        <v>174</v>
      </c>
      <c r="F19" s="155"/>
      <c r="G19" s="135"/>
      <c r="H19" s="135"/>
      <c r="I19" s="153" t="s">
        <v>175</v>
      </c>
      <c r="J19" s="154"/>
      <c r="K19" s="154"/>
      <c r="L19" s="155"/>
    </row>
    <row r="20" ht="14.25">
      <c r="A20" s="135"/>
      <c r="B20" s="135"/>
      <c r="C20" s="156"/>
      <c r="D20" s="157"/>
      <c r="E20" s="156"/>
      <c r="F20" s="158"/>
      <c r="G20" s="135"/>
      <c r="H20" s="135"/>
      <c r="I20" s="159" t="s">
        <v>176</v>
      </c>
      <c r="J20" s="160"/>
      <c r="K20" s="159" t="s">
        <v>177</v>
      </c>
      <c r="L20" s="161"/>
    </row>
    <row r="21" ht="14.25">
      <c r="A21" s="135"/>
      <c r="B21" s="135"/>
      <c r="C21" s="162"/>
      <c r="D21" s="163"/>
      <c r="E21" s="164"/>
      <c r="F21" s="165"/>
      <c r="G21" s="166"/>
      <c r="H21" s="166"/>
      <c r="I21" s="164"/>
      <c r="J21" s="167"/>
      <c r="K21" s="164"/>
      <c r="L21" s="165"/>
    </row>
    <row r="22" ht="14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</row>
    <row r="23" ht="14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</row>
    <row r="24" ht="16.5">
      <c r="A24" s="168" t="s">
        <v>224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</row>
    <row r="25" ht="16.5">
      <c r="A25" s="168" t="s">
        <v>225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</row>
    <row r="26" ht="14.25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</row>
    <row r="27" ht="14.25">
      <c r="A27" s="135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</row>
    <row r="28" ht="14.25">
      <c r="A28" s="169" t="s">
        <v>35</v>
      </c>
      <c r="B28" s="169" t="s">
        <v>226</v>
      </c>
      <c r="C28" s="170"/>
      <c r="D28" s="170"/>
      <c r="E28" s="170"/>
      <c r="F28" s="169" t="s">
        <v>156</v>
      </c>
      <c r="G28" s="169" t="s">
        <v>227</v>
      </c>
      <c r="H28" s="170"/>
      <c r="I28" s="170"/>
      <c r="J28" s="170"/>
      <c r="K28" s="170"/>
      <c r="L28" s="171"/>
    </row>
    <row r="29">
      <c r="A29" s="172"/>
      <c r="B29" s="172"/>
      <c r="C29" s="173"/>
      <c r="D29" s="173"/>
      <c r="E29" s="173"/>
      <c r="F29" s="172"/>
      <c r="G29" s="169" t="s">
        <v>228</v>
      </c>
      <c r="H29" s="170"/>
      <c r="I29" s="169" t="s">
        <v>229</v>
      </c>
      <c r="J29" s="170"/>
      <c r="K29" s="169" t="s">
        <v>230</v>
      </c>
      <c r="L29" s="171"/>
    </row>
    <row r="30">
      <c r="A30" s="172"/>
      <c r="B30" s="172"/>
      <c r="C30" s="173"/>
      <c r="D30" s="173"/>
      <c r="E30" s="173"/>
      <c r="F30" s="172"/>
      <c r="G30" s="172"/>
      <c r="H30" s="173"/>
      <c r="I30" s="172"/>
      <c r="J30" s="173"/>
      <c r="K30" s="172"/>
      <c r="L30" s="174"/>
    </row>
    <row r="31">
      <c r="A31" s="172"/>
      <c r="B31" s="172"/>
      <c r="C31" s="173"/>
      <c r="D31" s="173"/>
      <c r="E31" s="173"/>
      <c r="F31" s="172"/>
      <c r="G31" s="172"/>
      <c r="H31" s="173"/>
      <c r="I31" s="172"/>
      <c r="J31" s="173"/>
      <c r="K31" s="172"/>
      <c r="L31" s="174"/>
    </row>
    <row r="32">
      <c r="A32" s="172"/>
      <c r="B32" s="172"/>
      <c r="C32" s="173"/>
      <c r="D32" s="173"/>
      <c r="E32" s="173"/>
      <c r="F32" s="172"/>
      <c r="G32" s="172"/>
      <c r="H32" s="173"/>
      <c r="I32" s="172"/>
      <c r="J32" s="173"/>
      <c r="K32" s="172"/>
      <c r="L32" s="174"/>
    </row>
    <row r="33" ht="14.25">
      <c r="A33" s="137">
        <v>1</v>
      </c>
      <c r="B33" s="137">
        <v>2</v>
      </c>
      <c r="C33" s="175"/>
      <c r="D33" s="175"/>
      <c r="E33" s="175"/>
      <c r="F33" s="137">
        <v>3</v>
      </c>
      <c r="G33" s="137">
        <v>4</v>
      </c>
      <c r="H33" s="175"/>
      <c r="I33" s="137">
        <v>5</v>
      </c>
      <c r="J33" s="175"/>
      <c r="K33" s="137">
        <v>6</v>
      </c>
      <c r="L33" s="138"/>
    </row>
    <row r="34" ht="14.25">
      <c r="A34" s="169"/>
      <c r="B34" s="176" t="s">
        <v>231</v>
      </c>
      <c r="C34" s="177"/>
      <c r="D34" s="177"/>
      <c r="E34" s="177"/>
      <c r="F34" s="178"/>
      <c r="G34" s="179">
        <f>I34</f>
        <v>196475.41399999999</v>
      </c>
      <c r="H34" s="180"/>
      <c r="I34" s="179">
        <f>K34</f>
        <v>196475.41399999999</v>
      </c>
      <c r="J34" s="180"/>
      <c r="K34" s="179">
        <f>K36</f>
        <v>196475.41399999999</v>
      </c>
      <c r="L34" s="181"/>
    </row>
    <row r="35" ht="14.25">
      <c r="A35" s="182"/>
      <c r="B35" s="183" t="s">
        <v>232</v>
      </c>
      <c r="C35" s="184"/>
      <c r="D35" s="184"/>
      <c r="E35" s="184"/>
      <c r="F35" s="184"/>
      <c r="G35" s="184"/>
      <c r="H35" s="184"/>
      <c r="I35" s="184"/>
      <c r="J35" s="184"/>
      <c r="K35" s="177"/>
      <c r="L35" s="185"/>
    </row>
    <row r="36" ht="14.25">
      <c r="A36" s="146" t="s">
        <v>144</v>
      </c>
      <c r="B36" s="146"/>
      <c r="C36" s="146"/>
      <c r="D36" s="146"/>
      <c r="E36" s="146"/>
      <c r="F36" s="146"/>
      <c r="G36" s="146"/>
      <c r="H36" s="146"/>
      <c r="I36" s="146"/>
      <c r="J36" s="186"/>
      <c r="K36" s="187">
        <f>'Акт КС-2 по ФЕР 421+557пр '!M369</f>
        <v>196475.41399999999</v>
      </c>
      <c r="L36" s="186"/>
    </row>
    <row r="37" ht="14.25">
      <c r="A37" s="188" t="s">
        <v>233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9">
        <f>'Акт КС-2 по ФЕР 421+557пр '!M370</f>
        <v>43224.591079999998</v>
      </c>
      <c r="L37" s="190"/>
    </row>
    <row r="38" ht="14.25">
      <c r="A38" s="188" t="s">
        <v>234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91">
        <f>'Акт КС-2 по ФЕР 421+557пр '!M371</f>
        <v>239699.99507999996</v>
      </c>
      <c r="L38" s="192"/>
    </row>
    <row r="39" ht="14.25">
      <c r="A39" s="135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</row>
    <row r="42" ht="14.25">
      <c r="A42" s="193" t="s">
        <v>219</v>
      </c>
      <c r="B42" s="193"/>
      <c r="C42" s="194"/>
      <c r="D42" s="194"/>
      <c r="E42" s="194"/>
      <c r="F42" s="135"/>
      <c r="G42" s="194"/>
      <c r="H42" s="194"/>
      <c r="I42" s="135"/>
      <c r="J42" s="194"/>
      <c r="K42" s="194"/>
      <c r="L42" s="194"/>
    </row>
    <row r="43" ht="14.25">
      <c r="A43" s="135"/>
      <c r="B43" s="135"/>
      <c r="C43" s="195" t="s">
        <v>235</v>
      </c>
      <c r="D43" s="195"/>
      <c r="E43" s="195"/>
      <c r="F43" s="135"/>
      <c r="G43" s="195" t="s">
        <v>236</v>
      </c>
      <c r="H43" s="195"/>
      <c r="I43" s="135"/>
      <c r="J43" s="195" t="s">
        <v>237</v>
      </c>
      <c r="K43" s="195"/>
      <c r="L43" s="195"/>
    </row>
    <row r="44" ht="14.25">
      <c r="A44" s="135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</row>
    <row r="45" ht="14.25">
      <c r="A45" s="139" t="s">
        <v>238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</row>
    <row r="46" ht="14.25">
      <c r="A46" s="135"/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</row>
    <row r="47" ht="14.25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</row>
    <row r="48" ht="14.25">
      <c r="A48" s="135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</row>
    <row r="49" ht="14.25">
      <c r="A49" s="193" t="s">
        <v>220</v>
      </c>
      <c r="B49" s="193"/>
      <c r="C49" s="194"/>
      <c r="D49" s="194"/>
      <c r="E49" s="194"/>
      <c r="F49" s="135"/>
      <c r="G49" s="194"/>
      <c r="H49" s="194"/>
      <c r="I49" s="135"/>
      <c r="J49" s="194"/>
      <c r="K49" s="194"/>
      <c r="L49" s="194"/>
    </row>
    <row r="50" ht="14.25">
      <c r="A50" s="135"/>
      <c r="B50" s="135"/>
      <c r="C50" s="195" t="s">
        <v>235</v>
      </c>
      <c r="D50" s="195"/>
      <c r="E50" s="195"/>
      <c r="F50" s="135"/>
      <c r="G50" s="195" t="s">
        <v>236</v>
      </c>
      <c r="H50" s="195"/>
      <c r="I50" s="135"/>
      <c r="J50" s="195" t="s">
        <v>237</v>
      </c>
      <c r="K50" s="195"/>
      <c r="L50" s="195"/>
    </row>
    <row r="51" ht="14.25">
      <c r="A51" s="135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</row>
    <row r="52" ht="14.25">
      <c r="A52" s="139" t="s">
        <v>238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</row>
  </sheetData>
  <mergeCells count="79">
    <mergeCell ref="A1:D1"/>
    <mergeCell ref="H1:L1"/>
    <mergeCell ref="H2:L2"/>
    <mergeCell ref="H3:L3"/>
    <mergeCell ref="K4:L4"/>
    <mergeCell ref="I5:J5"/>
    <mergeCell ref="K5:L5"/>
    <mergeCell ref="A6:B6"/>
    <mergeCell ref="C6:I6"/>
    <mergeCell ref="K6:L6"/>
    <mergeCell ref="C7:I7"/>
    <mergeCell ref="A8:B8"/>
    <mergeCell ref="C8:H8"/>
    <mergeCell ref="K8:L8"/>
    <mergeCell ref="C9:I9"/>
    <mergeCell ref="A10:B10"/>
    <mergeCell ref="C10:I10"/>
    <mergeCell ref="K10:L10"/>
    <mergeCell ref="C11:I11"/>
    <mergeCell ref="A12:B12"/>
    <mergeCell ref="C12:I12"/>
    <mergeCell ref="K12:L12"/>
    <mergeCell ref="C13:G13"/>
    <mergeCell ref="H13:J13"/>
    <mergeCell ref="K13:L13"/>
    <mergeCell ref="E14:H14"/>
    <mergeCell ref="I14:J14"/>
    <mergeCell ref="K14:L14"/>
    <mergeCell ref="I15:J15"/>
    <mergeCell ref="K15:L15"/>
    <mergeCell ref="I16:J16"/>
    <mergeCell ref="K16:L16"/>
    <mergeCell ref="C19:D20"/>
    <mergeCell ref="E19:F20"/>
    <mergeCell ref="I19:L19"/>
    <mergeCell ref="I20:J20"/>
    <mergeCell ref="K20:L20"/>
    <mergeCell ref="C21:D21"/>
    <mergeCell ref="E21:F21"/>
    <mergeCell ref="I21:J21"/>
    <mergeCell ref="K21:L21"/>
    <mergeCell ref="A24:L24"/>
    <mergeCell ref="A25:L25"/>
    <mergeCell ref="A28:A32"/>
    <mergeCell ref="B28:E32"/>
    <mergeCell ref="F28:F32"/>
    <mergeCell ref="G28:L28"/>
    <mergeCell ref="G29:H32"/>
    <mergeCell ref="I29:J32"/>
    <mergeCell ref="K29:L32"/>
    <mergeCell ref="B33:E33"/>
    <mergeCell ref="G33:H33"/>
    <mergeCell ref="I33:J33"/>
    <mergeCell ref="K33:L33"/>
    <mergeCell ref="B34:E34"/>
    <mergeCell ref="G34:H34"/>
    <mergeCell ref="I34:J34"/>
    <mergeCell ref="K34:L34"/>
    <mergeCell ref="B35:L35"/>
    <mergeCell ref="A36:J36"/>
    <mergeCell ref="K36:L36"/>
    <mergeCell ref="A37:J37"/>
    <mergeCell ref="K37:L37"/>
    <mergeCell ref="A38:J38"/>
    <mergeCell ref="K38:L38"/>
    <mergeCell ref="A42:B42"/>
    <mergeCell ref="C42:E42"/>
    <mergeCell ref="G42:H42"/>
    <mergeCell ref="J42:L42"/>
    <mergeCell ref="C43:E43"/>
    <mergeCell ref="G43:H43"/>
    <mergeCell ref="J43:L43"/>
    <mergeCell ref="A49:B49"/>
    <mergeCell ref="C49:E49"/>
    <mergeCell ref="G49:H49"/>
    <mergeCell ref="J49:L49"/>
    <mergeCell ref="C50:E50"/>
    <mergeCell ref="G50:H50"/>
    <mergeCell ref="J50:L50"/>
  </mergeCells>
  <printOptions headings="0" gridLines="0"/>
  <pageMargins left="0.40000000000000008" right="0.20000000000000004" top="0.20000000000000004" bottom="0.40000000000000008" header="0.20000000000000004" footer="0.20000000000000004"/>
  <pageSetup paperSize="9" scale="80" fitToWidth="1" fitToHeight="0" pageOrder="downThenOver" orientation="portrait" usePrinterDefaults="1" blackAndWhite="0" draft="0" cellComments="none" useFirstPageNumber="0" errors="displayed" horizontalDpi="600" verticalDpi="600" copies="1"/>
  <headerFooter>
    <oddHeader>&amp;L&amp;8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40" activeCellId="0" sqref="A140:AN140"/>
    </sheetView>
  </sheetViews>
  <sheetFormatPr defaultColWidth="9.140625" defaultRowHeight="12.75"/>
  <cols>
    <col customWidth="1" min="1" max="256" width="9.140625"/>
  </cols>
  <sheetData>
    <row r="1">
      <c r="A1">
        <v>0</v>
      </c>
      <c r="B1" t="s">
        <v>239</v>
      </c>
      <c r="D1" t="s">
        <v>240</v>
      </c>
      <c r="F1">
        <v>0</v>
      </c>
      <c r="G1">
        <v>0</v>
      </c>
      <c r="H1">
        <v>0</v>
      </c>
      <c r="I1" t="s">
        <v>241</v>
      </c>
      <c r="J1" t="s">
        <v>242</v>
      </c>
      <c r="K1">
        <v>1</v>
      </c>
      <c r="L1">
        <v>72631</v>
      </c>
      <c r="M1">
        <v>10</v>
      </c>
      <c r="N1">
        <v>11</v>
      </c>
      <c r="O1">
        <v>11</v>
      </c>
      <c r="P1">
        <v>0</v>
      </c>
      <c r="Q1">
        <v>0</v>
      </c>
    </row>
    <row r="12">
      <c r="A12" s="196">
        <v>1</v>
      </c>
      <c r="B12" s="196">
        <v>139</v>
      </c>
      <c r="C12" s="196">
        <v>0</v>
      </c>
      <c r="D12" s="196">
        <f>ROW(A83)</f>
        <v>83</v>
      </c>
      <c r="E12" s="196">
        <v>0</v>
      </c>
      <c r="F12" s="196" t="s">
        <v>243</v>
      </c>
      <c r="G12" s="196" t="s">
        <v>164</v>
      </c>
      <c r="H12" s="196" t="s">
        <v>242</v>
      </c>
      <c r="I12" s="196">
        <v>0</v>
      </c>
      <c r="J12" s="196" t="s">
        <v>242</v>
      </c>
      <c r="K12" s="196">
        <v>0</v>
      </c>
      <c r="L12" s="196">
        <v>0</v>
      </c>
      <c r="M12" s="196">
        <v>131078</v>
      </c>
      <c r="N12" s="196"/>
      <c r="O12" s="196">
        <v>0</v>
      </c>
      <c r="P12" s="196">
        <v>0</v>
      </c>
      <c r="Q12" s="196">
        <v>0</v>
      </c>
      <c r="R12" s="196">
        <v>0</v>
      </c>
      <c r="S12" s="196"/>
      <c r="T12" s="196">
        <v>3</v>
      </c>
      <c r="U12" s="196" t="s">
        <v>242</v>
      </c>
      <c r="V12" s="196">
        <v>0</v>
      </c>
      <c r="W12" s="196" t="s">
        <v>242</v>
      </c>
      <c r="X12" s="196" t="s">
        <v>242</v>
      </c>
      <c r="Y12" s="196" t="s">
        <v>242</v>
      </c>
      <c r="Z12" s="196" t="s">
        <v>242</v>
      </c>
      <c r="AA12" s="196" t="s">
        <v>242</v>
      </c>
      <c r="AB12" s="196" t="s">
        <v>242</v>
      </c>
      <c r="AC12" s="196" t="s">
        <v>242</v>
      </c>
      <c r="AD12" s="196" t="s">
        <v>242</v>
      </c>
      <c r="AE12" s="196" t="s">
        <v>242</v>
      </c>
      <c r="AF12" s="196" t="s">
        <v>242</v>
      </c>
      <c r="AG12" s="196" t="s">
        <v>242</v>
      </c>
      <c r="AH12" s="196" t="s">
        <v>242</v>
      </c>
      <c r="AI12" s="196" t="s">
        <v>242</v>
      </c>
      <c r="AJ12" s="196" t="s">
        <v>242</v>
      </c>
      <c r="AK12" s="196"/>
      <c r="AL12" s="196" t="s">
        <v>242</v>
      </c>
      <c r="AM12" s="196" t="s">
        <v>242</v>
      </c>
      <c r="AN12" s="196" t="s">
        <v>242</v>
      </c>
      <c r="AO12" s="196"/>
      <c r="AP12" s="196" t="s">
        <v>242</v>
      </c>
      <c r="AQ12" s="196" t="s">
        <v>242</v>
      </c>
      <c r="AR12" s="196" t="s">
        <v>242</v>
      </c>
      <c r="AS12" s="196"/>
      <c r="AT12" s="196"/>
      <c r="AU12" s="196"/>
      <c r="AV12" s="196"/>
      <c r="AW12" s="196"/>
      <c r="AX12" s="196" t="s">
        <v>242</v>
      </c>
      <c r="AY12" s="196" t="s">
        <v>242</v>
      </c>
      <c r="AZ12" s="196" t="s">
        <v>242</v>
      </c>
      <c r="BA12" s="196"/>
      <c r="BB12" s="196">
        <v>2</v>
      </c>
      <c r="BC12" s="196"/>
      <c r="BD12" s="196"/>
      <c r="BE12" s="196"/>
      <c r="BF12" s="196"/>
      <c r="BG12" s="196"/>
      <c r="BH12" s="196" t="s">
        <v>244</v>
      </c>
      <c r="BI12" s="196" t="s">
        <v>245</v>
      </c>
      <c r="BJ12" s="196">
        <v>1</v>
      </c>
      <c r="BK12" s="196">
        <v>1</v>
      </c>
      <c r="BL12" s="196">
        <v>0</v>
      </c>
      <c r="BM12" s="196">
        <v>0</v>
      </c>
      <c r="BN12" s="196">
        <v>1</v>
      </c>
      <c r="BO12" s="196">
        <v>0</v>
      </c>
      <c r="BP12" s="196">
        <v>2</v>
      </c>
      <c r="BQ12" s="196">
        <v>2</v>
      </c>
      <c r="BR12" s="196">
        <v>1</v>
      </c>
      <c r="BS12" s="196">
        <v>1</v>
      </c>
      <c r="BT12" s="196">
        <v>0</v>
      </c>
      <c r="BU12" s="196">
        <v>0</v>
      </c>
      <c r="BV12" s="196">
        <v>1</v>
      </c>
      <c r="BW12" s="196">
        <v>0</v>
      </c>
      <c r="BX12" s="196">
        <v>0</v>
      </c>
      <c r="BY12" s="196" t="s">
        <v>246</v>
      </c>
      <c r="BZ12" s="196" t="s">
        <v>247</v>
      </c>
      <c r="CA12" s="196" t="s">
        <v>248</v>
      </c>
      <c r="CB12" s="196" t="s">
        <v>248</v>
      </c>
      <c r="CC12" s="196" t="s">
        <v>248</v>
      </c>
      <c r="CD12" s="196" t="s">
        <v>248</v>
      </c>
      <c r="CE12" s="196" t="s">
        <v>249</v>
      </c>
      <c r="CF12" s="196">
        <v>0</v>
      </c>
      <c r="CG12" s="196">
        <v>0</v>
      </c>
      <c r="CH12" s="196">
        <v>403177480</v>
      </c>
      <c r="CI12" s="196" t="s">
        <v>242</v>
      </c>
      <c r="CJ12" s="196" t="s">
        <v>242</v>
      </c>
      <c r="CK12" s="196">
        <v>9</v>
      </c>
      <c r="CL12" s="196"/>
      <c r="CM12" s="196"/>
      <c r="CN12" s="196"/>
      <c r="CO12" s="196"/>
      <c r="CP12" s="196"/>
      <c r="CQ12" s="196" t="s">
        <v>250</v>
      </c>
      <c r="CR12" s="196" t="s">
        <v>251</v>
      </c>
      <c r="CS12" s="196">
        <v>44551</v>
      </c>
      <c r="CT12" s="196">
        <v>395</v>
      </c>
      <c r="CU12" s="196"/>
      <c r="CV12" s="196"/>
      <c r="CW12" s="196"/>
      <c r="CX12" s="196"/>
      <c r="CY12" s="196">
        <v>0</v>
      </c>
      <c r="CZ12" s="196" t="s">
        <v>242</v>
      </c>
      <c r="DA12" s="196" t="s">
        <v>242</v>
      </c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>
        <v>0</v>
      </c>
    </row>
    <row r="15">
      <c r="A15" s="196">
        <v>15</v>
      </c>
      <c r="B15" s="196">
        <v>1</v>
      </c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</row>
    <row r="18">
      <c r="A18" s="197">
        <v>52</v>
      </c>
      <c r="B18" s="197">
        <f t="shared" ref="B18:G18" si="36">B83</f>
        <v>139</v>
      </c>
      <c r="C18" s="197">
        <f t="shared" si="36"/>
        <v>1</v>
      </c>
      <c r="D18" s="197">
        <f t="shared" si="36"/>
        <v>12</v>
      </c>
      <c r="E18" s="197">
        <f t="shared" si="36"/>
        <v>0</v>
      </c>
      <c r="F18" s="197" t="str">
        <f t="shared" si="36"/>
        <v xml:space="preserve">Новый объект</v>
      </c>
      <c r="G18" s="197" t="str">
        <f t="shared" si="36"/>
        <v>Астрахань</v>
      </c>
      <c r="H18" s="197"/>
      <c r="I18" s="197"/>
      <c r="J18" s="197"/>
      <c r="K18" s="197"/>
      <c r="L18" s="197"/>
      <c r="M18" s="197"/>
      <c r="N18" s="197"/>
      <c r="O18" s="197">
        <f t="shared" ref="O18:AT18" si="37">O83</f>
        <v>9909.9799999999996</v>
      </c>
      <c r="P18" s="197">
        <f t="shared" si="37"/>
        <v>9374.5599999999995</v>
      </c>
      <c r="Q18" s="197">
        <f t="shared" si="37"/>
        <v>48.980000000000004</v>
      </c>
      <c r="R18" s="197">
        <f t="shared" si="37"/>
        <v>8.9500000000000011</v>
      </c>
      <c r="S18" s="197">
        <f t="shared" si="37"/>
        <v>486.44</v>
      </c>
      <c r="T18" s="197">
        <f t="shared" si="37"/>
        <v>0</v>
      </c>
      <c r="U18" s="197">
        <f t="shared" si="37"/>
        <v>54.994399999999985</v>
      </c>
      <c r="V18" s="197">
        <f t="shared" si="37"/>
        <v>0.7137</v>
      </c>
      <c r="W18" s="197">
        <f t="shared" si="37"/>
        <v>0</v>
      </c>
      <c r="X18" s="197">
        <f t="shared" si="37"/>
        <v>517.88999999999999</v>
      </c>
      <c r="Y18" s="197">
        <f t="shared" si="37"/>
        <v>287.06</v>
      </c>
      <c r="Z18" s="197">
        <f t="shared" si="37"/>
        <v>0</v>
      </c>
      <c r="AA18" s="197">
        <f t="shared" si="37"/>
        <v>0</v>
      </c>
      <c r="AB18" s="197">
        <f t="shared" si="37"/>
        <v>0</v>
      </c>
      <c r="AC18" s="197">
        <f t="shared" si="37"/>
        <v>0</v>
      </c>
      <c r="AD18" s="197">
        <f t="shared" si="37"/>
        <v>0</v>
      </c>
      <c r="AE18" s="197">
        <f t="shared" si="37"/>
        <v>0</v>
      </c>
      <c r="AF18" s="197">
        <f t="shared" si="37"/>
        <v>0</v>
      </c>
      <c r="AG18" s="197">
        <f t="shared" si="37"/>
        <v>0</v>
      </c>
      <c r="AH18" s="197">
        <f t="shared" si="37"/>
        <v>0</v>
      </c>
      <c r="AI18" s="197">
        <f t="shared" si="37"/>
        <v>0</v>
      </c>
      <c r="AJ18" s="197">
        <f t="shared" si="37"/>
        <v>0</v>
      </c>
      <c r="AK18" s="197">
        <f t="shared" si="37"/>
        <v>0</v>
      </c>
      <c r="AL18" s="197">
        <f t="shared" si="37"/>
        <v>0</v>
      </c>
      <c r="AM18" s="197">
        <f t="shared" si="37"/>
        <v>0</v>
      </c>
      <c r="AN18" s="197">
        <f t="shared" si="37"/>
        <v>0</v>
      </c>
      <c r="AO18" s="197">
        <f t="shared" si="37"/>
        <v>0</v>
      </c>
      <c r="AP18" s="197">
        <f t="shared" si="37"/>
        <v>0</v>
      </c>
      <c r="AQ18" s="197">
        <f t="shared" si="37"/>
        <v>0</v>
      </c>
      <c r="AR18" s="197">
        <f t="shared" si="37"/>
        <v>10714.93</v>
      </c>
      <c r="AS18" s="197">
        <f t="shared" si="37"/>
        <v>10714.93</v>
      </c>
      <c r="AT18" s="197">
        <f t="shared" si="37"/>
        <v>0</v>
      </c>
      <c r="AU18" s="197">
        <f t="shared" ref="AU18:BZ18" si="38">AU83</f>
        <v>0</v>
      </c>
      <c r="AV18" s="197">
        <f t="shared" si="38"/>
        <v>9374.5599999999995</v>
      </c>
      <c r="AW18" s="197">
        <f t="shared" si="38"/>
        <v>9374.5599999999995</v>
      </c>
      <c r="AX18" s="197">
        <f t="shared" si="38"/>
        <v>0</v>
      </c>
      <c r="AY18" s="197">
        <f t="shared" si="38"/>
        <v>9374.5599999999995</v>
      </c>
      <c r="AZ18" s="197">
        <f t="shared" si="38"/>
        <v>0</v>
      </c>
      <c r="BA18" s="197">
        <f t="shared" si="38"/>
        <v>0</v>
      </c>
      <c r="BB18" s="197">
        <f t="shared" si="38"/>
        <v>0</v>
      </c>
      <c r="BC18" s="197">
        <f t="shared" si="38"/>
        <v>0</v>
      </c>
      <c r="BD18" s="197">
        <f t="shared" si="38"/>
        <v>0</v>
      </c>
      <c r="BE18" s="197">
        <f t="shared" si="38"/>
        <v>0</v>
      </c>
      <c r="BF18" s="197">
        <f t="shared" si="38"/>
        <v>0</v>
      </c>
      <c r="BG18" s="197">
        <f t="shared" si="38"/>
        <v>0</v>
      </c>
      <c r="BH18" s="197">
        <f t="shared" si="38"/>
        <v>0</v>
      </c>
      <c r="BI18" s="197">
        <f t="shared" si="38"/>
        <v>0</v>
      </c>
      <c r="BJ18" s="197">
        <f t="shared" si="38"/>
        <v>0</v>
      </c>
      <c r="BK18" s="197">
        <f t="shared" si="38"/>
        <v>0</v>
      </c>
      <c r="BL18" s="197">
        <f t="shared" si="38"/>
        <v>0</v>
      </c>
      <c r="BM18" s="197">
        <f t="shared" si="38"/>
        <v>0</v>
      </c>
      <c r="BN18" s="197">
        <f t="shared" si="38"/>
        <v>0</v>
      </c>
      <c r="BO18" s="197">
        <f t="shared" si="38"/>
        <v>0</v>
      </c>
      <c r="BP18" s="197">
        <f t="shared" si="38"/>
        <v>0</v>
      </c>
      <c r="BQ18" s="197">
        <f t="shared" si="38"/>
        <v>0</v>
      </c>
      <c r="BR18" s="197">
        <f t="shared" si="38"/>
        <v>0</v>
      </c>
      <c r="BS18" s="197">
        <f t="shared" si="38"/>
        <v>0</v>
      </c>
      <c r="BT18" s="197">
        <f t="shared" si="38"/>
        <v>0</v>
      </c>
      <c r="BU18" s="197">
        <f t="shared" si="38"/>
        <v>0</v>
      </c>
      <c r="BV18" s="197">
        <f t="shared" si="38"/>
        <v>0</v>
      </c>
      <c r="BW18" s="197">
        <f t="shared" si="38"/>
        <v>0</v>
      </c>
      <c r="BX18" s="197">
        <f t="shared" si="38"/>
        <v>0</v>
      </c>
      <c r="BY18" s="197">
        <f t="shared" si="38"/>
        <v>0</v>
      </c>
      <c r="BZ18" s="197">
        <f t="shared" si="38"/>
        <v>0</v>
      </c>
      <c r="CA18" s="197">
        <f t="shared" ref="CA18:DF18" si="39">CA83</f>
        <v>0</v>
      </c>
      <c r="CB18" s="197">
        <f t="shared" si="39"/>
        <v>0</v>
      </c>
      <c r="CC18" s="197">
        <f t="shared" si="39"/>
        <v>0</v>
      </c>
      <c r="CD18" s="197">
        <f t="shared" si="39"/>
        <v>0</v>
      </c>
      <c r="CE18" s="197">
        <f t="shared" si="39"/>
        <v>0</v>
      </c>
      <c r="CF18" s="197">
        <f t="shared" si="39"/>
        <v>0</v>
      </c>
      <c r="CG18" s="197">
        <f t="shared" si="39"/>
        <v>0</v>
      </c>
      <c r="CH18" s="197">
        <f t="shared" si="39"/>
        <v>0</v>
      </c>
      <c r="CI18" s="197">
        <f t="shared" si="39"/>
        <v>0</v>
      </c>
      <c r="CJ18" s="197">
        <f t="shared" si="39"/>
        <v>0</v>
      </c>
      <c r="CK18" s="197">
        <f t="shared" si="39"/>
        <v>0</v>
      </c>
      <c r="CL18" s="197">
        <f t="shared" si="39"/>
        <v>0</v>
      </c>
      <c r="CM18" s="197">
        <f t="shared" si="39"/>
        <v>0</v>
      </c>
      <c r="CN18" s="197">
        <f t="shared" si="39"/>
        <v>0</v>
      </c>
      <c r="CO18" s="197">
        <f t="shared" si="39"/>
        <v>0</v>
      </c>
      <c r="CP18" s="197">
        <f t="shared" si="39"/>
        <v>0</v>
      </c>
      <c r="CQ18" s="197">
        <f t="shared" si="39"/>
        <v>0</v>
      </c>
      <c r="CR18" s="197">
        <f t="shared" si="39"/>
        <v>0</v>
      </c>
      <c r="CS18" s="197">
        <f t="shared" si="39"/>
        <v>0</v>
      </c>
      <c r="CT18" s="197">
        <f t="shared" si="39"/>
        <v>0</v>
      </c>
      <c r="CU18" s="197">
        <f t="shared" si="39"/>
        <v>0</v>
      </c>
      <c r="CV18" s="197">
        <f t="shared" si="39"/>
        <v>0</v>
      </c>
      <c r="CW18" s="197">
        <f t="shared" si="39"/>
        <v>0</v>
      </c>
      <c r="CX18" s="197">
        <f t="shared" si="39"/>
        <v>0</v>
      </c>
      <c r="CY18" s="197">
        <f t="shared" si="39"/>
        <v>0</v>
      </c>
      <c r="CZ18" s="197">
        <f t="shared" si="39"/>
        <v>0</v>
      </c>
      <c r="DA18" s="197">
        <f t="shared" si="39"/>
        <v>0</v>
      </c>
      <c r="DB18" s="197">
        <f t="shared" si="39"/>
        <v>0</v>
      </c>
      <c r="DC18" s="197">
        <f t="shared" si="39"/>
        <v>0</v>
      </c>
      <c r="DD18" s="197">
        <f t="shared" si="39"/>
        <v>0</v>
      </c>
      <c r="DE18" s="197">
        <f t="shared" si="39"/>
        <v>0</v>
      </c>
      <c r="DF18" s="197">
        <f t="shared" si="39"/>
        <v>0</v>
      </c>
      <c r="DG18" s="198">
        <f t="shared" ref="DG18:EL18" si="40">DG83</f>
        <v>0</v>
      </c>
      <c r="DH18" s="198">
        <f t="shared" si="40"/>
        <v>0</v>
      </c>
      <c r="DI18" s="198">
        <f t="shared" si="40"/>
        <v>0</v>
      </c>
      <c r="DJ18" s="198">
        <f t="shared" si="40"/>
        <v>0</v>
      </c>
      <c r="DK18" s="198">
        <f t="shared" si="40"/>
        <v>0</v>
      </c>
      <c r="DL18" s="198">
        <f t="shared" si="40"/>
        <v>0</v>
      </c>
      <c r="DM18" s="198">
        <f t="shared" si="40"/>
        <v>0</v>
      </c>
      <c r="DN18" s="198">
        <f t="shared" si="40"/>
        <v>0</v>
      </c>
      <c r="DO18" s="198">
        <f t="shared" si="40"/>
        <v>0</v>
      </c>
      <c r="DP18" s="198">
        <f t="shared" si="40"/>
        <v>0</v>
      </c>
      <c r="DQ18" s="198">
        <f t="shared" si="40"/>
        <v>0</v>
      </c>
      <c r="DR18" s="198">
        <f t="shared" si="40"/>
        <v>0</v>
      </c>
      <c r="DS18" s="198">
        <f t="shared" si="40"/>
        <v>0</v>
      </c>
      <c r="DT18" s="198">
        <f t="shared" si="40"/>
        <v>0</v>
      </c>
      <c r="DU18" s="198">
        <f t="shared" si="40"/>
        <v>0</v>
      </c>
      <c r="DV18" s="198">
        <f t="shared" si="40"/>
        <v>0</v>
      </c>
      <c r="DW18" s="198">
        <f t="shared" si="40"/>
        <v>0</v>
      </c>
      <c r="DX18" s="198">
        <f t="shared" si="40"/>
        <v>0</v>
      </c>
      <c r="DY18" s="198">
        <f t="shared" si="40"/>
        <v>0</v>
      </c>
      <c r="DZ18" s="198">
        <f t="shared" si="40"/>
        <v>0</v>
      </c>
      <c r="EA18" s="198">
        <f t="shared" si="40"/>
        <v>0</v>
      </c>
      <c r="EB18" s="198">
        <f t="shared" si="40"/>
        <v>0</v>
      </c>
      <c r="EC18" s="198">
        <f t="shared" si="40"/>
        <v>0</v>
      </c>
      <c r="ED18" s="198">
        <f t="shared" si="40"/>
        <v>0</v>
      </c>
      <c r="EE18" s="198">
        <f t="shared" si="40"/>
        <v>0</v>
      </c>
      <c r="EF18" s="198">
        <f t="shared" si="40"/>
        <v>0</v>
      </c>
      <c r="EG18" s="198">
        <f t="shared" si="40"/>
        <v>0</v>
      </c>
      <c r="EH18" s="198">
        <f t="shared" si="40"/>
        <v>0</v>
      </c>
      <c r="EI18" s="198">
        <f t="shared" si="40"/>
        <v>0</v>
      </c>
      <c r="EJ18" s="198">
        <f t="shared" si="40"/>
        <v>0</v>
      </c>
      <c r="EK18" s="198">
        <f t="shared" si="40"/>
        <v>0</v>
      </c>
      <c r="EL18" s="198">
        <f t="shared" si="40"/>
        <v>0</v>
      </c>
      <c r="EM18" s="198">
        <f t="shared" ref="EM18:FR18" si="41">EM83</f>
        <v>0</v>
      </c>
      <c r="EN18" s="198">
        <f t="shared" si="41"/>
        <v>0</v>
      </c>
      <c r="EO18" s="198">
        <f t="shared" si="41"/>
        <v>0</v>
      </c>
      <c r="EP18" s="198">
        <f t="shared" si="41"/>
        <v>0</v>
      </c>
      <c r="EQ18" s="198">
        <f t="shared" si="41"/>
        <v>0</v>
      </c>
      <c r="ER18" s="198">
        <f t="shared" si="41"/>
        <v>0</v>
      </c>
      <c r="ES18" s="198">
        <f t="shared" si="41"/>
        <v>0</v>
      </c>
      <c r="ET18" s="198">
        <f t="shared" si="41"/>
        <v>0</v>
      </c>
      <c r="EU18" s="198">
        <f t="shared" si="41"/>
        <v>0</v>
      </c>
      <c r="EV18" s="198">
        <f t="shared" si="41"/>
        <v>0</v>
      </c>
      <c r="EW18" s="198">
        <f t="shared" si="41"/>
        <v>0</v>
      </c>
      <c r="EX18" s="198">
        <f t="shared" si="41"/>
        <v>0</v>
      </c>
      <c r="EY18" s="198">
        <f t="shared" si="41"/>
        <v>0</v>
      </c>
      <c r="EZ18" s="198">
        <f t="shared" si="41"/>
        <v>0</v>
      </c>
      <c r="FA18" s="198">
        <f t="shared" si="41"/>
        <v>0</v>
      </c>
      <c r="FB18" s="198">
        <f t="shared" si="41"/>
        <v>0</v>
      </c>
      <c r="FC18" s="198">
        <f t="shared" si="41"/>
        <v>0</v>
      </c>
      <c r="FD18" s="198">
        <f t="shared" si="41"/>
        <v>0</v>
      </c>
      <c r="FE18" s="198">
        <f t="shared" si="41"/>
        <v>0</v>
      </c>
      <c r="FF18" s="198">
        <f t="shared" si="41"/>
        <v>0</v>
      </c>
      <c r="FG18" s="198">
        <f t="shared" si="41"/>
        <v>0</v>
      </c>
      <c r="FH18" s="198">
        <f t="shared" si="41"/>
        <v>0</v>
      </c>
      <c r="FI18" s="198">
        <f t="shared" si="41"/>
        <v>0</v>
      </c>
      <c r="FJ18" s="198">
        <f t="shared" si="41"/>
        <v>0</v>
      </c>
      <c r="FK18" s="198">
        <f t="shared" si="41"/>
        <v>0</v>
      </c>
      <c r="FL18" s="198">
        <f t="shared" si="41"/>
        <v>0</v>
      </c>
      <c r="FM18" s="198">
        <f t="shared" si="41"/>
        <v>0</v>
      </c>
      <c r="FN18" s="198">
        <f t="shared" si="41"/>
        <v>0</v>
      </c>
      <c r="FO18" s="198">
        <f t="shared" si="41"/>
        <v>0</v>
      </c>
      <c r="FP18" s="198">
        <f t="shared" si="41"/>
        <v>0</v>
      </c>
      <c r="FQ18" s="198">
        <f t="shared" si="41"/>
        <v>0</v>
      </c>
      <c r="FR18" s="198">
        <f t="shared" si="41"/>
        <v>0</v>
      </c>
      <c r="FS18" s="198">
        <f t="shared" ref="FS18:GX18" si="42">FS83</f>
        <v>0</v>
      </c>
      <c r="FT18" s="198">
        <f t="shared" si="42"/>
        <v>0</v>
      </c>
      <c r="FU18" s="198">
        <f t="shared" si="42"/>
        <v>0</v>
      </c>
      <c r="FV18" s="198">
        <f t="shared" si="42"/>
        <v>0</v>
      </c>
      <c r="FW18" s="198">
        <f t="shared" si="42"/>
        <v>0</v>
      </c>
      <c r="FX18" s="198">
        <f t="shared" si="42"/>
        <v>0</v>
      </c>
      <c r="FY18" s="198">
        <f t="shared" si="42"/>
        <v>0</v>
      </c>
      <c r="FZ18" s="198">
        <f t="shared" si="42"/>
        <v>0</v>
      </c>
      <c r="GA18" s="198">
        <f t="shared" si="42"/>
        <v>0</v>
      </c>
      <c r="GB18" s="198">
        <f t="shared" si="42"/>
        <v>0</v>
      </c>
      <c r="GC18" s="198">
        <f t="shared" si="42"/>
        <v>0</v>
      </c>
      <c r="GD18" s="198">
        <f t="shared" si="42"/>
        <v>0</v>
      </c>
      <c r="GE18" s="198">
        <f t="shared" si="42"/>
        <v>0</v>
      </c>
      <c r="GF18" s="198">
        <f t="shared" si="42"/>
        <v>0</v>
      </c>
      <c r="GG18" s="198">
        <f t="shared" si="42"/>
        <v>0</v>
      </c>
      <c r="GH18" s="198">
        <f t="shared" si="42"/>
        <v>0</v>
      </c>
      <c r="GI18" s="198">
        <f t="shared" si="42"/>
        <v>0</v>
      </c>
      <c r="GJ18" s="198">
        <f t="shared" si="42"/>
        <v>0</v>
      </c>
      <c r="GK18" s="198">
        <f t="shared" si="42"/>
        <v>0</v>
      </c>
      <c r="GL18" s="198">
        <f t="shared" si="42"/>
        <v>0</v>
      </c>
      <c r="GM18" s="198">
        <f t="shared" si="42"/>
        <v>0</v>
      </c>
      <c r="GN18" s="198">
        <f t="shared" si="42"/>
        <v>0</v>
      </c>
      <c r="GO18" s="198">
        <f t="shared" si="42"/>
        <v>0</v>
      </c>
      <c r="GP18" s="198">
        <f t="shared" si="42"/>
        <v>0</v>
      </c>
      <c r="GQ18" s="198">
        <f t="shared" si="42"/>
        <v>0</v>
      </c>
      <c r="GR18" s="198">
        <f t="shared" si="42"/>
        <v>0</v>
      </c>
      <c r="GS18" s="198">
        <f t="shared" si="42"/>
        <v>0</v>
      </c>
      <c r="GT18" s="198">
        <f t="shared" si="42"/>
        <v>0</v>
      </c>
      <c r="GU18" s="198">
        <f t="shared" si="42"/>
        <v>0</v>
      </c>
      <c r="GV18" s="198">
        <f t="shared" si="42"/>
        <v>0</v>
      </c>
      <c r="GW18" s="198">
        <f t="shared" si="42"/>
        <v>0</v>
      </c>
      <c r="GX18" s="198">
        <f t="shared" si="42"/>
        <v>0</v>
      </c>
    </row>
    <row r="20">
      <c r="A20" s="196">
        <v>3</v>
      </c>
      <c r="B20" s="196">
        <v>1</v>
      </c>
      <c r="C20" s="196"/>
      <c r="D20" s="196">
        <f>ROW(A53)</f>
        <v>53</v>
      </c>
      <c r="E20" s="196"/>
      <c r="F20" s="196" t="s">
        <v>242</v>
      </c>
      <c r="G20" s="196" t="s">
        <v>252</v>
      </c>
      <c r="H20" s="196" t="s">
        <v>242</v>
      </c>
      <c r="I20" s="196">
        <v>0</v>
      </c>
      <c r="J20" s="196" t="s">
        <v>242</v>
      </c>
      <c r="K20" s="196">
        <v>0</v>
      </c>
      <c r="L20" s="196" t="s">
        <v>252</v>
      </c>
      <c r="M20" s="196" t="s">
        <v>242</v>
      </c>
      <c r="N20" s="196"/>
      <c r="O20" s="196"/>
      <c r="P20" s="196"/>
      <c r="Q20" s="196"/>
      <c r="R20" s="196"/>
      <c r="S20" s="196">
        <v>65099321</v>
      </c>
      <c r="T20" s="196"/>
      <c r="U20" s="196" t="s">
        <v>242</v>
      </c>
      <c r="V20" s="196">
        <v>0</v>
      </c>
      <c r="W20" s="196"/>
      <c r="X20" s="196"/>
      <c r="Y20" s="196"/>
      <c r="Z20" s="196"/>
      <c r="AA20" s="196"/>
      <c r="AB20" s="196" t="s">
        <v>242</v>
      </c>
      <c r="AC20" s="196" t="s">
        <v>242</v>
      </c>
      <c r="AD20" s="196" t="s">
        <v>242</v>
      </c>
      <c r="AE20" s="196" t="s">
        <v>242</v>
      </c>
      <c r="AF20" s="196" t="s">
        <v>242</v>
      </c>
      <c r="AG20" s="196" t="s">
        <v>242</v>
      </c>
      <c r="AH20" s="196"/>
      <c r="AI20" s="196"/>
      <c r="AJ20" s="196"/>
      <c r="AK20" s="196"/>
      <c r="AL20" s="196"/>
      <c r="AM20" s="196"/>
      <c r="AN20" s="196"/>
      <c r="AO20" s="196"/>
      <c r="AP20" s="196" t="s">
        <v>242</v>
      </c>
      <c r="AQ20" s="196" t="s">
        <v>242</v>
      </c>
      <c r="AR20" s="196" t="s">
        <v>242</v>
      </c>
      <c r="AS20" s="196"/>
      <c r="AT20" s="196"/>
      <c r="AU20" s="196"/>
      <c r="AV20" s="196"/>
      <c r="AW20" s="196"/>
      <c r="AX20" s="196"/>
      <c r="AY20" s="196"/>
      <c r="AZ20" s="196" t="s">
        <v>242</v>
      </c>
      <c r="BA20" s="196"/>
      <c r="BB20" s="196" t="s">
        <v>242</v>
      </c>
      <c r="BC20" s="196" t="s">
        <v>242</v>
      </c>
      <c r="BD20" s="196" t="s">
        <v>242</v>
      </c>
      <c r="BE20" s="196" t="s">
        <v>242</v>
      </c>
      <c r="BF20" s="196" t="s">
        <v>242</v>
      </c>
      <c r="BG20" s="196" t="s">
        <v>242</v>
      </c>
      <c r="BH20" s="196" t="s">
        <v>242</v>
      </c>
      <c r="BI20" s="196" t="s">
        <v>242</v>
      </c>
      <c r="BJ20" s="196" t="s">
        <v>242</v>
      </c>
      <c r="BK20" s="196" t="s">
        <v>242</v>
      </c>
      <c r="BL20" s="196" t="s">
        <v>242</v>
      </c>
      <c r="BM20" s="196" t="s">
        <v>242</v>
      </c>
      <c r="BN20" s="196" t="s">
        <v>242</v>
      </c>
      <c r="BO20" s="196" t="s">
        <v>242</v>
      </c>
      <c r="BP20" s="196" t="s">
        <v>242</v>
      </c>
      <c r="BQ20" s="196"/>
      <c r="BR20" s="196"/>
      <c r="BS20" s="196"/>
      <c r="BT20" s="196"/>
      <c r="BU20" s="196"/>
      <c r="BV20" s="196"/>
      <c r="BW20" s="196"/>
      <c r="BX20" s="196">
        <v>0</v>
      </c>
      <c r="BY20" s="196"/>
      <c r="BZ20" s="196"/>
      <c r="CA20" s="196"/>
      <c r="CB20" s="196"/>
      <c r="CC20" s="196"/>
      <c r="CD20" s="196"/>
      <c r="CE20" s="196"/>
      <c r="CF20" s="196">
        <v>0</v>
      </c>
      <c r="CG20" s="196">
        <v>0</v>
      </c>
      <c r="CH20" s="196"/>
      <c r="CI20" s="196" t="s">
        <v>242</v>
      </c>
      <c r="CJ20" s="196" t="s">
        <v>242</v>
      </c>
      <c r="CK20" t="s">
        <v>242</v>
      </c>
      <c r="CL20" t="s">
        <v>242</v>
      </c>
      <c r="CM20" t="s">
        <v>242</v>
      </c>
      <c r="CN20" t="s">
        <v>242</v>
      </c>
      <c r="CO20" t="s">
        <v>242</v>
      </c>
      <c r="CP20" t="s">
        <v>242</v>
      </c>
      <c r="CQ20" t="s">
        <v>242</v>
      </c>
    </row>
    <row r="22">
      <c r="A22" s="197">
        <v>52</v>
      </c>
      <c r="B22" s="197">
        <f t="shared" ref="B22:G22" si="43">B53</f>
        <v>1</v>
      </c>
      <c r="C22" s="197">
        <f t="shared" si="43"/>
        <v>3</v>
      </c>
      <c r="D22" s="197">
        <f t="shared" si="43"/>
        <v>20</v>
      </c>
      <c r="E22" s="197">
        <f t="shared" si="43"/>
        <v>0</v>
      </c>
      <c r="F22" s="197" t="str">
        <f t="shared" si="43"/>
        <v/>
      </c>
      <c r="G22" s="197" t="str">
        <f t="shared" si="43"/>
        <v xml:space="preserve">Новая локальная смета</v>
      </c>
      <c r="H22" s="197"/>
      <c r="I22" s="197"/>
      <c r="J22" s="197"/>
      <c r="K22" s="197"/>
      <c r="L22" s="197"/>
      <c r="M22" s="197"/>
      <c r="N22" s="197"/>
      <c r="O22" s="197">
        <f t="shared" ref="O22:AT22" si="44">O53</f>
        <v>9909.9799999999996</v>
      </c>
      <c r="P22" s="197">
        <f t="shared" si="44"/>
        <v>9374.5599999999995</v>
      </c>
      <c r="Q22" s="197">
        <f t="shared" si="44"/>
        <v>48.980000000000004</v>
      </c>
      <c r="R22" s="197">
        <f t="shared" si="44"/>
        <v>8.9500000000000011</v>
      </c>
      <c r="S22" s="197">
        <f t="shared" si="44"/>
        <v>486.44</v>
      </c>
      <c r="T22" s="197">
        <f t="shared" si="44"/>
        <v>0</v>
      </c>
      <c r="U22" s="197">
        <f t="shared" si="44"/>
        <v>54.994399999999985</v>
      </c>
      <c r="V22" s="197">
        <f t="shared" si="44"/>
        <v>0.7137</v>
      </c>
      <c r="W22" s="197">
        <f t="shared" si="44"/>
        <v>0</v>
      </c>
      <c r="X22" s="197">
        <f t="shared" si="44"/>
        <v>517.88999999999999</v>
      </c>
      <c r="Y22" s="197">
        <f t="shared" si="44"/>
        <v>287.06</v>
      </c>
      <c r="Z22" s="197">
        <f t="shared" si="44"/>
        <v>0</v>
      </c>
      <c r="AA22" s="197">
        <f t="shared" si="44"/>
        <v>0</v>
      </c>
      <c r="AB22" s="197">
        <f t="shared" si="44"/>
        <v>9909.9799999999996</v>
      </c>
      <c r="AC22" s="197">
        <f t="shared" si="44"/>
        <v>9374.5599999999995</v>
      </c>
      <c r="AD22" s="197">
        <f t="shared" si="44"/>
        <v>48.980000000000004</v>
      </c>
      <c r="AE22" s="197">
        <f t="shared" si="44"/>
        <v>8.9500000000000011</v>
      </c>
      <c r="AF22" s="197">
        <f t="shared" si="44"/>
        <v>486.44</v>
      </c>
      <c r="AG22" s="197">
        <f t="shared" si="44"/>
        <v>0</v>
      </c>
      <c r="AH22" s="197">
        <f t="shared" si="44"/>
        <v>54.994399999999985</v>
      </c>
      <c r="AI22" s="197">
        <f t="shared" si="44"/>
        <v>0.7137</v>
      </c>
      <c r="AJ22" s="197">
        <f t="shared" si="44"/>
        <v>0</v>
      </c>
      <c r="AK22" s="197">
        <f t="shared" si="44"/>
        <v>517.88999999999999</v>
      </c>
      <c r="AL22" s="197">
        <f t="shared" si="44"/>
        <v>287.06</v>
      </c>
      <c r="AM22" s="197">
        <f t="shared" si="44"/>
        <v>0</v>
      </c>
      <c r="AN22" s="197">
        <f t="shared" si="44"/>
        <v>0</v>
      </c>
      <c r="AO22" s="197">
        <f t="shared" si="44"/>
        <v>0</v>
      </c>
      <c r="AP22" s="197">
        <f t="shared" si="44"/>
        <v>0</v>
      </c>
      <c r="AQ22" s="197">
        <f t="shared" si="44"/>
        <v>0</v>
      </c>
      <c r="AR22" s="197">
        <f t="shared" si="44"/>
        <v>10714.93</v>
      </c>
      <c r="AS22" s="197">
        <f t="shared" si="44"/>
        <v>10714.93</v>
      </c>
      <c r="AT22" s="197">
        <f t="shared" si="44"/>
        <v>0</v>
      </c>
      <c r="AU22" s="197">
        <f t="shared" ref="AU22:BZ22" si="45">AU53</f>
        <v>0</v>
      </c>
      <c r="AV22" s="197">
        <f t="shared" si="45"/>
        <v>9374.5599999999995</v>
      </c>
      <c r="AW22" s="197">
        <f t="shared" si="45"/>
        <v>9374.5599999999995</v>
      </c>
      <c r="AX22" s="197">
        <f t="shared" si="45"/>
        <v>0</v>
      </c>
      <c r="AY22" s="197">
        <f t="shared" si="45"/>
        <v>9374.5599999999995</v>
      </c>
      <c r="AZ22" s="197">
        <f t="shared" si="45"/>
        <v>0</v>
      </c>
      <c r="BA22" s="197">
        <f t="shared" si="45"/>
        <v>0</v>
      </c>
      <c r="BB22" s="197">
        <f t="shared" si="45"/>
        <v>0</v>
      </c>
      <c r="BC22" s="197">
        <f t="shared" si="45"/>
        <v>0</v>
      </c>
      <c r="BD22" s="197">
        <f t="shared" si="45"/>
        <v>0</v>
      </c>
      <c r="BE22" s="197">
        <f t="shared" si="45"/>
        <v>0</v>
      </c>
      <c r="BF22" s="197">
        <f t="shared" si="45"/>
        <v>0</v>
      </c>
      <c r="BG22" s="197">
        <f t="shared" si="45"/>
        <v>0</v>
      </c>
      <c r="BH22" s="197">
        <f t="shared" si="45"/>
        <v>0</v>
      </c>
      <c r="BI22" s="197">
        <f t="shared" si="45"/>
        <v>0</v>
      </c>
      <c r="BJ22" s="197">
        <f t="shared" si="45"/>
        <v>0</v>
      </c>
      <c r="BK22" s="197">
        <f t="shared" si="45"/>
        <v>0</v>
      </c>
      <c r="BL22" s="197">
        <f t="shared" si="45"/>
        <v>0</v>
      </c>
      <c r="BM22" s="197">
        <f t="shared" si="45"/>
        <v>0</v>
      </c>
      <c r="BN22" s="197">
        <f t="shared" si="45"/>
        <v>0</v>
      </c>
      <c r="BO22" s="197">
        <f t="shared" si="45"/>
        <v>0</v>
      </c>
      <c r="BP22" s="197">
        <f t="shared" si="45"/>
        <v>0</v>
      </c>
      <c r="BQ22" s="197">
        <f t="shared" si="45"/>
        <v>0</v>
      </c>
      <c r="BR22" s="197">
        <f t="shared" si="45"/>
        <v>0</v>
      </c>
      <c r="BS22" s="197">
        <f t="shared" si="45"/>
        <v>0</v>
      </c>
      <c r="BT22" s="197">
        <f t="shared" si="45"/>
        <v>0</v>
      </c>
      <c r="BU22" s="197">
        <f t="shared" si="45"/>
        <v>0</v>
      </c>
      <c r="BV22" s="197">
        <f t="shared" si="45"/>
        <v>0</v>
      </c>
      <c r="BW22" s="197">
        <f t="shared" si="45"/>
        <v>0</v>
      </c>
      <c r="BX22" s="197">
        <f t="shared" si="45"/>
        <v>0</v>
      </c>
      <c r="BY22" s="197">
        <f t="shared" si="45"/>
        <v>0</v>
      </c>
      <c r="BZ22" s="197">
        <f t="shared" si="45"/>
        <v>0</v>
      </c>
      <c r="CA22" s="197">
        <f t="shared" ref="CA22:DF22" si="46">CA53</f>
        <v>10714.93</v>
      </c>
      <c r="CB22" s="197">
        <f t="shared" si="46"/>
        <v>10714.93</v>
      </c>
      <c r="CC22" s="197">
        <f t="shared" si="46"/>
        <v>0</v>
      </c>
      <c r="CD22" s="197">
        <f t="shared" si="46"/>
        <v>0</v>
      </c>
      <c r="CE22" s="197">
        <f t="shared" si="46"/>
        <v>9374.5599999999995</v>
      </c>
      <c r="CF22" s="197">
        <f t="shared" si="46"/>
        <v>9374.5599999999995</v>
      </c>
      <c r="CG22" s="197">
        <f t="shared" si="46"/>
        <v>0</v>
      </c>
      <c r="CH22" s="197">
        <f t="shared" si="46"/>
        <v>9374.5599999999995</v>
      </c>
      <c r="CI22" s="197">
        <f t="shared" si="46"/>
        <v>0</v>
      </c>
      <c r="CJ22" s="197">
        <f t="shared" si="46"/>
        <v>0</v>
      </c>
      <c r="CK22" s="197">
        <f t="shared" si="46"/>
        <v>0</v>
      </c>
      <c r="CL22" s="197">
        <f t="shared" si="46"/>
        <v>0</v>
      </c>
      <c r="CM22" s="197">
        <f t="shared" si="46"/>
        <v>0</v>
      </c>
      <c r="CN22" s="197">
        <f t="shared" si="46"/>
        <v>0</v>
      </c>
      <c r="CO22" s="197">
        <f t="shared" si="46"/>
        <v>0</v>
      </c>
      <c r="CP22" s="197">
        <f t="shared" si="46"/>
        <v>0</v>
      </c>
      <c r="CQ22" s="197">
        <f t="shared" si="46"/>
        <v>0</v>
      </c>
      <c r="CR22" s="197">
        <f t="shared" si="46"/>
        <v>0</v>
      </c>
      <c r="CS22" s="197">
        <f t="shared" si="46"/>
        <v>0</v>
      </c>
      <c r="CT22" s="197">
        <f t="shared" si="46"/>
        <v>0</v>
      </c>
      <c r="CU22" s="197">
        <f t="shared" si="46"/>
        <v>0</v>
      </c>
      <c r="CV22" s="197">
        <f t="shared" si="46"/>
        <v>0</v>
      </c>
      <c r="CW22" s="197">
        <f t="shared" si="46"/>
        <v>0</v>
      </c>
      <c r="CX22" s="197">
        <f t="shared" si="46"/>
        <v>0</v>
      </c>
      <c r="CY22" s="197">
        <f t="shared" si="46"/>
        <v>0</v>
      </c>
      <c r="CZ22" s="197">
        <f t="shared" si="46"/>
        <v>0</v>
      </c>
      <c r="DA22" s="197">
        <f t="shared" si="46"/>
        <v>0</v>
      </c>
      <c r="DB22" s="197">
        <f t="shared" si="46"/>
        <v>0</v>
      </c>
      <c r="DC22" s="197">
        <f t="shared" si="46"/>
        <v>0</v>
      </c>
      <c r="DD22" s="197">
        <f t="shared" si="46"/>
        <v>0</v>
      </c>
      <c r="DE22" s="197">
        <f t="shared" si="46"/>
        <v>0</v>
      </c>
      <c r="DF22" s="197">
        <f t="shared" si="46"/>
        <v>0</v>
      </c>
      <c r="DG22" s="198">
        <f t="shared" ref="DG22:EL22" si="47">DG53</f>
        <v>0</v>
      </c>
      <c r="DH22" s="198">
        <f t="shared" si="47"/>
        <v>0</v>
      </c>
      <c r="DI22" s="198">
        <f t="shared" si="47"/>
        <v>0</v>
      </c>
      <c r="DJ22" s="198">
        <f t="shared" si="47"/>
        <v>0</v>
      </c>
      <c r="DK22" s="198">
        <f t="shared" si="47"/>
        <v>0</v>
      </c>
      <c r="DL22" s="198">
        <f t="shared" si="47"/>
        <v>0</v>
      </c>
      <c r="DM22" s="198">
        <f t="shared" si="47"/>
        <v>0</v>
      </c>
      <c r="DN22" s="198">
        <f t="shared" si="47"/>
        <v>0</v>
      </c>
      <c r="DO22" s="198">
        <f t="shared" si="47"/>
        <v>0</v>
      </c>
      <c r="DP22" s="198">
        <f t="shared" si="47"/>
        <v>0</v>
      </c>
      <c r="DQ22" s="198">
        <f t="shared" si="47"/>
        <v>0</v>
      </c>
      <c r="DR22" s="198">
        <f t="shared" si="47"/>
        <v>0</v>
      </c>
      <c r="DS22" s="198">
        <f t="shared" si="47"/>
        <v>0</v>
      </c>
      <c r="DT22" s="198">
        <f t="shared" si="47"/>
        <v>0</v>
      </c>
      <c r="DU22" s="198">
        <f t="shared" si="47"/>
        <v>0</v>
      </c>
      <c r="DV22" s="198">
        <f t="shared" si="47"/>
        <v>0</v>
      </c>
      <c r="DW22" s="198">
        <f t="shared" si="47"/>
        <v>0</v>
      </c>
      <c r="DX22" s="198">
        <f t="shared" si="47"/>
        <v>0</v>
      </c>
      <c r="DY22" s="198">
        <f t="shared" si="47"/>
        <v>0</v>
      </c>
      <c r="DZ22" s="198">
        <f t="shared" si="47"/>
        <v>0</v>
      </c>
      <c r="EA22" s="198">
        <f t="shared" si="47"/>
        <v>0</v>
      </c>
      <c r="EB22" s="198">
        <f t="shared" si="47"/>
        <v>0</v>
      </c>
      <c r="EC22" s="198">
        <f t="shared" si="47"/>
        <v>0</v>
      </c>
      <c r="ED22" s="198">
        <f t="shared" si="47"/>
        <v>0</v>
      </c>
      <c r="EE22" s="198">
        <f t="shared" si="47"/>
        <v>0</v>
      </c>
      <c r="EF22" s="198">
        <f t="shared" si="47"/>
        <v>0</v>
      </c>
      <c r="EG22" s="198">
        <f t="shared" si="47"/>
        <v>0</v>
      </c>
      <c r="EH22" s="198">
        <f t="shared" si="47"/>
        <v>0</v>
      </c>
      <c r="EI22" s="198">
        <f t="shared" si="47"/>
        <v>0</v>
      </c>
      <c r="EJ22" s="198">
        <f t="shared" si="47"/>
        <v>0</v>
      </c>
      <c r="EK22" s="198">
        <f t="shared" si="47"/>
        <v>0</v>
      </c>
      <c r="EL22" s="198">
        <f t="shared" si="47"/>
        <v>0</v>
      </c>
      <c r="EM22" s="198">
        <f t="shared" ref="EM22:FR22" si="48">EM53</f>
        <v>0</v>
      </c>
      <c r="EN22" s="198">
        <f t="shared" si="48"/>
        <v>0</v>
      </c>
      <c r="EO22" s="198">
        <f t="shared" si="48"/>
        <v>0</v>
      </c>
      <c r="EP22" s="198">
        <f t="shared" si="48"/>
        <v>0</v>
      </c>
      <c r="EQ22" s="198">
        <f t="shared" si="48"/>
        <v>0</v>
      </c>
      <c r="ER22" s="198">
        <f t="shared" si="48"/>
        <v>0</v>
      </c>
      <c r="ES22" s="198">
        <f t="shared" si="48"/>
        <v>0</v>
      </c>
      <c r="ET22" s="198">
        <f t="shared" si="48"/>
        <v>0</v>
      </c>
      <c r="EU22" s="198">
        <f t="shared" si="48"/>
        <v>0</v>
      </c>
      <c r="EV22" s="198">
        <f t="shared" si="48"/>
        <v>0</v>
      </c>
      <c r="EW22" s="198">
        <f t="shared" si="48"/>
        <v>0</v>
      </c>
      <c r="EX22" s="198">
        <f t="shared" si="48"/>
        <v>0</v>
      </c>
      <c r="EY22" s="198">
        <f t="shared" si="48"/>
        <v>0</v>
      </c>
      <c r="EZ22" s="198">
        <f t="shared" si="48"/>
        <v>0</v>
      </c>
      <c r="FA22" s="198">
        <f t="shared" si="48"/>
        <v>0</v>
      </c>
      <c r="FB22" s="198">
        <f t="shared" si="48"/>
        <v>0</v>
      </c>
      <c r="FC22" s="198">
        <f t="shared" si="48"/>
        <v>0</v>
      </c>
      <c r="FD22" s="198">
        <f t="shared" si="48"/>
        <v>0</v>
      </c>
      <c r="FE22" s="198">
        <f t="shared" si="48"/>
        <v>0</v>
      </c>
      <c r="FF22" s="198">
        <f t="shared" si="48"/>
        <v>0</v>
      </c>
      <c r="FG22" s="198">
        <f t="shared" si="48"/>
        <v>0</v>
      </c>
      <c r="FH22" s="198">
        <f t="shared" si="48"/>
        <v>0</v>
      </c>
      <c r="FI22" s="198">
        <f t="shared" si="48"/>
        <v>0</v>
      </c>
      <c r="FJ22" s="198">
        <f t="shared" si="48"/>
        <v>0</v>
      </c>
      <c r="FK22" s="198">
        <f t="shared" si="48"/>
        <v>0</v>
      </c>
      <c r="FL22" s="198">
        <f t="shared" si="48"/>
        <v>0</v>
      </c>
      <c r="FM22" s="198">
        <f t="shared" si="48"/>
        <v>0</v>
      </c>
      <c r="FN22" s="198">
        <f t="shared" si="48"/>
        <v>0</v>
      </c>
      <c r="FO22" s="198">
        <f t="shared" si="48"/>
        <v>0</v>
      </c>
      <c r="FP22" s="198">
        <f t="shared" si="48"/>
        <v>0</v>
      </c>
      <c r="FQ22" s="198">
        <f t="shared" si="48"/>
        <v>0</v>
      </c>
      <c r="FR22" s="198">
        <f t="shared" si="48"/>
        <v>0</v>
      </c>
      <c r="FS22" s="198">
        <f t="shared" ref="FS22:GX22" si="49">FS53</f>
        <v>0</v>
      </c>
      <c r="FT22" s="198">
        <f t="shared" si="49"/>
        <v>0</v>
      </c>
      <c r="FU22" s="198">
        <f t="shared" si="49"/>
        <v>0</v>
      </c>
      <c r="FV22" s="198">
        <f t="shared" si="49"/>
        <v>0</v>
      </c>
      <c r="FW22" s="198">
        <f t="shared" si="49"/>
        <v>0</v>
      </c>
      <c r="FX22" s="198">
        <f t="shared" si="49"/>
        <v>0</v>
      </c>
      <c r="FY22" s="198">
        <f t="shared" si="49"/>
        <v>0</v>
      </c>
      <c r="FZ22" s="198">
        <f t="shared" si="49"/>
        <v>0</v>
      </c>
      <c r="GA22" s="198">
        <f t="shared" si="49"/>
        <v>0</v>
      </c>
      <c r="GB22" s="198">
        <f t="shared" si="49"/>
        <v>0</v>
      </c>
      <c r="GC22" s="198">
        <f t="shared" si="49"/>
        <v>0</v>
      </c>
      <c r="GD22" s="198">
        <f t="shared" si="49"/>
        <v>0</v>
      </c>
      <c r="GE22" s="198">
        <f t="shared" si="49"/>
        <v>0</v>
      </c>
      <c r="GF22" s="198">
        <f t="shared" si="49"/>
        <v>0</v>
      </c>
      <c r="GG22" s="198">
        <f t="shared" si="49"/>
        <v>0</v>
      </c>
      <c r="GH22" s="198">
        <f t="shared" si="49"/>
        <v>0</v>
      </c>
      <c r="GI22" s="198">
        <f t="shared" si="49"/>
        <v>0</v>
      </c>
      <c r="GJ22" s="198">
        <f t="shared" si="49"/>
        <v>0</v>
      </c>
      <c r="GK22" s="198">
        <f t="shared" si="49"/>
        <v>0</v>
      </c>
      <c r="GL22" s="198">
        <f t="shared" si="49"/>
        <v>0</v>
      </c>
      <c r="GM22" s="198">
        <f t="shared" si="49"/>
        <v>0</v>
      </c>
      <c r="GN22" s="198">
        <f t="shared" si="49"/>
        <v>0</v>
      </c>
      <c r="GO22" s="198">
        <f t="shared" si="49"/>
        <v>0</v>
      </c>
      <c r="GP22" s="198">
        <f t="shared" si="49"/>
        <v>0</v>
      </c>
      <c r="GQ22" s="198">
        <f t="shared" si="49"/>
        <v>0</v>
      </c>
      <c r="GR22" s="198">
        <f t="shared" si="49"/>
        <v>0</v>
      </c>
      <c r="GS22" s="198">
        <f t="shared" si="49"/>
        <v>0</v>
      </c>
      <c r="GT22" s="198">
        <f t="shared" si="49"/>
        <v>0</v>
      </c>
      <c r="GU22" s="198">
        <f t="shared" si="49"/>
        <v>0</v>
      </c>
      <c r="GV22" s="198">
        <f t="shared" si="49"/>
        <v>0</v>
      </c>
      <c r="GW22" s="198">
        <f t="shared" si="49"/>
        <v>0</v>
      </c>
      <c r="GX22" s="198">
        <f t="shared" si="49"/>
        <v>0</v>
      </c>
    </row>
    <row r="24">
      <c r="A24">
        <v>17</v>
      </c>
      <c r="B24">
        <v>1</v>
      </c>
      <c r="C24">
        <f>ROW(SmtRes!A3)</f>
        <v>3</v>
      </c>
      <c r="D24">
        <f>ROW(EtalonRes!A4)</f>
        <v>4</v>
      </c>
      <c r="E24" t="s">
        <v>47</v>
      </c>
      <c r="F24" t="s">
        <v>253</v>
      </c>
      <c r="G24" t="s">
        <v>254</v>
      </c>
      <c r="H24" t="s">
        <v>255</v>
      </c>
      <c r="I24">
        <f>ROUND(5/100,7)</f>
        <v>0.049999999999999996</v>
      </c>
      <c r="J24">
        <v>0</v>
      </c>
      <c r="K24">
        <f>ROUND(5/100,7)</f>
        <v>0.049999999999999996</v>
      </c>
      <c r="O24">
        <f t="shared" ref="O24:O51" si="50">ROUND(CP24,2)</f>
        <v>22.289999999999999</v>
      </c>
      <c r="P24">
        <f t="shared" ref="P24:P32" si="51">ROUND(CQ24*I24,2)</f>
        <v>0</v>
      </c>
      <c r="Q24">
        <f t="shared" ref="Q24:Q51" si="52">ROUND(CR24*I24,2)</f>
        <v>0.41000000000000003</v>
      </c>
      <c r="R24">
        <f t="shared" ref="R24:R51" si="53">ROUND(CS24*I24,2)</f>
        <v>0.17999999999999999</v>
      </c>
      <c r="S24">
        <f t="shared" ref="S24:S51" si="54">ROUND(CT24*I24,2)</f>
        <v>21.879999999999999</v>
      </c>
      <c r="T24">
        <f t="shared" ref="T24:T51" si="55">ROUND(CU24*I24,2)</f>
        <v>0</v>
      </c>
      <c r="U24">
        <f t="shared" ref="U24:U51" si="56">ROUND(CV24*I24,7)</f>
        <v>2.5649999999999999</v>
      </c>
      <c r="V24">
        <f t="shared" ref="V24:V51" si="57">ROUND(CW24*I24,7)</f>
        <v>0.012999999999999999</v>
      </c>
      <c r="W24">
        <f t="shared" ref="W24:W51" si="58">ROUND(CX24*I24,2)</f>
        <v>0</v>
      </c>
      <c r="X24">
        <f t="shared" ref="X24:X51" si="59">ROUND(CY24,2)</f>
        <v>19.190000000000001</v>
      </c>
      <c r="Y24">
        <f t="shared" ref="Y24:Y51" si="60">ROUND(CZ24,2)</f>
        <v>9.7100000000000009</v>
      </c>
      <c r="AA24">
        <v>65099320</v>
      </c>
      <c r="AB24">
        <f t="shared" ref="AB24:AB51" si="61">ROUND((AC24+AD24+AF24),2)</f>
        <v>445.72000000000003</v>
      </c>
      <c r="AC24">
        <f t="shared" ref="AC24:AC25" si="62">ROUND((ES24),2)</f>
        <v>0</v>
      </c>
      <c r="AD24">
        <f t="shared" ref="AD24:AD25" si="63">ROUND((((ET24)-(EU24))+AE24),2)</f>
        <v>8.1300000000000008</v>
      </c>
      <c r="AE24">
        <f t="shared" ref="AE24:AE25" si="64">ROUND((EU24),2)</f>
        <v>3.5100000000000002</v>
      </c>
      <c r="AF24">
        <f t="shared" ref="AF24:AF25" si="65">ROUND((EV24),2)</f>
        <v>437.59000000000003</v>
      </c>
      <c r="AG24">
        <f t="shared" ref="AG24:AG51" si="66">ROUND((AP24),2)</f>
        <v>0</v>
      </c>
      <c r="AH24">
        <f t="shared" ref="AH24:AH25" si="67">(EW24)</f>
        <v>51.299999999999997</v>
      </c>
      <c r="AI24">
        <f t="shared" ref="AI24:AI25" si="68">(EX24)</f>
        <v>0.26000000000000001</v>
      </c>
      <c r="AJ24">
        <f t="shared" ref="AJ24:AJ51" si="69">(AS24)</f>
        <v>0</v>
      </c>
      <c r="AK24">
        <v>445.72000000000003</v>
      </c>
      <c r="AL24">
        <v>0</v>
      </c>
      <c r="AM24">
        <v>8.1300000000000008</v>
      </c>
      <c r="AN24">
        <v>3.5099999999999998</v>
      </c>
      <c r="AO24">
        <v>437.58999999999997</v>
      </c>
      <c r="AP24">
        <v>0</v>
      </c>
      <c r="AQ24">
        <v>51.299999999999997</v>
      </c>
      <c r="AR24">
        <v>0.26000000000000001</v>
      </c>
      <c r="AS24">
        <v>0</v>
      </c>
      <c r="AT24">
        <v>87</v>
      </c>
      <c r="AU24">
        <v>44</v>
      </c>
      <c r="AV24">
        <v>1</v>
      </c>
      <c r="AW24">
        <v>1</v>
      </c>
      <c r="AZ24">
        <v>1</v>
      </c>
      <c r="BA24">
        <v>55.32</v>
      </c>
      <c r="BB24">
        <v>1</v>
      </c>
      <c r="BC24">
        <v>1</v>
      </c>
      <c r="BD24" t="s">
        <v>242</v>
      </c>
      <c r="BE24" t="s">
        <v>242</v>
      </c>
      <c r="BF24" t="s">
        <v>242</v>
      </c>
      <c r="BG24" t="s">
        <v>242</v>
      </c>
      <c r="BH24">
        <v>0</v>
      </c>
      <c r="BI24">
        <v>1</v>
      </c>
      <c r="BJ24" t="s">
        <v>256</v>
      </c>
      <c r="BM24">
        <v>65001</v>
      </c>
      <c r="BN24">
        <v>0</v>
      </c>
      <c r="BO24" t="s">
        <v>257</v>
      </c>
      <c r="BP24">
        <v>1</v>
      </c>
      <c r="BQ24">
        <v>6</v>
      </c>
      <c r="BR24">
        <v>0</v>
      </c>
      <c r="BS24">
        <v>55.32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242</v>
      </c>
      <c r="BZ24">
        <v>87</v>
      </c>
      <c r="CA24">
        <v>44</v>
      </c>
      <c r="CB24" t="s">
        <v>242</v>
      </c>
      <c r="CE24">
        <v>0</v>
      </c>
      <c r="CF24">
        <v>0</v>
      </c>
      <c r="CG24">
        <v>0</v>
      </c>
      <c r="CM24">
        <v>0</v>
      </c>
      <c r="CN24" t="s">
        <v>242</v>
      </c>
      <c r="CO24">
        <v>0</v>
      </c>
      <c r="CP24">
        <f t="shared" ref="CP24:CP51" si="70">(P24+Q24+S24)</f>
        <v>22.289999999999999</v>
      </c>
      <c r="CQ24">
        <f t="shared" ref="CQ24:CQ32" si="71">AC24*BC24</f>
        <v>0</v>
      </c>
      <c r="CR24">
        <f t="shared" ref="CR24:CR25" si="72">(((ET24)*BB24-(EU24))+AE24)</f>
        <v>8.1300000000000008</v>
      </c>
      <c r="CS24">
        <f t="shared" ref="CS24:CS51" si="73">AE24</f>
        <v>3.5100000000000002</v>
      </c>
      <c r="CT24">
        <f t="shared" ref="CT24:CT51" si="74">AF24</f>
        <v>437.59000000000003</v>
      </c>
      <c r="CU24">
        <f t="shared" ref="CU24:CU51" si="75">AG24</f>
        <v>0</v>
      </c>
      <c r="CV24">
        <f t="shared" ref="CV24:CV51" si="76">AH24</f>
        <v>51.299999999999997</v>
      </c>
      <c r="CW24">
        <f t="shared" ref="CW24:CW51" si="77">AI24</f>
        <v>0.26000000000000001</v>
      </c>
      <c r="CX24">
        <f t="shared" ref="CX24:CX51" si="78">AJ24</f>
        <v>0</v>
      </c>
      <c r="CY24">
        <f t="shared" ref="CY24:CY51" si="79">(((S24+R24)*AT24)/100)</f>
        <v>19.1922</v>
      </c>
      <c r="CZ24">
        <f t="shared" ref="CZ24:CZ51" si="80">(((S24+R24)*AU24)/100)</f>
        <v>9.7064000000000004</v>
      </c>
      <c r="DC24" t="s">
        <v>242</v>
      </c>
      <c r="DD24" t="s">
        <v>242</v>
      </c>
      <c r="DE24" t="s">
        <v>242</v>
      </c>
      <c r="DF24" t="s">
        <v>242</v>
      </c>
      <c r="DG24" t="s">
        <v>242</v>
      </c>
      <c r="DH24" t="s">
        <v>242</v>
      </c>
      <c r="DI24" t="s">
        <v>242</v>
      </c>
      <c r="DJ24" t="s">
        <v>242</v>
      </c>
      <c r="DK24" t="s">
        <v>242</v>
      </c>
      <c r="DL24" t="s">
        <v>242</v>
      </c>
      <c r="DM24" t="s">
        <v>242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255</v>
      </c>
      <c r="DW24" t="s">
        <v>255</v>
      </c>
      <c r="DX24">
        <v>1</v>
      </c>
      <c r="DZ24" t="s">
        <v>242</v>
      </c>
      <c r="EA24" t="s">
        <v>242</v>
      </c>
      <c r="EB24" t="s">
        <v>242</v>
      </c>
      <c r="EC24" t="s">
        <v>242</v>
      </c>
      <c r="EE24">
        <v>59733764</v>
      </c>
      <c r="EF24">
        <v>6</v>
      </c>
      <c r="EG24" t="s">
        <v>258</v>
      </c>
      <c r="EH24">
        <v>99</v>
      </c>
      <c r="EI24" t="s">
        <v>259</v>
      </c>
      <c r="EJ24">
        <v>1</v>
      </c>
      <c r="EK24">
        <v>65001</v>
      </c>
      <c r="EL24" t="s">
        <v>260</v>
      </c>
      <c r="EM24" t="s">
        <v>261</v>
      </c>
      <c r="EO24" t="s">
        <v>242</v>
      </c>
      <c r="EQ24">
        <v>0</v>
      </c>
      <c r="ER24">
        <v>445.72000000000003</v>
      </c>
      <c r="ES24">
        <v>0</v>
      </c>
      <c r="ET24">
        <v>8.1300000000000008</v>
      </c>
      <c r="EU24">
        <v>3.5099999999999998</v>
      </c>
      <c r="EV24">
        <v>437.58999999999997</v>
      </c>
      <c r="EW24">
        <v>51.299999999999997</v>
      </c>
      <c r="EX24">
        <v>0.26000000000000001</v>
      </c>
      <c r="EY24">
        <v>0</v>
      </c>
      <c r="FQ24">
        <v>0</v>
      </c>
      <c r="FR24">
        <f t="shared" ref="FR24:FR51" si="81">ROUND(IF(BI24=3,GM24,0),2)</f>
        <v>0</v>
      </c>
      <c r="FS24">
        <v>0</v>
      </c>
      <c r="FX24">
        <v>87</v>
      </c>
      <c r="FY24">
        <v>44</v>
      </c>
      <c r="GA24" t="s">
        <v>242</v>
      </c>
      <c r="GD24">
        <v>1</v>
      </c>
      <c r="GF24">
        <v>1160085789</v>
      </c>
      <c r="GG24">
        <v>2</v>
      </c>
      <c r="GH24">
        <v>1</v>
      </c>
      <c r="GI24">
        <v>4</v>
      </c>
      <c r="GJ24">
        <v>0</v>
      </c>
      <c r="GK24">
        <v>0</v>
      </c>
      <c r="GL24">
        <f t="shared" ref="GL24:GL51" si="82">ROUND(IF(AND(BH24=3,BI24=3,FS24&lt;&gt;0),P24,0),2)</f>
        <v>0</v>
      </c>
      <c r="GM24">
        <f t="shared" ref="GM24:GM51" si="83">ROUND(O24+X24+Y24,2)+GX24</f>
        <v>51.189999999999998</v>
      </c>
      <c r="GN24">
        <f t="shared" ref="GN24:GN51" si="84">IF(OR(BI24=0,BI24=1),GM24-GX24,0)</f>
        <v>51.189999999999998</v>
      </c>
      <c r="GO24">
        <f t="shared" ref="GO24:GO51" si="85">IF(BI24=2,GM24-GX24,0)</f>
        <v>0</v>
      </c>
      <c r="GP24">
        <f t="shared" ref="GP24:GP51" si="86">IF(BI24=4,GM24-GX24,0)</f>
        <v>0</v>
      </c>
      <c r="GR24">
        <v>0</v>
      </c>
      <c r="GS24">
        <v>3</v>
      </c>
      <c r="GT24">
        <v>0</v>
      </c>
      <c r="GU24" t="s">
        <v>242</v>
      </c>
      <c r="GV24">
        <f t="shared" ref="GV24:GV51" si="87">ROUND((GT24),2)</f>
        <v>0</v>
      </c>
      <c r="GW24">
        <v>1</v>
      </c>
      <c r="GX24">
        <f t="shared" ref="GX24:GX51" si="88">ROUND(HC24*I24,2)</f>
        <v>0</v>
      </c>
      <c r="HA24">
        <v>0</v>
      </c>
      <c r="HB24">
        <v>0</v>
      </c>
      <c r="HC24">
        <f t="shared" ref="HC24:HC51" si="89">GV24*GW24</f>
        <v>0</v>
      </c>
      <c r="HE24" t="s">
        <v>242</v>
      </c>
      <c r="HF24" t="s">
        <v>242</v>
      </c>
      <c r="HI24">
        <f t="shared" ref="HI24:HI51" si="90">ROUND(R24*BS24,2)</f>
        <v>9.9600000000000009</v>
      </c>
      <c r="HJ24">
        <f t="shared" ref="HJ24:HJ51" si="91">ROUND(S24*BA24,2)</f>
        <v>1210.4000000000001</v>
      </c>
      <c r="HK24">
        <f t="shared" ref="HK24:HK51" si="92">ROUND((((HJ24+HI24)*AT24)/100),2)</f>
        <v>1061.71</v>
      </c>
      <c r="HL24">
        <f t="shared" ref="HL24:HL51" si="93">ROUND((((HJ24+HI24)*AU24)/100),2)</f>
        <v>536.96000000000004</v>
      </c>
      <c r="HM24" t="s">
        <v>242</v>
      </c>
      <c r="HN24" t="s">
        <v>56</v>
      </c>
      <c r="HO24" t="s">
        <v>59</v>
      </c>
      <c r="HP24" t="s">
        <v>260</v>
      </c>
      <c r="HQ24" t="s">
        <v>260</v>
      </c>
      <c r="IK24">
        <v>0</v>
      </c>
    </row>
    <row r="25">
      <c r="A25">
        <v>17</v>
      </c>
      <c r="B25">
        <v>1</v>
      </c>
      <c r="C25">
        <f>ROW(SmtRes!A6)</f>
        <v>6</v>
      </c>
      <c r="D25">
        <f>ROW(EtalonRes!A8)</f>
        <v>8</v>
      </c>
      <c r="E25" t="s">
        <v>63</v>
      </c>
      <c r="F25" t="s">
        <v>262</v>
      </c>
      <c r="G25" t="s">
        <v>263</v>
      </c>
      <c r="H25" t="s">
        <v>255</v>
      </c>
      <c r="I25">
        <f>ROUND(3/100,7)</f>
        <v>0.029999999999999999</v>
      </c>
      <c r="J25">
        <v>0</v>
      </c>
      <c r="K25">
        <f>ROUND(3/100,7)</f>
        <v>0.029999999999999999</v>
      </c>
      <c r="O25">
        <f t="shared" si="50"/>
        <v>16.609999999999999</v>
      </c>
      <c r="P25">
        <f t="shared" si="51"/>
        <v>0</v>
      </c>
      <c r="Q25">
        <f t="shared" si="52"/>
        <v>0.27000000000000002</v>
      </c>
      <c r="R25">
        <f t="shared" si="53"/>
        <v>0.12</v>
      </c>
      <c r="S25">
        <f t="shared" si="54"/>
        <v>16.34</v>
      </c>
      <c r="T25">
        <f t="shared" si="55"/>
        <v>0</v>
      </c>
      <c r="U25">
        <f t="shared" si="56"/>
        <v>1.9152</v>
      </c>
      <c r="V25">
        <f t="shared" si="57"/>
        <v>0.0086999999999999994</v>
      </c>
      <c r="W25">
        <f t="shared" si="58"/>
        <v>0</v>
      </c>
      <c r="X25">
        <f t="shared" si="59"/>
        <v>14.32</v>
      </c>
      <c r="Y25">
        <f t="shared" si="60"/>
        <v>7.2400000000000002</v>
      </c>
      <c r="AA25">
        <v>65099320</v>
      </c>
      <c r="AB25">
        <f t="shared" si="61"/>
        <v>553.63</v>
      </c>
      <c r="AC25">
        <f t="shared" si="62"/>
        <v>0</v>
      </c>
      <c r="AD25">
        <f t="shared" si="63"/>
        <v>9.0700000000000003</v>
      </c>
      <c r="AE25">
        <f t="shared" si="64"/>
        <v>3.9199999999999999</v>
      </c>
      <c r="AF25">
        <f t="shared" si="65"/>
        <v>544.56000000000006</v>
      </c>
      <c r="AG25">
        <f t="shared" si="66"/>
        <v>0</v>
      </c>
      <c r="AH25">
        <f t="shared" si="67"/>
        <v>63.840000000000003</v>
      </c>
      <c r="AI25">
        <f t="shared" si="68"/>
        <v>0.28999999999999998</v>
      </c>
      <c r="AJ25">
        <f t="shared" si="69"/>
        <v>0</v>
      </c>
      <c r="AK25">
        <v>553.63</v>
      </c>
      <c r="AL25">
        <v>0</v>
      </c>
      <c r="AM25">
        <v>9.0700000000000003</v>
      </c>
      <c r="AN25">
        <v>3.9199999999999999</v>
      </c>
      <c r="AO25">
        <v>544.55999999999995</v>
      </c>
      <c r="AP25">
        <v>0</v>
      </c>
      <c r="AQ25">
        <v>63.840000000000003</v>
      </c>
      <c r="AR25">
        <v>0.28999999999999998</v>
      </c>
      <c r="AS25">
        <v>0</v>
      </c>
      <c r="AT25">
        <v>87</v>
      </c>
      <c r="AU25">
        <v>44</v>
      </c>
      <c r="AV25">
        <v>1</v>
      </c>
      <c r="AW25">
        <v>1</v>
      </c>
      <c r="AZ25">
        <v>1</v>
      </c>
      <c r="BA25">
        <v>55.32</v>
      </c>
      <c r="BB25">
        <v>1</v>
      </c>
      <c r="BC25">
        <v>1</v>
      </c>
      <c r="BD25" t="s">
        <v>242</v>
      </c>
      <c r="BE25" t="s">
        <v>242</v>
      </c>
      <c r="BF25" t="s">
        <v>242</v>
      </c>
      <c r="BG25" t="s">
        <v>242</v>
      </c>
      <c r="BH25">
        <v>0</v>
      </c>
      <c r="BI25">
        <v>1</v>
      </c>
      <c r="BJ25" t="s">
        <v>264</v>
      </c>
      <c r="BM25">
        <v>65001</v>
      </c>
      <c r="BN25">
        <v>0</v>
      </c>
      <c r="BO25" t="s">
        <v>257</v>
      </c>
      <c r="BP25">
        <v>1</v>
      </c>
      <c r="BQ25">
        <v>6</v>
      </c>
      <c r="BR25">
        <v>0</v>
      </c>
      <c r="BS25">
        <v>55.32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242</v>
      </c>
      <c r="BZ25">
        <v>87</v>
      </c>
      <c r="CA25">
        <v>44</v>
      </c>
      <c r="CB25" t="s">
        <v>242</v>
      </c>
      <c r="CE25">
        <v>0</v>
      </c>
      <c r="CF25">
        <v>0</v>
      </c>
      <c r="CG25">
        <v>0</v>
      </c>
      <c r="CM25">
        <v>0</v>
      </c>
      <c r="CN25" t="s">
        <v>242</v>
      </c>
      <c r="CO25">
        <v>0</v>
      </c>
      <c r="CP25">
        <f t="shared" si="70"/>
        <v>16.609999999999999</v>
      </c>
      <c r="CQ25">
        <f t="shared" si="71"/>
        <v>0</v>
      </c>
      <c r="CR25">
        <f t="shared" si="72"/>
        <v>9.0700000000000003</v>
      </c>
      <c r="CS25">
        <f t="shared" si="73"/>
        <v>3.9199999999999999</v>
      </c>
      <c r="CT25">
        <f t="shared" si="74"/>
        <v>544.56000000000006</v>
      </c>
      <c r="CU25">
        <f t="shared" si="75"/>
        <v>0</v>
      </c>
      <c r="CV25">
        <f t="shared" si="76"/>
        <v>63.840000000000003</v>
      </c>
      <c r="CW25">
        <f t="shared" si="77"/>
        <v>0.28999999999999998</v>
      </c>
      <c r="CX25">
        <f t="shared" si="78"/>
        <v>0</v>
      </c>
      <c r="CY25">
        <f t="shared" si="79"/>
        <v>14.3202</v>
      </c>
      <c r="CZ25">
        <f t="shared" si="80"/>
        <v>7.2423999999999999</v>
      </c>
      <c r="DC25" t="s">
        <v>242</v>
      </c>
      <c r="DD25" t="s">
        <v>242</v>
      </c>
      <c r="DE25" t="s">
        <v>242</v>
      </c>
      <c r="DF25" t="s">
        <v>242</v>
      </c>
      <c r="DG25" t="s">
        <v>242</v>
      </c>
      <c r="DH25" t="s">
        <v>242</v>
      </c>
      <c r="DI25" t="s">
        <v>242</v>
      </c>
      <c r="DJ25" t="s">
        <v>242</v>
      </c>
      <c r="DK25" t="s">
        <v>242</v>
      </c>
      <c r="DL25" t="s">
        <v>242</v>
      </c>
      <c r="DM25" t="s">
        <v>242</v>
      </c>
      <c r="DN25">
        <v>0</v>
      </c>
      <c r="DO25">
        <v>0</v>
      </c>
      <c r="DP25">
        <v>1</v>
      </c>
      <c r="DQ25">
        <v>1</v>
      </c>
      <c r="DU25">
        <v>1013</v>
      </c>
      <c r="DV25" t="s">
        <v>255</v>
      </c>
      <c r="DW25" t="s">
        <v>255</v>
      </c>
      <c r="DX25">
        <v>1</v>
      </c>
      <c r="DZ25" t="s">
        <v>242</v>
      </c>
      <c r="EA25" t="s">
        <v>242</v>
      </c>
      <c r="EB25" t="s">
        <v>242</v>
      </c>
      <c r="EC25" t="s">
        <v>242</v>
      </c>
      <c r="EE25">
        <v>59733764</v>
      </c>
      <c r="EF25">
        <v>6</v>
      </c>
      <c r="EG25" t="s">
        <v>258</v>
      </c>
      <c r="EH25">
        <v>99</v>
      </c>
      <c r="EI25" t="s">
        <v>259</v>
      </c>
      <c r="EJ25">
        <v>1</v>
      </c>
      <c r="EK25">
        <v>65001</v>
      </c>
      <c r="EL25" t="s">
        <v>260</v>
      </c>
      <c r="EM25" t="s">
        <v>261</v>
      </c>
      <c r="EO25" t="s">
        <v>242</v>
      </c>
      <c r="EQ25">
        <v>0</v>
      </c>
      <c r="ER25">
        <v>553.63</v>
      </c>
      <c r="ES25">
        <v>0</v>
      </c>
      <c r="ET25">
        <v>9.0700000000000003</v>
      </c>
      <c r="EU25">
        <v>3.9199999999999999</v>
      </c>
      <c r="EV25">
        <v>544.55999999999995</v>
      </c>
      <c r="EW25">
        <v>63.840000000000003</v>
      </c>
      <c r="EX25">
        <v>0.28999999999999998</v>
      </c>
      <c r="EY25">
        <v>0</v>
      </c>
      <c r="FQ25">
        <v>0</v>
      </c>
      <c r="FR25">
        <f t="shared" si="81"/>
        <v>0</v>
      </c>
      <c r="FS25">
        <v>0</v>
      </c>
      <c r="FX25">
        <v>87</v>
      </c>
      <c r="FY25">
        <v>44</v>
      </c>
      <c r="GA25" t="s">
        <v>242</v>
      </c>
      <c r="GD25">
        <v>1</v>
      </c>
      <c r="GF25">
        <v>424827235</v>
      </c>
      <c r="GG25">
        <v>2</v>
      </c>
      <c r="GH25">
        <v>1</v>
      </c>
      <c r="GI25">
        <v>4</v>
      </c>
      <c r="GJ25">
        <v>0</v>
      </c>
      <c r="GK25">
        <v>0</v>
      </c>
      <c r="GL25">
        <f t="shared" si="82"/>
        <v>0</v>
      </c>
      <c r="GM25">
        <f t="shared" si="83"/>
        <v>38.170000000000002</v>
      </c>
      <c r="GN25">
        <f t="shared" si="84"/>
        <v>38.170000000000002</v>
      </c>
      <c r="GO25">
        <f t="shared" si="85"/>
        <v>0</v>
      </c>
      <c r="GP25">
        <f t="shared" si="86"/>
        <v>0</v>
      </c>
      <c r="GR25">
        <v>0</v>
      </c>
      <c r="GS25">
        <v>3</v>
      </c>
      <c r="GT25">
        <v>0</v>
      </c>
      <c r="GU25" t="s">
        <v>242</v>
      </c>
      <c r="GV25">
        <f t="shared" si="87"/>
        <v>0</v>
      </c>
      <c r="GW25">
        <v>1</v>
      </c>
      <c r="GX25">
        <f t="shared" si="88"/>
        <v>0</v>
      </c>
      <c r="HA25">
        <v>0</v>
      </c>
      <c r="HB25">
        <v>0</v>
      </c>
      <c r="HC25">
        <f t="shared" si="89"/>
        <v>0</v>
      </c>
      <c r="HE25" t="s">
        <v>242</v>
      </c>
      <c r="HF25" t="s">
        <v>242</v>
      </c>
      <c r="HI25">
        <f t="shared" si="90"/>
        <v>6.6400000000000006</v>
      </c>
      <c r="HJ25">
        <f t="shared" si="91"/>
        <v>903.93000000000006</v>
      </c>
      <c r="HK25">
        <f t="shared" si="92"/>
        <v>792.20000000000005</v>
      </c>
      <c r="HL25">
        <f t="shared" si="93"/>
        <v>400.65000000000003</v>
      </c>
      <c r="HM25" t="s">
        <v>242</v>
      </c>
      <c r="HN25" t="s">
        <v>56</v>
      </c>
      <c r="HO25" t="s">
        <v>59</v>
      </c>
      <c r="HP25" t="s">
        <v>260</v>
      </c>
      <c r="HQ25" t="s">
        <v>260</v>
      </c>
      <c r="IK25">
        <v>0</v>
      </c>
    </row>
    <row r="26">
      <c r="A26">
        <v>17</v>
      </c>
      <c r="B26">
        <v>1</v>
      </c>
      <c r="C26">
        <f>ROW(SmtRes!A13)</f>
        <v>13</v>
      </c>
      <c r="D26">
        <f>ROW(EtalonRes!A16)</f>
        <v>16</v>
      </c>
      <c r="E26" t="s">
        <v>64</v>
      </c>
      <c r="F26" t="s">
        <v>265</v>
      </c>
      <c r="G26" t="s">
        <v>266</v>
      </c>
      <c r="H26" t="s">
        <v>255</v>
      </c>
      <c r="I26">
        <f>ROUND(2/100,7)</f>
        <v>0.02</v>
      </c>
      <c r="J26">
        <v>0</v>
      </c>
      <c r="K26">
        <f>ROUND(2/100,7)</f>
        <v>0.02</v>
      </c>
      <c r="O26">
        <f t="shared" si="50"/>
        <v>12.15</v>
      </c>
      <c r="P26">
        <f t="shared" si="51"/>
        <v>0</v>
      </c>
      <c r="Q26">
        <f t="shared" si="52"/>
        <v>3.46</v>
      </c>
      <c r="R26">
        <f t="shared" si="53"/>
        <v>0.83000000000000007</v>
      </c>
      <c r="S26">
        <f t="shared" si="54"/>
        <v>8.6899999999999995</v>
      </c>
      <c r="T26">
        <f t="shared" si="55"/>
        <v>0</v>
      </c>
      <c r="U26">
        <f t="shared" si="56"/>
        <v>1.0831999999999999</v>
      </c>
      <c r="V26">
        <f t="shared" si="57"/>
        <v>0.067199999999999996</v>
      </c>
      <c r="W26">
        <f t="shared" si="58"/>
        <v>0</v>
      </c>
      <c r="X26">
        <f t="shared" si="59"/>
        <v>10.279999999999999</v>
      </c>
      <c r="Y26">
        <f t="shared" si="60"/>
        <v>5.2400000000000002</v>
      </c>
      <c r="AA26">
        <v>65099320</v>
      </c>
      <c r="AB26">
        <f t="shared" si="61"/>
        <v>607.47000000000003</v>
      </c>
      <c r="AC26">
        <f>ROUND(((ES26*ROUND(0,7))),2)</f>
        <v>0</v>
      </c>
      <c r="AD26">
        <f>ROUND(((((ET26*ROUND(0.8,7)))-((EU26*ROUND(0.8,7))))+AE26),2)</f>
        <v>173.11000000000001</v>
      </c>
      <c r="AE26">
        <f>ROUND(((EU26*ROUND(0.8,7))),2)</f>
        <v>41.609999999999999</v>
      </c>
      <c r="AF26">
        <f>ROUND(((EV26*ROUND(0.8,7))),2)</f>
        <v>434.36000000000001</v>
      </c>
      <c r="AG26">
        <f t="shared" si="66"/>
        <v>0</v>
      </c>
      <c r="AH26">
        <f>((EW26*ROUND(0.8,7)))</f>
        <v>54.159999999999997</v>
      </c>
      <c r="AI26">
        <f>((EX26*ROUND(0.8,7)))</f>
        <v>3.3599999999999999</v>
      </c>
      <c r="AJ26">
        <f t="shared" si="69"/>
        <v>0</v>
      </c>
      <c r="AK26">
        <v>2392.6900000000001</v>
      </c>
      <c r="AL26">
        <v>1633.3599999999999</v>
      </c>
      <c r="AM26">
        <v>216.38</v>
      </c>
      <c r="AN26">
        <v>52.009999999999998</v>
      </c>
      <c r="AO26">
        <v>542.95000000000005</v>
      </c>
      <c r="AP26">
        <v>0</v>
      </c>
      <c r="AQ26">
        <v>67.700000000000003</v>
      </c>
      <c r="AR26">
        <v>4.2000000000000002</v>
      </c>
      <c r="AS26">
        <v>0</v>
      </c>
      <c r="AT26">
        <v>108</v>
      </c>
      <c r="AU26">
        <v>55</v>
      </c>
      <c r="AV26">
        <v>1</v>
      </c>
      <c r="AW26">
        <v>1</v>
      </c>
      <c r="AZ26">
        <v>1</v>
      </c>
      <c r="BA26">
        <v>55.32</v>
      </c>
      <c r="BB26">
        <v>1</v>
      </c>
      <c r="BC26">
        <v>1</v>
      </c>
      <c r="BD26" t="s">
        <v>242</v>
      </c>
      <c r="BE26" t="s">
        <v>242</v>
      </c>
      <c r="BF26" t="s">
        <v>242</v>
      </c>
      <c r="BG26" t="s">
        <v>242</v>
      </c>
      <c r="BH26">
        <v>0</v>
      </c>
      <c r="BI26">
        <v>1</v>
      </c>
      <c r="BJ26" t="s">
        <v>267</v>
      </c>
      <c r="BM26">
        <v>10001</v>
      </c>
      <c r="BN26">
        <v>0</v>
      </c>
      <c r="BO26" t="s">
        <v>257</v>
      </c>
      <c r="BP26">
        <v>1</v>
      </c>
      <c r="BQ26">
        <v>2</v>
      </c>
      <c r="BR26">
        <v>0</v>
      </c>
      <c r="BS26">
        <v>55.32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242</v>
      </c>
      <c r="BZ26">
        <v>108</v>
      </c>
      <c r="CA26">
        <v>55</v>
      </c>
      <c r="CB26" t="s">
        <v>242</v>
      </c>
      <c r="CE26">
        <v>0</v>
      </c>
      <c r="CF26">
        <v>0</v>
      </c>
      <c r="CG26">
        <v>0</v>
      </c>
      <c r="CM26">
        <v>0</v>
      </c>
      <c r="CN26" t="s">
        <v>268</v>
      </c>
      <c r="CO26">
        <v>0</v>
      </c>
      <c r="CP26">
        <f t="shared" si="70"/>
        <v>12.149999999999999</v>
      </c>
      <c r="CQ26">
        <f t="shared" si="71"/>
        <v>0</v>
      </c>
      <c r="CR26">
        <f>((((ET26*ROUND(0.8,7)))*BB26-((EU26*ROUND(0.8,7))))+AE26)</f>
        <v>173.10599999999999</v>
      </c>
      <c r="CS26">
        <f t="shared" si="73"/>
        <v>41.609999999999999</v>
      </c>
      <c r="CT26">
        <f t="shared" si="74"/>
        <v>434.36000000000001</v>
      </c>
      <c r="CU26">
        <f t="shared" si="75"/>
        <v>0</v>
      </c>
      <c r="CV26">
        <f t="shared" si="76"/>
        <v>54.159999999999997</v>
      </c>
      <c r="CW26">
        <f t="shared" si="77"/>
        <v>3.3599999999999999</v>
      </c>
      <c r="CX26">
        <f t="shared" si="78"/>
        <v>0</v>
      </c>
      <c r="CY26">
        <f t="shared" si="79"/>
        <v>10.281599999999999</v>
      </c>
      <c r="CZ26">
        <f t="shared" si="80"/>
        <v>5.2360000000000007</v>
      </c>
      <c r="DB26">
        <v>1</v>
      </c>
      <c r="DC26" t="s">
        <v>242</v>
      </c>
      <c r="DD26" t="s">
        <v>269</v>
      </c>
      <c r="DE26" t="s">
        <v>270</v>
      </c>
      <c r="DF26" t="s">
        <v>270</v>
      </c>
      <c r="DG26" t="s">
        <v>270</v>
      </c>
      <c r="DH26" t="s">
        <v>242</v>
      </c>
      <c r="DI26" t="s">
        <v>270</v>
      </c>
      <c r="DJ26" t="s">
        <v>270</v>
      </c>
      <c r="DK26" t="s">
        <v>242</v>
      </c>
      <c r="DL26" t="s">
        <v>242</v>
      </c>
      <c r="DM26" t="s">
        <v>242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255</v>
      </c>
      <c r="DW26" t="s">
        <v>255</v>
      </c>
      <c r="DX26">
        <v>1</v>
      </c>
      <c r="DZ26" t="s">
        <v>242</v>
      </c>
      <c r="EA26" t="s">
        <v>242</v>
      </c>
      <c r="EB26" t="s">
        <v>242</v>
      </c>
      <c r="EC26" t="s">
        <v>242</v>
      </c>
      <c r="EE26">
        <v>59733677</v>
      </c>
      <c r="EF26">
        <v>2</v>
      </c>
      <c r="EG26" t="s">
        <v>271</v>
      </c>
      <c r="EH26">
        <v>10</v>
      </c>
      <c r="EI26" t="s">
        <v>272</v>
      </c>
      <c r="EJ26">
        <v>1</v>
      </c>
      <c r="EK26">
        <v>10001</v>
      </c>
      <c r="EL26" t="s">
        <v>272</v>
      </c>
      <c r="EM26" t="s">
        <v>273</v>
      </c>
      <c r="EO26" t="s">
        <v>274</v>
      </c>
      <c r="EQ26">
        <v>0</v>
      </c>
      <c r="ER26">
        <v>2392.6900000000001</v>
      </c>
      <c r="ES26">
        <v>1633.3599999999999</v>
      </c>
      <c r="ET26">
        <v>216.38</v>
      </c>
      <c r="EU26">
        <v>52.009999999999998</v>
      </c>
      <c r="EV26">
        <v>542.95000000000005</v>
      </c>
      <c r="EW26">
        <v>67.700000000000003</v>
      </c>
      <c r="EX26">
        <v>4.2000000000000002</v>
      </c>
      <c r="EY26">
        <v>0</v>
      </c>
      <c r="FQ26">
        <v>0</v>
      </c>
      <c r="FR26">
        <f t="shared" si="81"/>
        <v>0</v>
      </c>
      <c r="FS26">
        <v>0</v>
      </c>
      <c r="FX26">
        <v>108</v>
      </c>
      <c r="FY26">
        <v>55</v>
      </c>
      <c r="GA26" t="s">
        <v>242</v>
      </c>
      <c r="GD26">
        <v>1</v>
      </c>
      <c r="GF26">
        <v>-2052500513</v>
      </c>
      <c r="GG26">
        <v>2</v>
      </c>
      <c r="GH26">
        <v>1</v>
      </c>
      <c r="GI26">
        <v>4</v>
      </c>
      <c r="GJ26">
        <v>0</v>
      </c>
      <c r="GK26">
        <v>0</v>
      </c>
      <c r="GL26">
        <f t="shared" si="82"/>
        <v>0</v>
      </c>
      <c r="GM26">
        <f t="shared" si="83"/>
        <v>27.670000000000002</v>
      </c>
      <c r="GN26">
        <f t="shared" si="84"/>
        <v>27.670000000000002</v>
      </c>
      <c r="GO26">
        <f t="shared" si="85"/>
        <v>0</v>
      </c>
      <c r="GP26">
        <f t="shared" si="86"/>
        <v>0</v>
      </c>
      <c r="GR26">
        <v>0</v>
      </c>
      <c r="GS26">
        <v>3</v>
      </c>
      <c r="GT26">
        <v>0</v>
      </c>
      <c r="GU26" t="s">
        <v>242</v>
      </c>
      <c r="GV26">
        <f t="shared" si="87"/>
        <v>0</v>
      </c>
      <c r="GW26">
        <v>1</v>
      </c>
      <c r="GX26">
        <f t="shared" si="88"/>
        <v>0</v>
      </c>
      <c r="HA26">
        <v>0</v>
      </c>
      <c r="HB26">
        <v>0</v>
      </c>
      <c r="HC26">
        <f t="shared" si="89"/>
        <v>0</v>
      </c>
      <c r="HE26" t="s">
        <v>242</v>
      </c>
      <c r="HF26" t="s">
        <v>242</v>
      </c>
      <c r="HI26">
        <f t="shared" si="90"/>
        <v>45.920000000000002</v>
      </c>
      <c r="HJ26">
        <f t="shared" si="91"/>
        <v>480.73000000000002</v>
      </c>
      <c r="HK26">
        <f t="shared" si="92"/>
        <v>568.77999999999997</v>
      </c>
      <c r="HL26">
        <f t="shared" si="93"/>
        <v>289.66000000000003</v>
      </c>
      <c r="HM26" t="s">
        <v>242</v>
      </c>
      <c r="HN26" t="s">
        <v>67</v>
      </c>
      <c r="HO26" t="s">
        <v>69</v>
      </c>
      <c r="HP26" t="s">
        <v>272</v>
      </c>
      <c r="HQ26" t="s">
        <v>272</v>
      </c>
      <c r="IK26">
        <v>0</v>
      </c>
    </row>
    <row r="27">
      <c r="A27">
        <v>17</v>
      </c>
      <c r="B27">
        <v>1</v>
      </c>
      <c r="C27">
        <f>ROW(SmtRes!A16)</f>
        <v>16</v>
      </c>
      <c r="D27">
        <f>ROW(EtalonRes!A20)</f>
        <v>20</v>
      </c>
      <c r="E27" t="s">
        <v>71</v>
      </c>
      <c r="F27" t="s">
        <v>275</v>
      </c>
      <c r="G27" t="s">
        <v>276</v>
      </c>
      <c r="H27" t="s">
        <v>255</v>
      </c>
      <c r="I27">
        <f>ROUND(13/100,7)</f>
        <v>0.13</v>
      </c>
      <c r="J27">
        <v>0</v>
      </c>
      <c r="K27">
        <f>ROUND(13/100,7)</f>
        <v>0.13</v>
      </c>
      <c r="O27">
        <f t="shared" si="50"/>
        <v>6.3600000000000003</v>
      </c>
      <c r="P27">
        <f t="shared" si="51"/>
        <v>0</v>
      </c>
      <c r="Q27">
        <f t="shared" si="52"/>
        <v>0.040000000000000001</v>
      </c>
      <c r="R27">
        <f t="shared" si="53"/>
        <v>0.02</v>
      </c>
      <c r="S27">
        <f t="shared" si="54"/>
        <v>6.3200000000000003</v>
      </c>
      <c r="T27">
        <f t="shared" si="55"/>
        <v>0</v>
      </c>
      <c r="U27">
        <f t="shared" si="56"/>
        <v>0.74099999999999999</v>
      </c>
      <c r="V27">
        <f t="shared" si="57"/>
        <v>0.0012999999999999999</v>
      </c>
      <c r="W27">
        <f t="shared" si="58"/>
        <v>0</v>
      </c>
      <c r="X27">
        <f t="shared" si="59"/>
        <v>5.5200000000000005</v>
      </c>
      <c r="Y27">
        <f t="shared" si="60"/>
        <v>2.79</v>
      </c>
      <c r="AA27">
        <v>65099320</v>
      </c>
      <c r="AB27">
        <f t="shared" si="61"/>
        <v>48.93</v>
      </c>
      <c r="AC27">
        <f t="shared" ref="AC27:AC51" si="94">ROUND((ES27),2)</f>
        <v>0</v>
      </c>
      <c r="AD27">
        <f t="shared" ref="AD27:AD51" si="95">ROUND((((ET27)-(EU27))+AE27),2)</f>
        <v>0.31</v>
      </c>
      <c r="AE27">
        <f t="shared" ref="AE27:AE51" si="96">ROUND((EU27),2)</f>
        <v>0.14000000000000001</v>
      </c>
      <c r="AF27">
        <f t="shared" ref="AF27:AF51" si="97">ROUND((EV27),2)</f>
        <v>48.620000000000005</v>
      </c>
      <c r="AG27">
        <f t="shared" si="66"/>
        <v>0</v>
      </c>
      <c r="AH27">
        <f t="shared" ref="AH27:AH51" si="98">(EW27)</f>
        <v>5.7000000000000002</v>
      </c>
      <c r="AI27">
        <f t="shared" ref="AI27:AI51" si="99">(EX27)</f>
        <v>0.01</v>
      </c>
      <c r="AJ27">
        <f t="shared" si="69"/>
        <v>0</v>
      </c>
      <c r="AK27">
        <v>48.93</v>
      </c>
      <c r="AL27">
        <v>0</v>
      </c>
      <c r="AM27">
        <v>0.31</v>
      </c>
      <c r="AN27">
        <v>0.14000000000000001</v>
      </c>
      <c r="AO27">
        <v>48.619999999999997</v>
      </c>
      <c r="AP27">
        <v>0</v>
      </c>
      <c r="AQ27">
        <v>5.7000000000000002</v>
      </c>
      <c r="AR27">
        <v>0.01</v>
      </c>
      <c r="AS27">
        <v>0</v>
      </c>
      <c r="AT27">
        <v>87</v>
      </c>
      <c r="AU27">
        <v>44</v>
      </c>
      <c r="AV27">
        <v>1</v>
      </c>
      <c r="AW27">
        <v>1</v>
      </c>
      <c r="AZ27">
        <v>1</v>
      </c>
      <c r="BA27">
        <v>55.32</v>
      </c>
      <c r="BB27">
        <v>1</v>
      </c>
      <c r="BC27">
        <v>1</v>
      </c>
      <c r="BD27" t="s">
        <v>242</v>
      </c>
      <c r="BE27" t="s">
        <v>242</v>
      </c>
      <c r="BF27" t="s">
        <v>242</v>
      </c>
      <c r="BG27" t="s">
        <v>242</v>
      </c>
      <c r="BH27">
        <v>0</v>
      </c>
      <c r="BI27">
        <v>1</v>
      </c>
      <c r="BJ27" t="s">
        <v>277</v>
      </c>
      <c r="BM27">
        <v>65001</v>
      </c>
      <c r="BN27">
        <v>0</v>
      </c>
      <c r="BO27" t="s">
        <v>257</v>
      </c>
      <c r="BP27">
        <v>1</v>
      </c>
      <c r="BQ27">
        <v>6</v>
      </c>
      <c r="BR27">
        <v>0</v>
      </c>
      <c r="BS27">
        <v>55.32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242</v>
      </c>
      <c r="BZ27">
        <v>87</v>
      </c>
      <c r="CA27">
        <v>44</v>
      </c>
      <c r="CB27" t="s">
        <v>242</v>
      </c>
      <c r="CE27">
        <v>0</v>
      </c>
      <c r="CF27">
        <v>0</v>
      </c>
      <c r="CG27">
        <v>0</v>
      </c>
      <c r="CM27">
        <v>0</v>
      </c>
      <c r="CN27" t="s">
        <v>242</v>
      </c>
      <c r="CO27">
        <v>0</v>
      </c>
      <c r="CP27">
        <f t="shared" si="70"/>
        <v>6.3600000000000003</v>
      </c>
      <c r="CQ27">
        <f t="shared" si="71"/>
        <v>0</v>
      </c>
      <c r="CR27">
        <f t="shared" ref="CR27:CR32" si="100">(((ET27)*BB27-(EU27))+AE27)</f>
        <v>0.31</v>
      </c>
      <c r="CS27">
        <f t="shared" si="73"/>
        <v>0.14000000000000001</v>
      </c>
      <c r="CT27">
        <f t="shared" si="74"/>
        <v>48.620000000000005</v>
      </c>
      <c r="CU27">
        <f t="shared" si="75"/>
        <v>0</v>
      </c>
      <c r="CV27">
        <f t="shared" si="76"/>
        <v>5.7000000000000002</v>
      </c>
      <c r="CW27">
        <f t="shared" si="77"/>
        <v>0.01</v>
      </c>
      <c r="CX27">
        <f t="shared" si="78"/>
        <v>0</v>
      </c>
      <c r="CY27">
        <f t="shared" si="79"/>
        <v>5.5158000000000005</v>
      </c>
      <c r="CZ27">
        <f t="shared" si="80"/>
        <v>2.7895999999999996</v>
      </c>
      <c r="DC27" t="s">
        <v>242</v>
      </c>
      <c r="DD27" t="s">
        <v>242</v>
      </c>
      <c r="DE27" t="s">
        <v>242</v>
      </c>
      <c r="DF27" t="s">
        <v>242</v>
      </c>
      <c r="DG27" t="s">
        <v>242</v>
      </c>
      <c r="DH27" t="s">
        <v>242</v>
      </c>
      <c r="DI27" t="s">
        <v>242</v>
      </c>
      <c r="DJ27" t="s">
        <v>242</v>
      </c>
      <c r="DK27" t="s">
        <v>242</v>
      </c>
      <c r="DL27" t="s">
        <v>242</v>
      </c>
      <c r="DM27" t="s">
        <v>242</v>
      </c>
      <c r="DN27">
        <v>0</v>
      </c>
      <c r="DO27">
        <v>0</v>
      </c>
      <c r="DP27">
        <v>1</v>
      </c>
      <c r="DQ27">
        <v>1</v>
      </c>
      <c r="DU27">
        <v>1013</v>
      </c>
      <c r="DV27" t="s">
        <v>255</v>
      </c>
      <c r="DW27" t="s">
        <v>255</v>
      </c>
      <c r="DX27">
        <v>1</v>
      </c>
      <c r="DZ27" t="s">
        <v>242</v>
      </c>
      <c r="EA27" t="s">
        <v>242</v>
      </c>
      <c r="EB27" t="s">
        <v>242</v>
      </c>
      <c r="EC27" t="s">
        <v>242</v>
      </c>
      <c r="EE27">
        <v>59733764</v>
      </c>
      <c r="EF27">
        <v>6</v>
      </c>
      <c r="EG27" t="s">
        <v>258</v>
      </c>
      <c r="EH27">
        <v>99</v>
      </c>
      <c r="EI27" t="s">
        <v>259</v>
      </c>
      <c r="EJ27">
        <v>1</v>
      </c>
      <c r="EK27">
        <v>65001</v>
      </c>
      <c r="EL27" t="s">
        <v>260</v>
      </c>
      <c r="EM27" t="s">
        <v>261</v>
      </c>
      <c r="EO27" t="s">
        <v>242</v>
      </c>
      <c r="EQ27">
        <v>0</v>
      </c>
      <c r="ER27">
        <v>48.93</v>
      </c>
      <c r="ES27">
        <v>0</v>
      </c>
      <c r="ET27">
        <v>0.31</v>
      </c>
      <c r="EU27">
        <v>0.14000000000000001</v>
      </c>
      <c r="EV27">
        <v>48.619999999999997</v>
      </c>
      <c r="EW27">
        <v>5.7000000000000002</v>
      </c>
      <c r="EX27">
        <v>0.01</v>
      </c>
      <c r="EY27">
        <v>0</v>
      </c>
      <c r="FQ27">
        <v>0</v>
      </c>
      <c r="FR27">
        <f t="shared" si="81"/>
        <v>0</v>
      </c>
      <c r="FS27">
        <v>0</v>
      </c>
      <c r="FX27">
        <v>87</v>
      </c>
      <c r="FY27">
        <v>44</v>
      </c>
      <c r="GA27" t="s">
        <v>242</v>
      </c>
      <c r="GD27">
        <v>1</v>
      </c>
      <c r="GF27">
        <v>-281910946</v>
      </c>
      <c r="GG27">
        <v>2</v>
      </c>
      <c r="GH27">
        <v>1</v>
      </c>
      <c r="GI27">
        <v>4</v>
      </c>
      <c r="GJ27">
        <v>0</v>
      </c>
      <c r="GK27">
        <v>0</v>
      </c>
      <c r="GL27">
        <f t="shared" si="82"/>
        <v>0</v>
      </c>
      <c r="GM27">
        <f t="shared" si="83"/>
        <v>14.67</v>
      </c>
      <c r="GN27">
        <f t="shared" si="84"/>
        <v>14.67</v>
      </c>
      <c r="GO27">
        <f t="shared" si="85"/>
        <v>0</v>
      </c>
      <c r="GP27">
        <f t="shared" si="86"/>
        <v>0</v>
      </c>
      <c r="GR27">
        <v>0</v>
      </c>
      <c r="GS27">
        <v>3</v>
      </c>
      <c r="GT27">
        <v>0</v>
      </c>
      <c r="GU27" t="s">
        <v>242</v>
      </c>
      <c r="GV27">
        <f t="shared" si="87"/>
        <v>0</v>
      </c>
      <c r="GW27">
        <v>1</v>
      </c>
      <c r="GX27">
        <f t="shared" si="88"/>
        <v>0</v>
      </c>
      <c r="HA27">
        <v>0</v>
      </c>
      <c r="HB27">
        <v>0</v>
      </c>
      <c r="HC27">
        <f t="shared" si="89"/>
        <v>0</v>
      </c>
      <c r="HE27" t="s">
        <v>242</v>
      </c>
      <c r="HF27" t="s">
        <v>242</v>
      </c>
      <c r="HI27">
        <f t="shared" si="90"/>
        <v>1.1100000000000001</v>
      </c>
      <c r="HJ27">
        <f t="shared" si="91"/>
        <v>349.62</v>
      </c>
      <c r="HK27">
        <f t="shared" si="92"/>
        <v>305.13999999999999</v>
      </c>
      <c r="HL27">
        <f t="shared" si="93"/>
        <v>154.31999999999999</v>
      </c>
      <c r="HM27" t="s">
        <v>242</v>
      </c>
      <c r="HN27" t="s">
        <v>56</v>
      </c>
      <c r="HO27" t="s">
        <v>59</v>
      </c>
      <c r="HP27" t="s">
        <v>260</v>
      </c>
      <c r="HQ27" t="s">
        <v>260</v>
      </c>
      <c r="IK27">
        <v>0</v>
      </c>
    </row>
    <row r="28">
      <c r="A28">
        <v>17</v>
      </c>
      <c r="B28">
        <v>1</v>
      </c>
      <c r="C28">
        <f>ROW(SmtRes!A19)</f>
        <v>19</v>
      </c>
      <c r="D28">
        <f>ROW(EtalonRes!A24)</f>
        <v>24</v>
      </c>
      <c r="E28" t="s">
        <v>72</v>
      </c>
      <c r="F28" t="s">
        <v>278</v>
      </c>
      <c r="G28" t="s">
        <v>279</v>
      </c>
      <c r="H28" t="s">
        <v>255</v>
      </c>
      <c r="I28">
        <f>ROUND(5/100,7)</f>
        <v>0.049999999999999996</v>
      </c>
      <c r="J28">
        <v>0</v>
      </c>
      <c r="K28">
        <f>ROUND(5/100,7)</f>
        <v>0.049999999999999996</v>
      </c>
      <c r="O28">
        <f t="shared" si="50"/>
        <v>15.77</v>
      </c>
      <c r="P28">
        <f t="shared" si="51"/>
        <v>0</v>
      </c>
      <c r="Q28">
        <f t="shared" si="52"/>
        <v>0.11</v>
      </c>
      <c r="R28">
        <f t="shared" si="53"/>
        <v>0.050000000000000003</v>
      </c>
      <c r="S28">
        <f t="shared" si="54"/>
        <v>15.66</v>
      </c>
      <c r="T28">
        <f t="shared" si="55"/>
        <v>0</v>
      </c>
      <c r="U28">
        <f t="shared" si="56"/>
        <v>1.8354999999999999</v>
      </c>
      <c r="V28">
        <f t="shared" si="57"/>
        <v>0.0034999999999999996</v>
      </c>
      <c r="W28">
        <f t="shared" si="58"/>
        <v>0</v>
      </c>
      <c r="X28">
        <f t="shared" si="59"/>
        <v>13.67</v>
      </c>
      <c r="Y28">
        <f t="shared" si="60"/>
        <v>6.9100000000000001</v>
      </c>
      <c r="AA28">
        <v>65099320</v>
      </c>
      <c r="AB28">
        <f t="shared" si="61"/>
        <v>315.32999999999998</v>
      </c>
      <c r="AC28">
        <f t="shared" si="94"/>
        <v>0</v>
      </c>
      <c r="AD28">
        <f t="shared" si="95"/>
        <v>2.1899999999999999</v>
      </c>
      <c r="AE28">
        <f t="shared" si="96"/>
        <v>0.95000000000000007</v>
      </c>
      <c r="AF28">
        <f t="shared" si="97"/>
        <v>313.13999999999999</v>
      </c>
      <c r="AG28">
        <f t="shared" si="66"/>
        <v>0</v>
      </c>
      <c r="AH28">
        <f t="shared" si="98"/>
        <v>36.710000000000001</v>
      </c>
      <c r="AI28">
        <f t="shared" si="99"/>
        <v>0.070000000000000007</v>
      </c>
      <c r="AJ28">
        <f t="shared" si="69"/>
        <v>0</v>
      </c>
      <c r="AK28">
        <v>315.32999999999998</v>
      </c>
      <c r="AL28">
        <v>0</v>
      </c>
      <c r="AM28">
        <v>2.1899999999999999</v>
      </c>
      <c r="AN28">
        <v>0.94999999999999996</v>
      </c>
      <c r="AO28">
        <v>313.13999999999999</v>
      </c>
      <c r="AP28">
        <v>0</v>
      </c>
      <c r="AQ28">
        <v>36.710000000000001</v>
      </c>
      <c r="AR28">
        <v>0.070000000000000007</v>
      </c>
      <c r="AS28">
        <v>0</v>
      </c>
      <c r="AT28">
        <v>87</v>
      </c>
      <c r="AU28">
        <v>44</v>
      </c>
      <c r="AV28">
        <v>1</v>
      </c>
      <c r="AW28">
        <v>1</v>
      </c>
      <c r="AZ28">
        <v>1</v>
      </c>
      <c r="BA28">
        <v>55.32</v>
      </c>
      <c r="BB28">
        <v>1</v>
      </c>
      <c r="BC28">
        <v>1</v>
      </c>
      <c r="BD28" t="s">
        <v>242</v>
      </c>
      <c r="BE28" t="s">
        <v>242</v>
      </c>
      <c r="BF28" t="s">
        <v>242</v>
      </c>
      <c r="BG28" t="s">
        <v>242</v>
      </c>
      <c r="BH28">
        <v>0</v>
      </c>
      <c r="BI28">
        <v>1</v>
      </c>
      <c r="BJ28" t="s">
        <v>280</v>
      </c>
      <c r="BM28">
        <v>65001</v>
      </c>
      <c r="BN28">
        <v>0</v>
      </c>
      <c r="BO28" t="s">
        <v>257</v>
      </c>
      <c r="BP28">
        <v>1</v>
      </c>
      <c r="BQ28">
        <v>6</v>
      </c>
      <c r="BR28">
        <v>0</v>
      </c>
      <c r="BS28">
        <v>55.32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242</v>
      </c>
      <c r="BZ28">
        <v>87</v>
      </c>
      <c r="CA28">
        <v>44</v>
      </c>
      <c r="CB28" t="s">
        <v>242</v>
      </c>
      <c r="CE28">
        <v>0</v>
      </c>
      <c r="CF28">
        <v>0</v>
      </c>
      <c r="CG28">
        <v>0</v>
      </c>
      <c r="CM28">
        <v>0</v>
      </c>
      <c r="CN28" t="s">
        <v>242</v>
      </c>
      <c r="CO28">
        <v>0</v>
      </c>
      <c r="CP28">
        <f t="shared" si="70"/>
        <v>15.77</v>
      </c>
      <c r="CQ28">
        <f t="shared" si="71"/>
        <v>0</v>
      </c>
      <c r="CR28">
        <f t="shared" si="100"/>
        <v>2.1899999999999999</v>
      </c>
      <c r="CS28">
        <f t="shared" si="73"/>
        <v>0.95000000000000007</v>
      </c>
      <c r="CT28">
        <f t="shared" si="74"/>
        <v>313.13999999999999</v>
      </c>
      <c r="CU28">
        <f t="shared" si="75"/>
        <v>0</v>
      </c>
      <c r="CV28">
        <f t="shared" si="76"/>
        <v>36.710000000000001</v>
      </c>
      <c r="CW28">
        <f t="shared" si="77"/>
        <v>0.070000000000000007</v>
      </c>
      <c r="CX28">
        <f t="shared" si="78"/>
        <v>0</v>
      </c>
      <c r="CY28">
        <f t="shared" si="79"/>
        <v>13.6677</v>
      </c>
      <c r="CZ28">
        <f t="shared" si="80"/>
        <v>6.9123999999999999</v>
      </c>
      <c r="DC28" t="s">
        <v>242</v>
      </c>
      <c r="DD28" t="s">
        <v>242</v>
      </c>
      <c r="DE28" t="s">
        <v>242</v>
      </c>
      <c r="DF28" t="s">
        <v>242</v>
      </c>
      <c r="DG28" t="s">
        <v>242</v>
      </c>
      <c r="DH28" t="s">
        <v>242</v>
      </c>
      <c r="DI28" t="s">
        <v>242</v>
      </c>
      <c r="DJ28" t="s">
        <v>242</v>
      </c>
      <c r="DK28" t="s">
        <v>242</v>
      </c>
      <c r="DL28" t="s">
        <v>242</v>
      </c>
      <c r="DM28" t="s">
        <v>242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255</v>
      </c>
      <c r="DW28" t="s">
        <v>255</v>
      </c>
      <c r="DX28">
        <v>1</v>
      </c>
      <c r="DZ28" t="s">
        <v>242</v>
      </c>
      <c r="EA28" t="s">
        <v>242</v>
      </c>
      <c r="EB28" t="s">
        <v>242</v>
      </c>
      <c r="EC28" t="s">
        <v>242</v>
      </c>
      <c r="EE28">
        <v>59733764</v>
      </c>
      <c r="EF28">
        <v>6</v>
      </c>
      <c r="EG28" t="s">
        <v>258</v>
      </c>
      <c r="EH28">
        <v>99</v>
      </c>
      <c r="EI28" t="s">
        <v>259</v>
      </c>
      <c r="EJ28">
        <v>1</v>
      </c>
      <c r="EK28">
        <v>65001</v>
      </c>
      <c r="EL28" t="s">
        <v>260</v>
      </c>
      <c r="EM28" t="s">
        <v>261</v>
      </c>
      <c r="EO28" t="s">
        <v>242</v>
      </c>
      <c r="EQ28">
        <v>0</v>
      </c>
      <c r="ER28">
        <v>315.32999999999998</v>
      </c>
      <c r="ES28">
        <v>0</v>
      </c>
      <c r="ET28">
        <v>2.1899999999999999</v>
      </c>
      <c r="EU28">
        <v>0.94999999999999996</v>
      </c>
      <c r="EV28">
        <v>313.13999999999999</v>
      </c>
      <c r="EW28">
        <v>36.710000000000001</v>
      </c>
      <c r="EX28">
        <v>0.070000000000000007</v>
      </c>
      <c r="EY28">
        <v>0</v>
      </c>
      <c r="FQ28">
        <v>0</v>
      </c>
      <c r="FR28">
        <f t="shared" si="81"/>
        <v>0</v>
      </c>
      <c r="FS28">
        <v>0</v>
      </c>
      <c r="FX28">
        <v>87</v>
      </c>
      <c r="FY28">
        <v>44</v>
      </c>
      <c r="GA28" t="s">
        <v>242</v>
      </c>
      <c r="GD28">
        <v>1</v>
      </c>
      <c r="GF28">
        <v>483316340</v>
      </c>
      <c r="GG28">
        <v>2</v>
      </c>
      <c r="GH28">
        <v>1</v>
      </c>
      <c r="GI28">
        <v>4</v>
      </c>
      <c r="GJ28">
        <v>0</v>
      </c>
      <c r="GK28">
        <v>0</v>
      </c>
      <c r="GL28">
        <f t="shared" si="82"/>
        <v>0</v>
      </c>
      <c r="GM28">
        <f t="shared" si="83"/>
        <v>36.350000000000001</v>
      </c>
      <c r="GN28">
        <f t="shared" si="84"/>
        <v>36.350000000000001</v>
      </c>
      <c r="GO28">
        <f t="shared" si="85"/>
        <v>0</v>
      </c>
      <c r="GP28">
        <f t="shared" si="86"/>
        <v>0</v>
      </c>
      <c r="GR28">
        <v>0</v>
      </c>
      <c r="GS28">
        <v>3</v>
      </c>
      <c r="GT28">
        <v>0</v>
      </c>
      <c r="GU28" t="s">
        <v>242</v>
      </c>
      <c r="GV28">
        <f t="shared" si="87"/>
        <v>0</v>
      </c>
      <c r="GW28">
        <v>1</v>
      </c>
      <c r="GX28">
        <f t="shared" si="88"/>
        <v>0</v>
      </c>
      <c r="HA28">
        <v>0</v>
      </c>
      <c r="HB28">
        <v>0</v>
      </c>
      <c r="HC28">
        <f t="shared" si="89"/>
        <v>0</v>
      </c>
      <c r="HE28" t="s">
        <v>242</v>
      </c>
      <c r="HF28" t="s">
        <v>242</v>
      </c>
      <c r="HI28">
        <f t="shared" si="90"/>
        <v>2.77</v>
      </c>
      <c r="HJ28">
        <f t="shared" si="91"/>
        <v>866.31000000000006</v>
      </c>
      <c r="HK28">
        <f t="shared" si="92"/>
        <v>756.10000000000002</v>
      </c>
      <c r="HL28">
        <f t="shared" si="93"/>
        <v>382.40000000000003</v>
      </c>
      <c r="HM28" t="s">
        <v>242</v>
      </c>
      <c r="HN28" t="s">
        <v>56</v>
      </c>
      <c r="HO28" t="s">
        <v>59</v>
      </c>
      <c r="HP28" t="s">
        <v>260</v>
      </c>
      <c r="HQ28" t="s">
        <v>260</v>
      </c>
      <c r="IK28">
        <v>0</v>
      </c>
    </row>
    <row r="29">
      <c r="A29">
        <v>17</v>
      </c>
      <c r="B29">
        <v>1</v>
      </c>
      <c r="C29">
        <f>ROW(SmtRes!A25)</f>
        <v>25</v>
      </c>
      <c r="D29">
        <f>ROW(EtalonRes!A31)</f>
        <v>31</v>
      </c>
      <c r="E29" t="s">
        <v>73</v>
      </c>
      <c r="F29" t="s">
        <v>281</v>
      </c>
      <c r="G29" t="s">
        <v>282</v>
      </c>
      <c r="H29" t="s">
        <v>283</v>
      </c>
      <c r="I29">
        <f>ROUND(30/100,7)</f>
        <v>0.29999999999999999</v>
      </c>
      <c r="J29">
        <v>0</v>
      </c>
      <c r="K29">
        <f>ROUND(30/100,7)</f>
        <v>0.29999999999999999</v>
      </c>
      <c r="O29">
        <f t="shared" si="50"/>
        <v>79.090000000000003</v>
      </c>
      <c r="P29">
        <f t="shared" si="51"/>
        <v>8.4299999999999997</v>
      </c>
      <c r="Q29">
        <f t="shared" si="52"/>
        <v>1.3700000000000001</v>
      </c>
      <c r="R29">
        <f t="shared" si="53"/>
        <v>0.20000000000000001</v>
      </c>
      <c r="S29">
        <f t="shared" si="54"/>
        <v>69.290000000000006</v>
      </c>
      <c r="T29">
        <f t="shared" si="55"/>
        <v>0</v>
      </c>
      <c r="U29">
        <f t="shared" si="56"/>
        <v>8.4089999999999989</v>
      </c>
      <c r="V29">
        <f t="shared" si="57"/>
        <v>0.014999999999999999</v>
      </c>
      <c r="W29">
        <f t="shared" si="58"/>
        <v>0</v>
      </c>
      <c r="X29">
        <f t="shared" si="59"/>
        <v>60.460000000000001</v>
      </c>
      <c r="Y29">
        <f t="shared" si="60"/>
        <v>30.580000000000002</v>
      </c>
      <c r="AA29">
        <v>65099320</v>
      </c>
      <c r="AB29">
        <f t="shared" si="61"/>
        <v>263.63</v>
      </c>
      <c r="AC29">
        <f t="shared" si="94"/>
        <v>28.100000000000001</v>
      </c>
      <c r="AD29">
        <f t="shared" si="95"/>
        <v>4.5600000000000005</v>
      </c>
      <c r="AE29">
        <f t="shared" si="96"/>
        <v>0.68000000000000005</v>
      </c>
      <c r="AF29">
        <f t="shared" si="97"/>
        <v>230.97</v>
      </c>
      <c r="AG29">
        <f t="shared" si="66"/>
        <v>0</v>
      </c>
      <c r="AH29">
        <f t="shared" si="98"/>
        <v>28.030000000000001</v>
      </c>
      <c r="AI29">
        <f t="shared" si="99"/>
        <v>0.050000000000000003</v>
      </c>
      <c r="AJ29">
        <f t="shared" si="69"/>
        <v>0</v>
      </c>
      <c r="AK29">
        <v>263.63</v>
      </c>
      <c r="AL29">
        <v>28.100000000000001</v>
      </c>
      <c r="AM29">
        <v>4.5599999999999996</v>
      </c>
      <c r="AN29">
        <v>0.68000000000000005</v>
      </c>
      <c r="AO29">
        <v>230.97</v>
      </c>
      <c r="AP29">
        <v>0</v>
      </c>
      <c r="AQ29">
        <v>28.030000000000001</v>
      </c>
      <c r="AR29">
        <v>0.050000000000000003</v>
      </c>
      <c r="AS29">
        <v>0</v>
      </c>
      <c r="AT29">
        <v>87</v>
      </c>
      <c r="AU29">
        <v>44</v>
      </c>
      <c r="AV29">
        <v>1</v>
      </c>
      <c r="AW29">
        <v>1</v>
      </c>
      <c r="AZ29">
        <v>1</v>
      </c>
      <c r="BA29">
        <v>55.32</v>
      </c>
      <c r="BB29">
        <v>1</v>
      </c>
      <c r="BC29">
        <v>1</v>
      </c>
      <c r="BD29" t="s">
        <v>242</v>
      </c>
      <c r="BE29" t="s">
        <v>242</v>
      </c>
      <c r="BF29" t="s">
        <v>242</v>
      </c>
      <c r="BG29" t="s">
        <v>242</v>
      </c>
      <c r="BH29">
        <v>0</v>
      </c>
      <c r="BI29">
        <v>1</v>
      </c>
      <c r="BJ29" t="s">
        <v>284</v>
      </c>
      <c r="BM29">
        <v>65001</v>
      </c>
      <c r="BN29">
        <v>0</v>
      </c>
      <c r="BO29" t="s">
        <v>257</v>
      </c>
      <c r="BP29">
        <v>1</v>
      </c>
      <c r="BQ29">
        <v>6</v>
      </c>
      <c r="BR29">
        <v>0</v>
      </c>
      <c r="BS29">
        <v>55.32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242</v>
      </c>
      <c r="BZ29">
        <v>87</v>
      </c>
      <c r="CA29">
        <v>44</v>
      </c>
      <c r="CB29" t="s">
        <v>242</v>
      </c>
      <c r="CE29">
        <v>0</v>
      </c>
      <c r="CF29">
        <v>0</v>
      </c>
      <c r="CG29">
        <v>0</v>
      </c>
      <c r="CM29">
        <v>0</v>
      </c>
      <c r="CN29" t="s">
        <v>242</v>
      </c>
      <c r="CO29">
        <v>0</v>
      </c>
      <c r="CP29">
        <f t="shared" si="70"/>
        <v>79.090000000000003</v>
      </c>
      <c r="CQ29">
        <f t="shared" si="71"/>
        <v>28.100000000000001</v>
      </c>
      <c r="CR29">
        <f t="shared" si="100"/>
        <v>4.5599999999999996</v>
      </c>
      <c r="CS29">
        <f t="shared" si="73"/>
        <v>0.68000000000000005</v>
      </c>
      <c r="CT29">
        <f t="shared" si="74"/>
        <v>230.97</v>
      </c>
      <c r="CU29">
        <f t="shared" si="75"/>
        <v>0</v>
      </c>
      <c r="CV29">
        <f t="shared" si="76"/>
        <v>28.030000000000001</v>
      </c>
      <c r="CW29">
        <f t="shared" si="77"/>
        <v>0.050000000000000003</v>
      </c>
      <c r="CX29">
        <f t="shared" si="78"/>
        <v>0</v>
      </c>
      <c r="CY29">
        <f t="shared" si="79"/>
        <v>60.456300000000013</v>
      </c>
      <c r="CZ29">
        <f t="shared" si="80"/>
        <v>30.575600000000005</v>
      </c>
      <c r="DC29" t="s">
        <v>242</v>
      </c>
      <c r="DD29" t="s">
        <v>242</v>
      </c>
      <c r="DE29" t="s">
        <v>242</v>
      </c>
      <c r="DF29" t="s">
        <v>242</v>
      </c>
      <c r="DG29" t="s">
        <v>242</v>
      </c>
      <c r="DH29" t="s">
        <v>242</v>
      </c>
      <c r="DI29" t="s">
        <v>242</v>
      </c>
      <c r="DJ29" t="s">
        <v>242</v>
      </c>
      <c r="DK29" t="s">
        <v>242</v>
      </c>
      <c r="DL29" t="s">
        <v>242</v>
      </c>
      <c r="DM29" t="s">
        <v>242</v>
      </c>
      <c r="DN29">
        <v>0</v>
      </c>
      <c r="DO29">
        <v>0</v>
      </c>
      <c r="DP29">
        <v>1</v>
      </c>
      <c r="DQ29">
        <v>1</v>
      </c>
      <c r="DU29">
        <v>1003</v>
      </c>
      <c r="DV29" t="s">
        <v>283</v>
      </c>
      <c r="DW29" t="s">
        <v>283</v>
      </c>
      <c r="DX29">
        <v>100</v>
      </c>
      <c r="DZ29" t="s">
        <v>242</v>
      </c>
      <c r="EA29" t="s">
        <v>242</v>
      </c>
      <c r="EB29" t="s">
        <v>242</v>
      </c>
      <c r="EC29" t="s">
        <v>242</v>
      </c>
      <c r="EE29">
        <v>59733764</v>
      </c>
      <c r="EF29">
        <v>6</v>
      </c>
      <c r="EG29" t="s">
        <v>258</v>
      </c>
      <c r="EH29">
        <v>99</v>
      </c>
      <c r="EI29" t="s">
        <v>259</v>
      </c>
      <c r="EJ29">
        <v>1</v>
      </c>
      <c r="EK29">
        <v>65001</v>
      </c>
      <c r="EL29" t="s">
        <v>260</v>
      </c>
      <c r="EM29" t="s">
        <v>261</v>
      </c>
      <c r="EO29" t="s">
        <v>242</v>
      </c>
      <c r="EQ29">
        <v>0</v>
      </c>
      <c r="ER29">
        <v>263.63</v>
      </c>
      <c r="ES29">
        <v>28.100000000000001</v>
      </c>
      <c r="ET29">
        <v>4.5599999999999996</v>
      </c>
      <c r="EU29">
        <v>0.68000000000000005</v>
      </c>
      <c r="EV29">
        <v>230.97</v>
      </c>
      <c r="EW29">
        <v>28.030000000000001</v>
      </c>
      <c r="EX29">
        <v>0.050000000000000003</v>
      </c>
      <c r="EY29">
        <v>0</v>
      </c>
      <c r="FQ29">
        <v>0</v>
      </c>
      <c r="FR29">
        <f t="shared" si="81"/>
        <v>0</v>
      </c>
      <c r="FS29">
        <v>0</v>
      </c>
      <c r="FX29">
        <v>87</v>
      </c>
      <c r="FY29">
        <v>44</v>
      </c>
      <c r="GA29" t="s">
        <v>242</v>
      </c>
      <c r="GD29">
        <v>1</v>
      </c>
      <c r="GF29">
        <v>-1041403448</v>
      </c>
      <c r="GG29">
        <v>2</v>
      </c>
      <c r="GH29">
        <v>1</v>
      </c>
      <c r="GI29">
        <v>4</v>
      </c>
      <c r="GJ29">
        <v>0</v>
      </c>
      <c r="GK29">
        <v>0</v>
      </c>
      <c r="GL29">
        <f t="shared" si="82"/>
        <v>0</v>
      </c>
      <c r="GM29">
        <f t="shared" si="83"/>
        <v>170.13</v>
      </c>
      <c r="GN29">
        <f t="shared" si="84"/>
        <v>170.13</v>
      </c>
      <c r="GO29">
        <f t="shared" si="85"/>
        <v>0</v>
      </c>
      <c r="GP29">
        <f t="shared" si="86"/>
        <v>0</v>
      </c>
      <c r="GR29">
        <v>0</v>
      </c>
      <c r="GS29">
        <v>3</v>
      </c>
      <c r="GT29">
        <v>0</v>
      </c>
      <c r="GU29" t="s">
        <v>242</v>
      </c>
      <c r="GV29">
        <f t="shared" si="87"/>
        <v>0</v>
      </c>
      <c r="GW29">
        <v>1</v>
      </c>
      <c r="GX29">
        <f t="shared" si="88"/>
        <v>0</v>
      </c>
      <c r="HA29">
        <v>0</v>
      </c>
      <c r="HB29">
        <v>0</v>
      </c>
      <c r="HC29">
        <f t="shared" si="89"/>
        <v>0</v>
      </c>
      <c r="HE29" t="s">
        <v>242</v>
      </c>
      <c r="HF29" t="s">
        <v>242</v>
      </c>
      <c r="HI29">
        <f t="shared" si="90"/>
        <v>11.06</v>
      </c>
      <c r="HJ29">
        <f t="shared" si="91"/>
        <v>3833.1199999999999</v>
      </c>
      <c r="HK29">
        <f t="shared" si="92"/>
        <v>3344.4400000000001</v>
      </c>
      <c r="HL29">
        <f t="shared" si="93"/>
        <v>1691.4400000000001</v>
      </c>
      <c r="HM29" t="s">
        <v>242</v>
      </c>
      <c r="HN29" t="s">
        <v>56</v>
      </c>
      <c r="HO29" t="s">
        <v>59</v>
      </c>
      <c r="HP29" t="s">
        <v>260</v>
      </c>
      <c r="HQ29" t="s">
        <v>260</v>
      </c>
      <c r="IK29">
        <v>0</v>
      </c>
    </row>
    <row r="30">
      <c r="A30">
        <v>17</v>
      </c>
      <c r="B30">
        <v>1</v>
      </c>
      <c r="C30">
        <f>ROW(SmtRes!A28)</f>
        <v>28</v>
      </c>
      <c r="D30">
        <f>ROW(EtalonRes!A35)</f>
        <v>35</v>
      </c>
      <c r="E30" t="s">
        <v>74</v>
      </c>
      <c r="F30" t="s">
        <v>285</v>
      </c>
      <c r="G30" t="s">
        <v>286</v>
      </c>
      <c r="H30" t="s">
        <v>283</v>
      </c>
      <c r="I30">
        <f>ROUND(10/100,7)</f>
        <v>0.099999999999999992</v>
      </c>
      <c r="J30">
        <v>0</v>
      </c>
      <c r="K30">
        <f>ROUND(10/100,7)</f>
        <v>0.099999999999999992</v>
      </c>
      <c r="O30">
        <f t="shared" si="50"/>
        <v>58.710000000000001</v>
      </c>
      <c r="P30">
        <f t="shared" si="51"/>
        <v>0</v>
      </c>
      <c r="Q30">
        <f t="shared" si="52"/>
        <v>0.5</v>
      </c>
      <c r="R30">
        <f t="shared" si="53"/>
        <v>0.22</v>
      </c>
      <c r="S30">
        <f t="shared" si="54"/>
        <v>58.210000000000001</v>
      </c>
      <c r="T30">
        <f t="shared" si="55"/>
        <v>0</v>
      </c>
      <c r="U30">
        <f t="shared" si="56"/>
        <v>6.8799999999999999</v>
      </c>
      <c r="V30">
        <f t="shared" si="57"/>
        <v>0.016</v>
      </c>
      <c r="W30">
        <f t="shared" si="58"/>
        <v>0</v>
      </c>
      <c r="X30">
        <f t="shared" si="59"/>
        <v>50.829999999999998</v>
      </c>
      <c r="Y30">
        <f t="shared" si="60"/>
        <v>25.710000000000001</v>
      </c>
      <c r="AA30">
        <v>65099320</v>
      </c>
      <c r="AB30">
        <f t="shared" si="61"/>
        <v>587.05000000000007</v>
      </c>
      <c r="AC30">
        <f t="shared" si="94"/>
        <v>0</v>
      </c>
      <c r="AD30">
        <f t="shared" si="95"/>
        <v>5</v>
      </c>
      <c r="AE30">
        <f t="shared" si="96"/>
        <v>2.1600000000000001</v>
      </c>
      <c r="AF30">
        <f t="shared" si="97"/>
        <v>582.05000000000007</v>
      </c>
      <c r="AG30">
        <f t="shared" si="66"/>
        <v>0</v>
      </c>
      <c r="AH30">
        <f t="shared" si="98"/>
        <v>68.799999999999997</v>
      </c>
      <c r="AI30">
        <f t="shared" si="99"/>
        <v>0.16</v>
      </c>
      <c r="AJ30">
        <f t="shared" si="69"/>
        <v>0</v>
      </c>
      <c r="AK30">
        <v>587.04999999999995</v>
      </c>
      <c r="AL30">
        <v>0</v>
      </c>
      <c r="AM30">
        <v>5</v>
      </c>
      <c r="AN30">
        <v>2.1600000000000001</v>
      </c>
      <c r="AO30">
        <v>582.04999999999995</v>
      </c>
      <c r="AP30">
        <v>0</v>
      </c>
      <c r="AQ30">
        <v>68.799999999999997</v>
      </c>
      <c r="AR30">
        <v>0.16</v>
      </c>
      <c r="AS30">
        <v>0</v>
      </c>
      <c r="AT30">
        <v>87</v>
      </c>
      <c r="AU30">
        <v>44</v>
      </c>
      <c r="AV30">
        <v>1</v>
      </c>
      <c r="AW30">
        <v>1</v>
      </c>
      <c r="AZ30">
        <v>1</v>
      </c>
      <c r="BA30">
        <v>55.32</v>
      </c>
      <c r="BB30">
        <v>1</v>
      </c>
      <c r="BC30">
        <v>1</v>
      </c>
      <c r="BD30" t="s">
        <v>242</v>
      </c>
      <c r="BE30" t="s">
        <v>242</v>
      </c>
      <c r="BF30" t="s">
        <v>242</v>
      </c>
      <c r="BG30" t="s">
        <v>242</v>
      </c>
      <c r="BH30">
        <v>0</v>
      </c>
      <c r="BI30">
        <v>1</v>
      </c>
      <c r="BJ30" t="s">
        <v>287</v>
      </c>
      <c r="BM30">
        <v>65001</v>
      </c>
      <c r="BN30">
        <v>0</v>
      </c>
      <c r="BO30" t="s">
        <v>257</v>
      </c>
      <c r="BP30">
        <v>1</v>
      </c>
      <c r="BQ30">
        <v>6</v>
      </c>
      <c r="BR30">
        <v>0</v>
      </c>
      <c r="BS30">
        <v>55.32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242</v>
      </c>
      <c r="BZ30">
        <v>87</v>
      </c>
      <c r="CA30">
        <v>44</v>
      </c>
      <c r="CB30" t="s">
        <v>242</v>
      </c>
      <c r="CE30">
        <v>0</v>
      </c>
      <c r="CF30">
        <v>0</v>
      </c>
      <c r="CG30">
        <v>0</v>
      </c>
      <c r="CM30">
        <v>0</v>
      </c>
      <c r="CN30" t="s">
        <v>242</v>
      </c>
      <c r="CO30">
        <v>0</v>
      </c>
      <c r="CP30">
        <f t="shared" si="70"/>
        <v>58.710000000000001</v>
      </c>
      <c r="CQ30">
        <f t="shared" si="71"/>
        <v>0</v>
      </c>
      <c r="CR30">
        <f t="shared" si="100"/>
        <v>5</v>
      </c>
      <c r="CS30">
        <f t="shared" si="73"/>
        <v>2.1600000000000001</v>
      </c>
      <c r="CT30">
        <f t="shared" si="74"/>
        <v>582.05000000000007</v>
      </c>
      <c r="CU30">
        <f t="shared" si="75"/>
        <v>0</v>
      </c>
      <c r="CV30">
        <f t="shared" si="76"/>
        <v>68.799999999999997</v>
      </c>
      <c r="CW30">
        <f t="shared" si="77"/>
        <v>0.16</v>
      </c>
      <c r="CX30">
        <f t="shared" si="78"/>
        <v>0</v>
      </c>
      <c r="CY30">
        <f t="shared" si="79"/>
        <v>50.834099999999999</v>
      </c>
      <c r="CZ30">
        <f t="shared" si="80"/>
        <v>25.709199999999999</v>
      </c>
      <c r="DC30" t="s">
        <v>242</v>
      </c>
      <c r="DD30" t="s">
        <v>242</v>
      </c>
      <c r="DE30" t="s">
        <v>242</v>
      </c>
      <c r="DF30" t="s">
        <v>242</v>
      </c>
      <c r="DG30" t="s">
        <v>242</v>
      </c>
      <c r="DH30" t="s">
        <v>242</v>
      </c>
      <c r="DI30" t="s">
        <v>242</v>
      </c>
      <c r="DJ30" t="s">
        <v>242</v>
      </c>
      <c r="DK30" t="s">
        <v>242</v>
      </c>
      <c r="DL30" t="s">
        <v>242</v>
      </c>
      <c r="DM30" t="s">
        <v>242</v>
      </c>
      <c r="DN30">
        <v>0</v>
      </c>
      <c r="DO30">
        <v>0</v>
      </c>
      <c r="DP30">
        <v>1</v>
      </c>
      <c r="DQ30">
        <v>1</v>
      </c>
      <c r="DU30">
        <v>1003</v>
      </c>
      <c r="DV30" t="s">
        <v>283</v>
      </c>
      <c r="DW30" t="s">
        <v>283</v>
      </c>
      <c r="DX30">
        <v>100</v>
      </c>
      <c r="DZ30" t="s">
        <v>242</v>
      </c>
      <c r="EA30" t="s">
        <v>242</v>
      </c>
      <c r="EB30" t="s">
        <v>242</v>
      </c>
      <c r="EC30" t="s">
        <v>242</v>
      </c>
      <c r="EE30">
        <v>59733764</v>
      </c>
      <c r="EF30">
        <v>6</v>
      </c>
      <c r="EG30" t="s">
        <v>258</v>
      </c>
      <c r="EH30">
        <v>99</v>
      </c>
      <c r="EI30" t="s">
        <v>259</v>
      </c>
      <c r="EJ30">
        <v>1</v>
      </c>
      <c r="EK30">
        <v>65001</v>
      </c>
      <c r="EL30" t="s">
        <v>260</v>
      </c>
      <c r="EM30" t="s">
        <v>261</v>
      </c>
      <c r="EO30" t="s">
        <v>242</v>
      </c>
      <c r="EQ30">
        <v>0</v>
      </c>
      <c r="ER30">
        <v>587.04999999999995</v>
      </c>
      <c r="ES30">
        <v>0</v>
      </c>
      <c r="ET30">
        <v>5</v>
      </c>
      <c r="EU30">
        <v>2.1600000000000001</v>
      </c>
      <c r="EV30">
        <v>582.04999999999995</v>
      </c>
      <c r="EW30">
        <v>68.799999999999997</v>
      </c>
      <c r="EX30">
        <v>0.16</v>
      </c>
      <c r="EY30">
        <v>0</v>
      </c>
      <c r="FQ30">
        <v>0</v>
      </c>
      <c r="FR30">
        <f t="shared" si="81"/>
        <v>0</v>
      </c>
      <c r="FS30">
        <v>0</v>
      </c>
      <c r="FX30">
        <v>87</v>
      </c>
      <c r="FY30">
        <v>44</v>
      </c>
      <c r="GA30" t="s">
        <v>242</v>
      </c>
      <c r="GD30">
        <v>1</v>
      </c>
      <c r="GF30">
        <v>-195407306</v>
      </c>
      <c r="GG30">
        <v>2</v>
      </c>
      <c r="GH30">
        <v>1</v>
      </c>
      <c r="GI30">
        <v>4</v>
      </c>
      <c r="GJ30">
        <v>0</v>
      </c>
      <c r="GK30">
        <v>0</v>
      </c>
      <c r="GL30">
        <f t="shared" si="82"/>
        <v>0</v>
      </c>
      <c r="GM30">
        <f t="shared" si="83"/>
        <v>135.25</v>
      </c>
      <c r="GN30">
        <f t="shared" si="84"/>
        <v>135.25</v>
      </c>
      <c r="GO30">
        <f t="shared" si="85"/>
        <v>0</v>
      </c>
      <c r="GP30">
        <f t="shared" si="86"/>
        <v>0</v>
      </c>
      <c r="GR30">
        <v>0</v>
      </c>
      <c r="GS30">
        <v>3</v>
      </c>
      <c r="GT30">
        <v>0</v>
      </c>
      <c r="GU30" t="s">
        <v>242</v>
      </c>
      <c r="GV30">
        <f t="shared" si="87"/>
        <v>0</v>
      </c>
      <c r="GW30">
        <v>1</v>
      </c>
      <c r="GX30">
        <f t="shared" si="88"/>
        <v>0</v>
      </c>
      <c r="HA30">
        <v>0</v>
      </c>
      <c r="HB30">
        <v>0</v>
      </c>
      <c r="HC30">
        <f t="shared" si="89"/>
        <v>0</v>
      </c>
      <c r="HE30" t="s">
        <v>242</v>
      </c>
      <c r="HF30" t="s">
        <v>242</v>
      </c>
      <c r="HI30">
        <f t="shared" si="90"/>
        <v>12.17</v>
      </c>
      <c r="HJ30">
        <f t="shared" si="91"/>
        <v>3220.1800000000003</v>
      </c>
      <c r="HK30">
        <f t="shared" si="92"/>
        <v>2812.1399999999999</v>
      </c>
      <c r="HL30">
        <f t="shared" si="93"/>
        <v>1422.23</v>
      </c>
      <c r="HM30" t="s">
        <v>242</v>
      </c>
      <c r="HN30" t="s">
        <v>56</v>
      </c>
      <c r="HO30" t="s">
        <v>59</v>
      </c>
      <c r="HP30" t="s">
        <v>260</v>
      </c>
      <c r="HQ30" t="s">
        <v>260</v>
      </c>
      <c r="IK30">
        <v>0</v>
      </c>
    </row>
    <row r="31">
      <c r="A31">
        <v>17</v>
      </c>
      <c r="B31">
        <v>1</v>
      </c>
      <c r="C31">
        <f>ROW(SmtRes!A31)</f>
        <v>31</v>
      </c>
      <c r="D31">
        <f>ROW(EtalonRes!A39)</f>
        <v>39</v>
      </c>
      <c r="E31" t="s">
        <v>75</v>
      </c>
      <c r="F31" t="s">
        <v>288</v>
      </c>
      <c r="G31" t="s">
        <v>289</v>
      </c>
      <c r="H31" t="s">
        <v>283</v>
      </c>
      <c r="I31">
        <f>ROUND(5/100,7)</f>
        <v>0.049999999999999996</v>
      </c>
      <c r="J31">
        <v>0</v>
      </c>
      <c r="K31">
        <f>ROUND(5/100,7)</f>
        <v>0.049999999999999996</v>
      </c>
      <c r="O31">
        <f t="shared" si="50"/>
        <v>36.579999999999998</v>
      </c>
      <c r="P31">
        <f t="shared" si="51"/>
        <v>0</v>
      </c>
      <c r="Q31">
        <f t="shared" si="52"/>
        <v>0.5</v>
      </c>
      <c r="R31">
        <f t="shared" si="53"/>
        <v>0.22</v>
      </c>
      <c r="S31">
        <f t="shared" si="54"/>
        <v>36.079999999999998</v>
      </c>
      <c r="T31">
        <f t="shared" si="55"/>
        <v>0</v>
      </c>
      <c r="U31">
        <f t="shared" si="56"/>
        <v>4.2649999999999997</v>
      </c>
      <c r="V31">
        <f t="shared" si="57"/>
        <v>0.016</v>
      </c>
      <c r="W31">
        <f t="shared" si="58"/>
        <v>0</v>
      </c>
      <c r="X31">
        <f t="shared" si="59"/>
        <v>31.580000000000002</v>
      </c>
      <c r="Y31">
        <f t="shared" si="60"/>
        <v>15.970000000000001</v>
      </c>
      <c r="AA31">
        <v>65099320</v>
      </c>
      <c r="AB31">
        <f t="shared" si="61"/>
        <v>731.63999999999999</v>
      </c>
      <c r="AC31">
        <f t="shared" si="94"/>
        <v>0</v>
      </c>
      <c r="AD31">
        <f t="shared" si="95"/>
        <v>10</v>
      </c>
      <c r="AE31">
        <f t="shared" si="96"/>
        <v>4.3200000000000003</v>
      </c>
      <c r="AF31">
        <f t="shared" si="97"/>
        <v>721.63999999999999</v>
      </c>
      <c r="AG31">
        <f t="shared" si="66"/>
        <v>0</v>
      </c>
      <c r="AH31">
        <f t="shared" si="98"/>
        <v>85.299999999999997</v>
      </c>
      <c r="AI31">
        <f t="shared" si="99"/>
        <v>0.32000000000000001</v>
      </c>
      <c r="AJ31">
        <f t="shared" si="69"/>
        <v>0</v>
      </c>
      <c r="AK31">
        <v>731.63999999999999</v>
      </c>
      <c r="AL31">
        <v>0</v>
      </c>
      <c r="AM31">
        <v>10</v>
      </c>
      <c r="AN31">
        <v>4.3200000000000003</v>
      </c>
      <c r="AO31">
        <v>721.63999999999999</v>
      </c>
      <c r="AP31">
        <v>0</v>
      </c>
      <c r="AQ31">
        <v>85.299999999999997</v>
      </c>
      <c r="AR31">
        <v>0.32000000000000001</v>
      </c>
      <c r="AS31">
        <v>0</v>
      </c>
      <c r="AT31">
        <v>87</v>
      </c>
      <c r="AU31">
        <v>44</v>
      </c>
      <c r="AV31">
        <v>1</v>
      </c>
      <c r="AW31">
        <v>1</v>
      </c>
      <c r="AZ31">
        <v>1</v>
      </c>
      <c r="BA31">
        <v>55.32</v>
      </c>
      <c r="BB31">
        <v>1</v>
      </c>
      <c r="BC31">
        <v>1</v>
      </c>
      <c r="BD31" t="s">
        <v>242</v>
      </c>
      <c r="BE31" t="s">
        <v>242</v>
      </c>
      <c r="BF31" t="s">
        <v>242</v>
      </c>
      <c r="BG31" t="s">
        <v>242</v>
      </c>
      <c r="BH31">
        <v>0</v>
      </c>
      <c r="BI31">
        <v>1</v>
      </c>
      <c r="BJ31" t="s">
        <v>290</v>
      </c>
      <c r="BM31">
        <v>65001</v>
      </c>
      <c r="BN31">
        <v>0</v>
      </c>
      <c r="BO31" t="s">
        <v>257</v>
      </c>
      <c r="BP31">
        <v>1</v>
      </c>
      <c r="BQ31">
        <v>6</v>
      </c>
      <c r="BR31">
        <v>0</v>
      </c>
      <c r="BS31">
        <v>55.32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242</v>
      </c>
      <c r="BZ31">
        <v>87</v>
      </c>
      <c r="CA31">
        <v>44</v>
      </c>
      <c r="CB31" t="s">
        <v>242</v>
      </c>
      <c r="CE31">
        <v>0</v>
      </c>
      <c r="CF31">
        <v>0</v>
      </c>
      <c r="CG31">
        <v>0</v>
      </c>
      <c r="CM31">
        <v>0</v>
      </c>
      <c r="CN31" t="s">
        <v>242</v>
      </c>
      <c r="CO31">
        <v>0</v>
      </c>
      <c r="CP31">
        <f t="shared" si="70"/>
        <v>36.579999999999998</v>
      </c>
      <c r="CQ31">
        <f t="shared" si="71"/>
        <v>0</v>
      </c>
      <c r="CR31">
        <f t="shared" si="100"/>
        <v>10</v>
      </c>
      <c r="CS31">
        <f t="shared" si="73"/>
        <v>4.3200000000000003</v>
      </c>
      <c r="CT31">
        <f t="shared" si="74"/>
        <v>721.63999999999999</v>
      </c>
      <c r="CU31">
        <f t="shared" si="75"/>
        <v>0</v>
      </c>
      <c r="CV31">
        <f t="shared" si="76"/>
        <v>85.299999999999997</v>
      </c>
      <c r="CW31">
        <f t="shared" si="77"/>
        <v>0.32000000000000001</v>
      </c>
      <c r="CX31">
        <f t="shared" si="78"/>
        <v>0</v>
      </c>
      <c r="CY31">
        <f t="shared" si="79"/>
        <v>31.581</v>
      </c>
      <c r="CZ31">
        <f t="shared" si="80"/>
        <v>15.971999999999998</v>
      </c>
      <c r="DC31" t="s">
        <v>242</v>
      </c>
      <c r="DD31" t="s">
        <v>242</v>
      </c>
      <c r="DE31" t="s">
        <v>242</v>
      </c>
      <c r="DF31" t="s">
        <v>242</v>
      </c>
      <c r="DG31" t="s">
        <v>242</v>
      </c>
      <c r="DH31" t="s">
        <v>242</v>
      </c>
      <c r="DI31" t="s">
        <v>242</v>
      </c>
      <c r="DJ31" t="s">
        <v>242</v>
      </c>
      <c r="DK31" t="s">
        <v>242</v>
      </c>
      <c r="DL31" t="s">
        <v>242</v>
      </c>
      <c r="DM31" t="s">
        <v>242</v>
      </c>
      <c r="DN31">
        <v>0</v>
      </c>
      <c r="DO31">
        <v>0</v>
      </c>
      <c r="DP31">
        <v>1</v>
      </c>
      <c r="DQ31">
        <v>1</v>
      </c>
      <c r="DU31">
        <v>1003</v>
      </c>
      <c r="DV31" t="s">
        <v>283</v>
      </c>
      <c r="DW31" t="s">
        <v>283</v>
      </c>
      <c r="DX31">
        <v>100</v>
      </c>
      <c r="DZ31" t="s">
        <v>242</v>
      </c>
      <c r="EA31" t="s">
        <v>242</v>
      </c>
      <c r="EB31" t="s">
        <v>242</v>
      </c>
      <c r="EC31" t="s">
        <v>242</v>
      </c>
      <c r="EE31">
        <v>59733764</v>
      </c>
      <c r="EF31">
        <v>6</v>
      </c>
      <c r="EG31" t="s">
        <v>258</v>
      </c>
      <c r="EH31">
        <v>99</v>
      </c>
      <c r="EI31" t="s">
        <v>259</v>
      </c>
      <c r="EJ31">
        <v>1</v>
      </c>
      <c r="EK31">
        <v>65001</v>
      </c>
      <c r="EL31" t="s">
        <v>260</v>
      </c>
      <c r="EM31" t="s">
        <v>261</v>
      </c>
      <c r="EO31" t="s">
        <v>242</v>
      </c>
      <c r="EQ31">
        <v>0</v>
      </c>
      <c r="ER31">
        <v>731.63999999999999</v>
      </c>
      <c r="ES31">
        <v>0</v>
      </c>
      <c r="ET31">
        <v>10</v>
      </c>
      <c r="EU31">
        <v>4.3200000000000003</v>
      </c>
      <c r="EV31">
        <v>721.63999999999999</v>
      </c>
      <c r="EW31">
        <v>85.299999999999997</v>
      </c>
      <c r="EX31">
        <v>0.32000000000000001</v>
      </c>
      <c r="EY31">
        <v>0</v>
      </c>
      <c r="FQ31">
        <v>0</v>
      </c>
      <c r="FR31">
        <f t="shared" si="81"/>
        <v>0</v>
      </c>
      <c r="FS31">
        <v>0</v>
      </c>
      <c r="FX31">
        <v>87</v>
      </c>
      <c r="FY31">
        <v>44</v>
      </c>
      <c r="GA31" t="s">
        <v>242</v>
      </c>
      <c r="GD31">
        <v>1</v>
      </c>
      <c r="GF31">
        <v>1782571747</v>
      </c>
      <c r="GG31">
        <v>2</v>
      </c>
      <c r="GH31">
        <v>1</v>
      </c>
      <c r="GI31">
        <v>4</v>
      </c>
      <c r="GJ31">
        <v>0</v>
      </c>
      <c r="GK31">
        <v>0</v>
      </c>
      <c r="GL31">
        <f t="shared" si="82"/>
        <v>0</v>
      </c>
      <c r="GM31">
        <f t="shared" si="83"/>
        <v>84.129999999999995</v>
      </c>
      <c r="GN31">
        <f t="shared" si="84"/>
        <v>84.129999999999995</v>
      </c>
      <c r="GO31">
        <f t="shared" si="85"/>
        <v>0</v>
      </c>
      <c r="GP31">
        <f t="shared" si="86"/>
        <v>0</v>
      </c>
      <c r="GR31">
        <v>0</v>
      </c>
      <c r="GS31">
        <v>3</v>
      </c>
      <c r="GT31">
        <v>0</v>
      </c>
      <c r="GU31" t="s">
        <v>242</v>
      </c>
      <c r="GV31">
        <f t="shared" si="87"/>
        <v>0</v>
      </c>
      <c r="GW31">
        <v>1</v>
      </c>
      <c r="GX31">
        <f t="shared" si="88"/>
        <v>0</v>
      </c>
      <c r="HA31">
        <v>0</v>
      </c>
      <c r="HB31">
        <v>0</v>
      </c>
      <c r="HC31">
        <f t="shared" si="89"/>
        <v>0</v>
      </c>
      <c r="HE31" t="s">
        <v>242</v>
      </c>
      <c r="HF31" t="s">
        <v>242</v>
      </c>
      <c r="HI31">
        <f t="shared" si="90"/>
        <v>12.17</v>
      </c>
      <c r="HJ31">
        <f t="shared" si="91"/>
        <v>1995.95</v>
      </c>
      <c r="HK31">
        <f t="shared" si="92"/>
        <v>1747.0599999999999</v>
      </c>
      <c r="HL31">
        <f t="shared" si="93"/>
        <v>883.57000000000005</v>
      </c>
      <c r="HM31" t="s">
        <v>242</v>
      </c>
      <c r="HN31" t="s">
        <v>56</v>
      </c>
      <c r="HO31" t="s">
        <v>59</v>
      </c>
      <c r="HP31" t="s">
        <v>260</v>
      </c>
      <c r="HQ31" t="s">
        <v>260</v>
      </c>
      <c r="IK31">
        <v>0</v>
      </c>
    </row>
    <row r="32">
      <c r="A32">
        <v>17</v>
      </c>
      <c r="B32">
        <v>1</v>
      </c>
      <c r="C32">
        <f>ROW(SmtRes!A46)</f>
        <v>46</v>
      </c>
      <c r="D32">
        <f>ROW(EtalonRes!A54)</f>
        <v>54</v>
      </c>
      <c r="E32" t="s">
        <v>76</v>
      </c>
      <c r="F32" t="s">
        <v>291</v>
      </c>
      <c r="G32" t="s">
        <v>292</v>
      </c>
      <c r="H32" t="s">
        <v>293</v>
      </c>
      <c r="I32">
        <f>ROUND(3/10,7)</f>
        <v>0.29999999999999999</v>
      </c>
      <c r="J32">
        <v>0</v>
      </c>
      <c r="K32">
        <f>ROUND(3/10,7)</f>
        <v>0.29999999999999999</v>
      </c>
      <c r="O32">
        <f t="shared" si="50"/>
        <v>159.09</v>
      </c>
      <c r="P32">
        <f t="shared" si="51"/>
        <v>85.060000000000002</v>
      </c>
      <c r="Q32">
        <f t="shared" si="52"/>
        <v>10.69</v>
      </c>
      <c r="R32">
        <f t="shared" si="53"/>
        <v>2.6499999999999999</v>
      </c>
      <c r="S32">
        <f t="shared" si="54"/>
        <v>63.340000000000003</v>
      </c>
      <c r="T32">
        <f t="shared" si="55"/>
        <v>0</v>
      </c>
      <c r="U32">
        <f t="shared" si="56"/>
        <v>6.6600000000000001</v>
      </c>
      <c r="V32">
        <f t="shared" si="57"/>
        <v>0.21299999999999999</v>
      </c>
      <c r="W32">
        <f t="shared" si="58"/>
        <v>0</v>
      </c>
      <c r="X32">
        <f t="shared" si="59"/>
        <v>79.850000000000009</v>
      </c>
      <c r="Y32">
        <f t="shared" si="60"/>
        <v>47.509999999999998</v>
      </c>
      <c r="AA32">
        <v>65099320</v>
      </c>
      <c r="AB32">
        <f t="shared" si="61"/>
        <v>530.27999999999997</v>
      </c>
      <c r="AC32">
        <f t="shared" si="94"/>
        <v>283.53000000000003</v>
      </c>
      <c r="AD32">
        <f t="shared" si="95"/>
        <v>35.630000000000003</v>
      </c>
      <c r="AE32">
        <f t="shared" si="96"/>
        <v>8.8399999999999999</v>
      </c>
      <c r="AF32">
        <f t="shared" si="97"/>
        <v>211.12</v>
      </c>
      <c r="AG32">
        <f t="shared" si="66"/>
        <v>0</v>
      </c>
      <c r="AH32">
        <f t="shared" si="98"/>
        <v>22.199999999999999</v>
      </c>
      <c r="AI32">
        <f t="shared" si="99"/>
        <v>0.70999999999999996</v>
      </c>
      <c r="AJ32">
        <f t="shared" si="69"/>
        <v>0</v>
      </c>
      <c r="AK32">
        <v>530.27999999999997</v>
      </c>
      <c r="AL32">
        <v>283.52999999999997</v>
      </c>
      <c r="AM32">
        <v>35.630000000000003</v>
      </c>
      <c r="AN32">
        <v>8.8399999999999999</v>
      </c>
      <c r="AO32">
        <v>211.12</v>
      </c>
      <c r="AP32">
        <v>0</v>
      </c>
      <c r="AQ32">
        <v>22.199999999999999</v>
      </c>
      <c r="AR32">
        <v>0.70999999999999996</v>
      </c>
      <c r="AS32">
        <v>0</v>
      </c>
      <c r="AT32">
        <v>121</v>
      </c>
      <c r="AU32">
        <v>72</v>
      </c>
      <c r="AV32">
        <v>1</v>
      </c>
      <c r="AW32">
        <v>1</v>
      </c>
      <c r="AZ32">
        <v>1</v>
      </c>
      <c r="BA32">
        <v>55.32</v>
      </c>
      <c r="BB32">
        <v>1</v>
      </c>
      <c r="BC32">
        <v>1</v>
      </c>
      <c r="BD32" t="s">
        <v>242</v>
      </c>
      <c r="BE32" t="s">
        <v>242</v>
      </c>
      <c r="BF32" t="s">
        <v>242</v>
      </c>
      <c r="BG32" t="s">
        <v>242</v>
      </c>
      <c r="BH32">
        <v>0</v>
      </c>
      <c r="BI32">
        <v>1</v>
      </c>
      <c r="BJ32" t="s">
        <v>294</v>
      </c>
      <c r="BM32">
        <v>17001</v>
      </c>
      <c r="BN32">
        <v>0</v>
      </c>
      <c r="BO32" t="s">
        <v>257</v>
      </c>
      <c r="BP32">
        <v>1</v>
      </c>
      <c r="BQ32">
        <v>2</v>
      </c>
      <c r="BR32">
        <v>0</v>
      </c>
      <c r="BS32">
        <v>55.32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242</v>
      </c>
      <c r="BZ32">
        <v>121</v>
      </c>
      <c r="CA32">
        <v>72</v>
      </c>
      <c r="CB32" t="s">
        <v>242</v>
      </c>
      <c r="CE32">
        <v>0</v>
      </c>
      <c r="CF32">
        <v>0</v>
      </c>
      <c r="CG32">
        <v>0</v>
      </c>
      <c r="CM32">
        <v>0</v>
      </c>
      <c r="CN32" t="s">
        <v>242</v>
      </c>
      <c r="CO32">
        <v>0</v>
      </c>
      <c r="CP32">
        <f t="shared" si="70"/>
        <v>159.09</v>
      </c>
      <c r="CQ32">
        <f t="shared" si="71"/>
        <v>283.53000000000003</v>
      </c>
      <c r="CR32">
        <f t="shared" si="100"/>
        <v>35.630000000000003</v>
      </c>
      <c r="CS32">
        <f t="shared" si="73"/>
        <v>8.8399999999999999</v>
      </c>
      <c r="CT32">
        <f t="shared" si="74"/>
        <v>211.12</v>
      </c>
      <c r="CU32">
        <f t="shared" si="75"/>
        <v>0</v>
      </c>
      <c r="CV32">
        <f t="shared" si="76"/>
        <v>22.199999999999999</v>
      </c>
      <c r="CW32">
        <f t="shared" si="77"/>
        <v>0.70999999999999996</v>
      </c>
      <c r="CX32">
        <f t="shared" si="78"/>
        <v>0</v>
      </c>
      <c r="CY32">
        <f t="shared" si="79"/>
        <v>79.84790000000001</v>
      </c>
      <c r="CZ32">
        <f t="shared" si="80"/>
        <v>47.512800000000006</v>
      </c>
      <c r="DC32" t="s">
        <v>242</v>
      </c>
      <c r="DD32" t="s">
        <v>242</v>
      </c>
      <c r="DE32" t="s">
        <v>242</v>
      </c>
      <c r="DF32" t="s">
        <v>242</v>
      </c>
      <c r="DG32" t="s">
        <v>242</v>
      </c>
      <c r="DH32" t="s">
        <v>242</v>
      </c>
      <c r="DI32" t="s">
        <v>242</v>
      </c>
      <c r="DJ32" t="s">
        <v>242</v>
      </c>
      <c r="DK32" t="s">
        <v>242</v>
      </c>
      <c r="DL32" t="s">
        <v>242</v>
      </c>
      <c r="DM32" t="s">
        <v>242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293</v>
      </c>
      <c r="DW32" t="s">
        <v>293</v>
      </c>
      <c r="DX32">
        <v>1</v>
      </c>
      <c r="DZ32" t="s">
        <v>242</v>
      </c>
      <c r="EA32" t="s">
        <v>242</v>
      </c>
      <c r="EB32" t="s">
        <v>242</v>
      </c>
      <c r="EC32" t="s">
        <v>242</v>
      </c>
      <c r="EE32">
        <v>59733705</v>
      </c>
      <c r="EF32">
        <v>2</v>
      </c>
      <c r="EG32" t="s">
        <v>271</v>
      </c>
      <c r="EH32">
        <v>16</v>
      </c>
      <c r="EI32" t="s">
        <v>295</v>
      </c>
      <c r="EJ32">
        <v>1</v>
      </c>
      <c r="EK32">
        <v>17001</v>
      </c>
      <c r="EL32" t="s">
        <v>296</v>
      </c>
      <c r="EM32" t="s">
        <v>297</v>
      </c>
      <c r="EO32" t="s">
        <v>242</v>
      </c>
      <c r="EQ32">
        <v>0</v>
      </c>
      <c r="ER32">
        <v>530.27999999999997</v>
      </c>
      <c r="ES32">
        <v>283.52999999999997</v>
      </c>
      <c r="ET32">
        <v>35.630000000000003</v>
      </c>
      <c r="EU32">
        <v>8.8399999999999999</v>
      </c>
      <c r="EV32">
        <v>211.12</v>
      </c>
      <c r="EW32">
        <v>22.199999999999999</v>
      </c>
      <c r="EX32">
        <v>0.70999999999999996</v>
      </c>
      <c r="EY32">
        <v>0</v>
      </c>
      <c r="FQ32">
        <v>0</v>
      </c>
      <c r="FR32">
        <f t="shared" si="81"/>
        <v>0</v>
      </c>
      <c r="FS32">
        <v>0</v>
      </c>
      <c r="FX32">
        <v>121</v>
      </c>
      <c r="FY32">
        <v>72</v>
      </c>
      <c r="GA32" t="s">
        <v>242</v>
      </c>
      <c r="GD32">
        <v>1</v>
      </c>
      <c r="GF32">
        <v>-1280918381</v>
      </c>
      <c r="GG32">
        <v>2</v>
      </c>
      <c r="GH32">
        <v>1</v>
      </c>
      <c r="GI32">
        <v>4</v>
      </c>
      <c r="GJ32">
        <v>0</v>
      </c>
      <c r="GK32">
        <v>0</v>
      </c>
      <c r="GL32">
        <f t="shared" si="82"/>
        <v>0</v>
      </c>
      <c r="GM32">
        <f t="shared" si="83"/>
        <v>286.44999999999999</v>
      </c>
      <c r="GN32">
        <f t="shared" si="84"/>
        <v>286.44999999999999</v>
      </c>
      <c r="GO32">
        <f t="shared" si="85"/>
        <v>0</v>
      </c>
      <c r="GP32">
        <f t="shared" si="86"/>
        <v>0</v>
      </c>
      <c r="GR32">
        <v>0</v>
      </c>
      <c r="GS32">
        <v>3</v>
      </c>
      <c r="GT32">
        <v>0</v>
      </c>
      <c r="GU32" t="s">
        <v>242</v>
      </c>
      <c r="GV32">
        <f t="shared" si="87"/>
        <v>0</v>
      </c>
      <c r="GW32">
        <v>1</v>
      </c>
      <c r="GX32">
        <f t="shared" si="88"/>
        <v>0</v>
      </c>
      <c r="HA32">
        <v>0</v>
      </c>
      <c r="HB32">
        <v>0</v>
      </c>
      <c r="HC32">
        <f t="shared" si="89"/>
        <v>0</v>
      </c>
      <c r="HE32" t="s">
        <v>242</v>
      </c>
      <c r="HF32" t="s">
        <v>242</v>
      </c>
      <c r="HI32">
        <f t="shared" si="90"/>
        <v>146.59999999999999</v>
      </c>
      <c r="HJ32">
        <f t="shared" si="91"/>
        <v>3503.9700000000003</v>
      </c>
      <c r="HK32">
        <f t="shared" si="92"/>
        <v>4417.1900000000005</v>
      </c>
      <c r="HL32">
        <f t="shared" si="93"/>
        <v>2628.4099999999999</v>
      </c>
      <c r="HM32" t="s">
        <v>242</v>
      </c>
      <c r="HN32" t="s">
        <v>79</v>
      </c>
      <c r="HO32" t="s">
        <v>81</v>
      </c>
      <c r="HP32" t="s">
        <v>295</v>
      </c>
      <c r="HQ32" t="s">
        <v>295</v>
      </c>
      <c r="IK32">
        <v>0</v>
      </c>
    </row>
    <row r="33">
      <c r="A33">
        <v>18</v>
      </c>
      <c r="B33">
        <v>1</v>
      </c>
      <c r="C33">
        <v>46</v>
      </c>
      <c r="E33" t="s">
        <v>298</v>
      </c>
      <c r="F33" t="s">
        <v>194</v>
      </c>
      <c r="G33" t="s">
        <v>299</v>
      </c>
      <c r="H33" t="s">
        <v>300</v>
      </c>
      <c r="I33">
        <f>I32*J33</f>
        <v>3</v>
      </c>
      <c r="J33">
        <v>10</v>
      </c>
      <c r="K33">
        <v>10</v>
      </c>
      <c r="O33">
        <f t="shared" si="50"/>
        <v>2748.6900000000001</v>
      </c>
      <c r="P33">
        <f>ROUND(ROUND(CQ33*I33,2)/BC33,2)</f>
        <v>2748.6900000000001</v>
      </c>
      <c r="Q33">
        <f t="shared" si="52"/>
        <v>0</v>
      </c>
      <c r="R33">
        <f t="shared" si="53"/>
        <v>0</v>
      </c>
      <c r="S33">
        <f t="shared" si="54"/>
        <v>0</v>
      </c>
      <c r="T33">
        <f t="shared" si="55"/>
        <v>0</v>
      </c>
      <c r="U33">
        <f t="shared" si="56"/>
        <v>0</v>
      </c>
      <c r="V33">
        <f t="shared" si="57"/>
        <v>0</v>
      </c>
      <c r="W33">
        <f t="shared" si="58"/>
        <v>0</v>
      </c>
      <c r="X33">
        <f t="shared" si="59"/>
        <v>0</v>
      </c>
      <c r="Y33">
        <f t="shared" si="60"/>
        <v>0</v>
      </c>
      <c r="AA33">
        <v>65099320</v>
      </c>
      <c r="AB33">
        <f t="shared" si="61"/>
        <v>8750</v>
      </c>
      <c r="AC33">
        <f t="shared" si="94"/>
        <v>8750</v>
      </c>
      <c r="AD33">
        <f t="shared" si="95"/>
        <v>0</v>
      </c>
      <c r="AE33">
        <f t="shared" si="96"/>
        <v>0</v>
      </c>
      <c r="AF33">
        <f t="shared" si="97"/>
        <v>0</v>
      </c>
      <c r="AG33">
        <f t="shared" si="66"/>
        <v>0</v>
      </c>
      <c r="AH33">
        <f t="shared" si="98"/>
        <v>0</v>
      </c>
      <c r="AI33">
        <f t="shared" si="99"/>
        <v>0</v>
      </c>
      <c r="AJ33">
        <f t="shared" si="69"/>
        <v>0</v>
      </c>
      <c r="AK33">
        <v>8750</v>
      </c>
      <c r="AL33">
        <v>8750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121</v>
      </c>
      <c r="AU33">
        <v>72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9.5500000000000007</v>
      </c>
      <c r="BD33" t="s">
        <v>242</v>
      </c>
      <c r="BE33" t="s">
        <v>242</v>
      </c>
      <c r="BF33" t="s">
        <v>242</v>
      </c>
      <c r="BG33" t="s">
        <v>242</v>
      </c>
      <c r="BH33">
        <v>3</v>
      </c>
      <c r="BI33">
        <v>1</v>
      </c>
      <c r="BJ33" t="s">
        <v>242</v>
      </c>
      <c r="BM33">
        <v>17001</v>
      </c>
      <c r="BN33">
        <v>0</v>
      </c>
      <c r="BO33" t="s">
        <v>242</v>
      </c>
      <c r="BP33">
        <v>0</v>
      </c>
      <c r="BQ33">
        <v>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242</v>
      </c>
      <c r="BZ33">
        <v>121</v>
      </c>
      <c r="CA33">
        <v>72</v>
      </c>
      <c r="CB33" t="s">
        <v>242</v>
      </c>
      <c r="CE33">
        <v>0</v>
      </c>
      <c r="CF33">
        <v>0</v>
      </c>
      <c r="CG33">
        <v>0</v>
      </c>
      <c r="CM33">
        <v>0</v>
      </c>
      <c r="CN33" t="s">
        <v>242</v>
      </c>
      <c r="CO33">
        <v>0</v>
      </c>
      <c r="CP33">
        <f t="shared" si="70"/>
        <v>2748.6900000000001</v>
      </c>
      <c r="CQ33">
        <f>AC33</f>
        <v>8750</v>
      </c>
      <c r="CR33">
        <f>(((ET33)-(EU33))+AE33)</f>
        <v>0</v>
      </c>
      <c r="CS33">
        <f t="shared" si="73"/>
        <v>0</v>
      </c>
      <c r="CT33">
        <f t="shared" si="74"/>
        <v>0</v>
      </c>
      <c r="CU33">
        <f t="shared" si="75"/>
        <v>0</v>
      </c>
      <c r="CV33">
        <f t="shared" si="76"/>
        <v>0</v>
      </c>
      <c r="CW33">
        <f t="shared" si="77"/>
        <v>0</v>
      </c>
      <c r="CX33">
        <f t="shared" si="78"/>
        <v>0</v>
      </c>
      <c r="CY33">
        <f t="shared" si="79"/>
        <v>0</v>
      </c>
      <c r="CZ33">
        <f t="shared" si="80"/>
        <v>0</v>
      </c>
      <c r="DC33" t="s">
        <v>242</v>
      </c>
      <c r="DD33" t="s">
        <v>242</v>
      </c>
      <c r="DE33" t="s">
        <v>242</v>
      </c>
      <c r="DF33" t="s">
        <v>242</v>
      </c>
      <c r="DG33" t="s">
        <v>242</v>
      </c>
      <c r="DH33" t="s">
        <v>242</v>
      </c>
      <c r="DI33" t="s">
        <v>242</v>
      </c>
      <c r="DJ33" t="s">
        <v>242</v>
      </c>
      <c r="DK33" t="s">
        <v>242</v>
      </c>
      <c r="DL33" t="s">
        <v>242</v>
      </c>
      <c r="DM33" t="s">
        <v>242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300</v>
      </c>
      <c r="DW33" t="s">
        <v>300</v>
      </c>
      <c r="DX33">
        <v>1</v>
      </c>
      <c r="DZ33" t="s">
        <v>242</v>
      </c>
      <c r="EA33" t="s">
        <v>242</v>
      </c>
      <c r="EB33" t="s">
        <v>242</v>
      </c>
      <c r="EC33" t="s">
        <v>242</v>
      </c>
      <c r="EE33">
        <v>59733705</v>
      </c>
      <c r="EF33">
        <v>2</v>
      </c>
      <c r="EG33" t="s">
        <v>271</v>
      </c>
      <c r="EH33">
        <v>16</v>
      </c>
      <c r="EI33" t="s">
        <v>295</v>
      </c>
      <c r="EJ33">
        <v>1</v>
      </c>
      <c r="EK33">
        <v>17001</v>
      </c>
      <c r="EL33" t="s">
        <v>296</v>
      </c>
      <c r="EM33" t="s">
        <v>297</v>
      </c>
      <c r="EO33" t="s">
        <v>242</v>
      </c>
      <c r="EQ33">
        <v>0</v>
      </c>
      <c r="ER33">
        <v>8750</v>
      </c>
      <c r="ES33">
        <v>8750</v>
      </c>
      <c r="ET33">
        <v>0</v>
      </c>
      <c r="EU33">
        <v>0</v>
      </c>
      <c r="EV33">
        <v>0</v>
      </c>
      <c r="EW33">
        <v>0</v>
      </c>
      <c r="EX33">
        <v>0</v>
      </c>
      <c r="EZ33">
        <v>5</v>
      </c>
      <c r="FC33">
        <v>1</v>
      </c>
      <c r="FD33">
        <v>18</v>
      </c>
      <c r="FF33">
        <v>10500</v>
      </c>
      <c r="FQ33">
        <v>0</v>
      </c>
      <c r="FR33">
        <f t="shared" si="81"/>
        <v>0</v>
      </c>
      <c r="FS33">
        <v>0</v>
      </c>
      <c r="FX33">
        <v>121</v>
      </c>
      <c r="FY33">
        <v>72</v>
      </c>
      <c r="GA33" t="s">
        <v>301</v>
      </c>
      <c r="GD33">
        <v>1</v>
      </c>
      <c r="GF33">
        <v>-1370256510</v>
      </c>
      <c r="GG33">
        <v>2</v>
      </c>
      <c r="GH33">
        <v>3</v>
      </c>
      <c r="GI33">
        <v>4</v>
      </c>
      <c r="GJ33">
        <v>0</v>
      </c>
      <c r="GK33">
        <v>0</v>
      </c>
      <c r="GL33">
        <f t="shared" si="82"/>
        <v>0</v>
      </c>
      <c r="GM33">
        <f t="shared" si="83"/>
        <v>2748.6900000000001</v>
      </c>
      <c r="GN33">
        <f t="shared" si="84"/>
        <v>2748.6900000000001</v>
      </c>
      <c r="GO33">
        <f t="shared" si="85"/>
        <v>0</v>
      </c>
      <c r="GP33">
        <f t="shared" si="86"/>
        <v>0</v>
      </c>
      <c r="GR33">
        <v>1</v>
      </c>
      <c r="GS33">
        <v>1</v>
      </c>
      <c r="GT33">
        <v>0</v>
      </c>
      <c r="GU33" t="s">
        <v>242</v>
      </c>
      <c r="GV33">
        <f t="shared" si="87"/>
        <v>0</v>
      </c>
      <c r="GW33">
        <v>1</v>
      </c>
      <c r="GX33">
        <f t="shared" si="88"/>
        <v>0</v>
      </c>
      <c r="HA33">
        <v>0</v>
      </c>
      <c r="HB33">
        <v>0</v>
      </c>
      <c r="HC33">
        <f t="shared" si="89"/>
        <v>0</v>
      </c>
      <c r="HE33" t="s">
        <v>302</v>
      </c>
      <c r="HF33" t="s">
        <v>302</v>
      </c>
      <c r="HG33">
        <f>ROUND(AC33*I33,2)</f>
        <v>26250</v>
      </c>
      <c r="HI33">
        <f t="shared" si="90"/>
        <v>0</v>
      </c>
      <c r="HJ33">
        <f t="shared" si="91"/>
        <v>0</v>
      </c>
      <c r="HK33">
        <f t="shared" si="92"/>
        <v>0</v>
      </c>
      <c r="HL33">
        <f t="shared" si="93"/>
        <v>0</v>
      </c>
      <c r="HM33" t="s">
        <v>242</v>
      </c>
      <c r="HN33" t="s">
        <v>79</v>
      </c>
      <c r="HO33" t="s">
        <v>81</v>
      </c>
      <c r="HP33" t="s">
        <v>295</v>
      </c>
      <c r="HQ33" t="s">
        <v>295</v>
      </c>
      <c r="IK33">
        <v>0</v>
      </c>
    </row>
    <row r="34">
      <c r="A34">
        <v>17</v>
      </c>
      <c r="B34">
        <v>1</v>
      </c>
      <c r="C34">
        <f>ROW(SmtRes!A59)</f>
        <v>59</v>
      </c>
      <c r="D34">
        <f>ROW(EtalonRes!A67)</f>
        <v>67</v>
      </c>
      <c r="E34" t="s">
        <v>83</v>
      </c>
      <c r="F34" t="s">
        <v>303</v>
      </c>
      <c r="G34" t="s">
        <v>304</v>
      </c>
      <c r="H34" t="s">
        <v>293</v>
      </c>
      <c r="I34">
        <f>ROUND(5/10,7)</f>
        <v>0.5</v>
      </c>
      <c r="J34">
        <v>0</v>
      </c>
      <c r="K34">
        <f>ROUND(5/10,7)</f>
        <v>0.5</v>
      </c>
      <c r="O34">
        <f t="shared" si="50"/>
        <v>100.2</v>
      </c>
      <c r="P34">
        <f>ROUND(CQ34*I34,2)</f>
        <v>55.539999999999999</v>
      </c>
      <c r="Q34">
        <f t="shared" si="52"/>
        <v>5.7000000000000002</v>
      </c>
      <c r="R34">
        <f t="shared" si="53"/>
        <v>1.29</v>
      </c>
      <c r="S34">
        <f t="shared" si="54"/>
        <v>38.960000000000001</v>
      </c>
      <c r="T34">
        <f t="shared" si="55"/>
        <v>0</v>
      </c>
      <c r="U34">
        <f t="shared" si="56"/>
        <v>4.0499999999999998</v>
      </c>
      <c r="V34">
        <f t="shared" si="57"/>
        <v>0.105</v>
      </c>
      <c r="W34">
        <f t="shared" si="58"/>
        <v>0</v>
      </c>
      <c r="X34">
        <f t="shared" si="59"/>
        <v>48.700000000000003</v>
      </c>
      <c r="Y34">
        <f t="shared" si="60"/>
        <v>28.98</v>
      </c>
      <c r="AA34">
        <v>65099320</v>
      </c>
      <c r="AB34">
        <f t="shared" si="61"/>
        <v>200.38</v>
      </c>
      <c r="AC34">
        <f t="shared" si="94"/>
        <v>111.07000000000001</v>
      </c>
      <c r="AD34">
        <f t="shared" si="95"/>
        <v>11.390000000000001</v>
      </c>
      <c r="AE34">
        <f t="shared" si="96"/>
        <v>2.5699999999999998</v>
      </c>
      <c r="AF34">
        <f t="shared" si="97"/>
        <v>77.920000000000002</v>
      </c>
      <c r="AG34">
        <f t="shared" si="66"/>
        <v>0</v>
      </c>
      <c r="AH34">
        <f t="shared" si="98"/>
        <v>8.0999999999999996</v>
      </c>
      <c r="AI34">
        <f t="shared" si="99"/>
        <v>0.20999999999999999</v>
      </c>
      <c r="AJ34">
        <f t="shared" si="69"/>
        <v>0</v>
      </c>
      <c r="AK34">
        <v>200.38</v>
      </c>
      <c r="AL34">
        <v>111.06999999999999</v>
      </c>
      <c r="AM34">
        <v>11.390000000000001</v>
      </c>
      <c r="AN34">
        <v>2.5699999999999998</v>
      </c>
      <c r="AO34">
        <v>77.920000000000002</v>
      </c>
      <c r="AP34">
        <v>0</v>
      </c>
      <c r="AQ34">
        <v>8.0999999999999996</v>
      </c>
      <c r="AR34">
        <v>0.20999999999999999</v>
      </c>
      <c r="AS34">
        <v>0</v>
      </c>
      <c r="AT34">
        <v>121</v>
      </c>
      <c r="AU34">
        <v>72</v>
      </c>
      <c r="AV34">
        <v>1</v>
      </c>
      <c r="AW34">
        <v>1</v>
      </c>
      <c r="AZ34">
        <v>1</v>
      </c>
      <c r="BA34">
        <v>55.32</v>
      </c>
      <c r="BB34">
        <v>1</v>
      </c>
      <c r="BC34">
        <v>1</v>
      </c>
      <c r="BD34" t="s">
        <v>242</v>
      </c>
      <c r="BE34" t="s">
        <v>242</v>
      </c>
      <c r="BF34" t="s">
        <v>242</v>
      </c>
      <c r="BG34" t="s">
        <v>242</v>
      </c>
      <c r="BH34">
        <v>0</v>
      </c>
      <c r="BI34">
        <v>1</v>
      </c>
      <c r="BJ34" t="s">
        <v>305</v>
      </c>
      <c r="BM34">
        <v>17001</v>
      </c>
      <c r="BN34">
        <v>0</v>
      </c>
      <c r="BO34" t="s">
        <v>257</v>
      </c>
      <c r="BP34">
        <v>1</v>
      </c>
      <c r="BQ34">
        <v>2</v>
      </c>
      <c r="BR34">
        <v>0</v>
      </c>
      <c r="BS34">
        <v>55.32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242</v>
      </c>
      <c r="BZ34">
        <v>121</v>
      </c>
      <c r="CA34">
        <v>72</v>
      </c>
      <c r="CB34" t="s">
        <v>242</v>
      </c>
      <c r="CE34">
        <v>0</v>
      </c>
      <c r="CF34">
        <v>0</v>
      </c>
      <c r="CG34">
        <v>0</v>
      </c>
      <c r="CM34">
        <v>0</v>
      </c>
      <c r="CN34" t="s">
        <v>242</v>
      </c>
      <c r="CO34">
        <v>0</v>
      </c>
      <c r="CP34">
        <f t="shared" si="70"/>
        <v>100.2</v>
      </c>
      <c r="CQ34">
        <f>AC34*BC34</f>
        <v>111.07000000000001</v>
      </c>
      <c r="CR34">
        <f>(((ET34)*BB34-(EU34))+AE34)</f>
        <v>11.390000000000001</v>
      </c>
      <c r="CS34">
        <f t="shared" si="73"/>
        <v>2.5699999999999998</v>
      </c>
      <c r="CT34">
        <f t="shared" si="74"/>
        <v>77.920000000000002</v>
      </c>
      <c r="CU34">
        <f t="shared" si="75"/>
        <v>0</v>
      </c>
      <c r="CV34">
        <f t="shared" si="76"/>
        <v>8.0999999999999996</v>
      </c>
      <c r="CW34">
        <f t="shared" si="77"/>
        <v>0.20999999999999999</v>
      </c>
      <c r="CX34">
        <f t="shared" si="78"/>
        <v>0</v>
      </c>
      <c r="CY34">
        <f t="shared" si="79"/>
        <v>48.702500000000001</v>
      </c>
      <c r="CZ34">
        <f t="shared" si="80"/>
        <v>28.98</v>
      </c>
      <c r="DC34" t="s">
        <v>242</v>
      </c>
      <c r="DD34" t="s">
        <v>242</v>
      </c>
      <c r="DE34" t="s">
        <v>242</v>
      </c>
      <c r="DF34" t="s">
        <v>242</v>
      </c>
      <c r="DG34" t="s">
        <v>242</v>
      </c>
      <c r="DH34" t="s">
        <v>242</v>
      </c>
      <c r="DI34" t="s">
        <v>242</v>
      </c>
      <c r="DJ34" t="s">
        <v>242</v>
      </c>
      <c r="DK34" t="s">
        <v>242</v>
      </c>
      <c r="DL34" t="s">
        <v>242</v>
      </c>
      <c r="DM34" t="s">
        <v>242</v>
      </c>
      <c r="DN34">
        <v>0</v>
      </c>
      <c r="DO34">
        <v>0</v>
      </c>
      <c r="DP34">
        <v>1</v>
      </c>
      <c r="DQ34">
        <v>1</v>
      </c>
      <c r="DU34">
        <v>1013</v>
      </c>
      <c r="DV34" t="s">
        <v>293</v>
      </c>
      <c r="DW34" t="s">
        <v>293</v>
      </c>
      <c r="DX34">
        <v>1</v>
      </c>
      <c r="DZ34" t="s">
        <v>242</v>
      </c>
      <c r="EA34" t="s">
        <v>242</v>
      </c>
      <c r="EB34" t="s">
        <v>242</v>
      </c>
      <c r="EC34" t="s">
        <v>242</v>
      </c>
      <c r="EE34">
        <v>59733705</v>
      </c>
      <c r="EF34">
        <v>2</v>
      </c>
      <c r="EG34" t="s">
        <v>271</v>
      </c>
      <c r="EH34">
        <v>16</v>
      </c>
      <c r="EI34" t="s">
        <v>295</v>
      </c>
      <c r="EJ34">
        <v>1</v>
      </c>
      <c r="EK34">
        <v>17001</v>
      </c>
      <c r="EL34" t="s">
        <v>296</v>
      </c>
      <c r="EM34" t="s">
        <v>297</v>
      </c>
      <c r="EO34" t="s">
        <v>242</v>
      </c>
      <c r="EQ34">
        <v>0</v>
      </c>
      <c r="ER34">
        <v>200.38</v>
      </c>
      <c r="ES34">
        <v>111.06999999999999</v>
      </c>
      <c r="ET34">
        <v>11.390000000000001</v>
      </c>
      <c r="EU34">
        <v>2.5699999999999998</v>
      </c>
      <c r="EV34">
        <v>77.920000000000002</v>
      </c>
      <c r="EW34">
        <v>8.0999999999999996</v>
      </c>
      <c r="EX34">
        <v>0.20999999999999999</v>
      </c>
      <c r="EY34">
        <v>0</v>
      </c>
      <c r="FQ34">
        <v>0</v>
      </c>
      <c r="FR34">
        <f t="shared" si="81"/>
        <v>0</v>
      </c>
      <c r="FS34">
        <v>0</v>
      </c>
      <c r="FX34">
        <v>121</v>
      </c>
      <c r="FY34">
        <v>72</v>
      </c>
      <c r="GA34" t="s">
        <v>242</v>
      </c>
      <c r="GD34">
        <v>1</v>
      </c>
      <c r="GF34">
        <v>-986696981</v>
      </c>
      <c r="GG34">
        <v>2</v>
      </c>
      <c r="GH34">
        <v>1</v>
      </c>
      <c r="GI34">
        <v>4</v>
      </c>
      <c r="GJ34">
        <v>0</v>
      </c>
      <c r="GK34">
        <v>0</v>
      </c>
      <c r="GL34">
        <f t="shared" si="82"/>
        <v>0</v>
      </c>
      <c r="GM34">
        <f t="shared" si="83"/>
        <v>177.88</v>
      </c>
      <c r="GN34">
        <f t="shared" si="84"/>
        <v>177.88</v>
      </c>
      <c r="GO34">
        <f t="shared" si="85"/>
        <v>0</v>
      </c>
      <c r="GP34">
        <f t="shared" si="86"/>
        <v>0</v>
      </c>
      <c r="GR34">
        <v>0</v>
      </c>
      <c r="GS34">
        <v>3</v>
      </c>
      <c r="GT34">
        <v>0</v>
      </c>
      <c r="GU34" t="s">
        <v>242</v>
      </c>
      <c r="GV34">
        <f t="shared" si="87"/>
        <v>0</v>
      </c>
      <c r="GW34">
        <v>1</v>
      </c>
      <c r="GX34">
        <f t="shared" si="88"/>
        <v>0</v>
      </c>
      <c r="HA34">
        <v>0</v>
      </c>
      <c r="HB34">
        <v>0</v>
      </c>
      <c r="HC34">
        <f t="shared" si="89"/>
        <v>0</v>
      </c>
      <c r="HE34" t="s">
        <v>242</v>
      </c>
      <c r="HF34" t="s">
        <v>242</v>
      </c>
      <c r="HI34">
        <f t="shared" si="90"/>
        <v>71.359999999999999</v>
      </c>
      <c r="HJ34">
        <f t="shared" si="91"/>
        <v>2155.27</v>
      </c>
      <c r="HK34">
        <f t="shared" si="92"/>
        <v>2694.2200000000003</v>
      </c>
      <c r="HL34">
        <f t="shared" si="93"/>
        <v>1603.1700000000001</v>
      </c>
      <c r="HM34" t="s">
        <v>242</v>
      </c>
      <c r="HN34" t="s">
        <v>79</v>
      </c>
      <c r="HO34" t="s">
        <v>81</v>
      </c>
      <c r="HP34" t="s">
        <v>295</v>
      </c>
      <c r="HQ34" t="s">
        <v>295</v>
      </c>
      <c r="IK34">
        <v>0</v>
      </c>
    </row>
    <row r="35">
      <c r="A35">
        <v>18</v>
      </c>
      <c r="B35">
        <v>1</v>
      </c>
      <c r="C35">
        <v>59</v>
      </c>
      <c r="E35" t="s">
        <v>306</v>
      </c>
      <c r="F35" t="s">
        <v>196</v>
      </c>
      <c r="G35" t="s">
        <v>307</v>
      </c>
      <c r="H35" t="s">
        <v>300</v>
      </c>
      <c r="I35">
        <f>I34*J35</f>
        <v>5</v>
      </c>
      <c r="J35">
        <v>10</v>
      </c>
      <c r="K35">
        <v>10</v>
      </c>
      <c r="O35">
        <f t="shared" si="50"/>
        <v>2835.9500000000003</v>
      </c>
      <c r="P35">
        <f>ROUND(ROUND(CQ35*I35,2)/BC35,2)</f>
        <v>2835.9500000000003</v>
      </c>
      <c r="Q35">
        <f t="shared" si="52"/>
        <v>0</v>
      </c>
      <c r="R35">
        <f t="shared" si="53"/>
        <v>0</v>
      </c>
      <c r="S35">
        <f t="shared" si="54"/>
        <v>0</v>
      </c>
      <c r="T35">
        <f t="shared" si="55"/>
        <v>0</v>
      </c>
      <c r="U35">
        <f t="shared" si="56"/>
        <v>0</v>
      </c>
      <c r="V35">
        <f t="shared" si="57"/>
        <v>0</v>
      </c>
      <c r="W35">
        <f t="shared" si="58"/>
        <v>0</v>
      </c>
      <c r="X35">
        <f t="shared" si="59"/>
        <v>0</v>
      </c>
      <c r="Y35">
        <f t="shared" si="60"/>
        <v>0</v>
      </c>
      <c r="AA35">
        <v>65099320</v>
      </c>
      <c r="AB35">
        <f t="shared" si="61"/>
        <v>5416.6700000000001</v>
      </c>
      <c r="AC35">
        <f t="shared" si="94"/>
        <v>5416.6700000000001</v>
      </c>
      <c r="AD35">
        <f t="shared" si="95"/>
        <v>0</v>
      </c>
      <c r="AE35">
        <f t="shared" si="96"/>
        <v>0</v>
      </c>
      <c r="AF35">
        <f t="shared" si="97"/>
        <v>0</v>
      </c>
      <c r="AG35">
        <f t="shared" si="66"/>
        <v>0</v>
      </c>
      <c r="AH35">
        <f t="shared" si="98"/>
        <v>0</v>
      </c>
      <c r="AI35">
        <f t="shared" si="99"/>
        <v>0</v>
      </c>
      <c r="AJ35">
        <f t="shared" si="69"/>
        <v>0</v>
      </c>
      <c r="AK35">
        <v>5416.6700000000001</v>
      </c>
      <c r="AL35">
        <v>5416.6700000000001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121</v>
      </c>
      <c r="AU35">
        <v>72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9.5500000000000007</v>
      </c>
      <c r="BD35" t="s">
        <v>242</v>
      </c>
      <c r="BE35" t="s">
        <v>242</v>
      </c>
      <c r="BF35" t="s">
        <v>242</v>
      </c>
      <c r="BG35" t="s">
        <v>242</v>
      </c>
      <c r="BH35">
        <v>3</v>
      </c>
      <c r="BI35">
        <v>1</v>
      </c>
      <c r="BJ35" t="s">
        <v>242</v>
      </c>
      <c r="BM35">
        <v>17001</v>
      </c>
      <c r="BN35">
        <v>0</v>
      </c>
      <c r="BO35" t="s">
        <v>242</v>
      </c>
      <c r="BP35">
        <v>0</v>
      </c>
      <c r="BQ35">
        <v>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242</v>
      </c>
      <c r="BZ35">
        <v>121</v>
      </c>
      <c r="CA35">
        <v>72</v>
      </c>
      <c r="CB35" t="s">
        <v>242</v>
      </c>
      <c r="CE35">
        <v>0</v>
      </c>
      <c r="CF35">
        <v>0</v>
      </c>
      <c r="CG35">
        <v>0</v>
      </c>
      <c r="CM35">
        <v>0</v>
      </c>
      <c r="CN35" t="s">
        <v>242</v>
      </c>
      <c r="CO35">
        <v>0</v>
      </c>
      <c r="CP35">
        <f t="shared" si="70"/>
        <v>2835.9500000000003</v>
      </c>
      <c r="CQ35">
        <f>AC35</f>
        <v>5416.6700000000001</v>
      </c>
      <c r="CR35">
        <f>(((ET35)-(EU35))+AE35)</f>
        <v>0</v>
      </c>
      <c r="CS35">
        <f t="shared" si="73"/>
        <v>0</v>
      </c>
      <c r="CT35">
        <f t="shared" si="74"/>
        <v>0</v>
      </c>
      <c r="CU35">
        <f t="shared" si="75"/>
        <v>0</v>
      </c>
      <c r="CV35">
        <f t="shared" si="76"/>
        <v>0</v>
      </c>
      <c r="CW35">
        <f t="shared" si="77"/>
        <v>0</v>
      </c>
      <c r="CX35">
        <f t="shared" si="78"/>
        <v>0</v>
      </c>
      <c r="CY35">
        <f t="shared" si="79"/>
        <v>0</v>
      </c>
      <c r="CZ35">
        <f t="shared" si="80"/>
        <v>0</v>
      </c>
      <c r="DC35" t="s">
        <v>242</v>
      </c>
      <c r="DD35" t="s">
        <v>242</v>
      </c>
      <c r="DE35" t="s">
        <v>242</v>
      </c>
      <c r="DF35" t="s">
        <v>242</v>
      </c>
      <c r="DG35" t="s">
        <v>242</v>
      </c>
      <c r="DH35" t="s">
        <v>242</v>
      </c>
      <c r="DI35" t="s">
        <v>242</v>
      </c>
      <c r="DJ35" t="s">
        <v>242</v>
      </c>
      <c r="DK35" t="s">
        <v>242</v>
      </c>
      <c r="DL35" t="s">
        <v>242</v>
      </c>
      <c r="DM35" t="s">
        <v>242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300</v>
      </c>
      <c r="DW35" t="s">
        <v>300</v>
      </c>
      <c r="DX35">
        <v>1</v>
      </c>
      <c r="DZ35" t="s">
        <v>242</v>
      </c>
      <c r="EA35" t="s">
        <v>242</v>
      </c>
      <c r="EB35" t="s">
        <v>242</v>
      </c>
      <c r="EC35" t="s">
        <v>242</v>
      </c>
      <c r="EE35">
        <v>59733705</v>
      </c>
      <c r="EF35">
        <v>2</v>
      </c>
      <c r="EG35" t="s">
        <v>271</v>
      </c>
      <c r="EH35">
        <v>16</v>
      </c>
      <c r="EI35" t="s">
        <v>295</v>
      </c>
      <c r="EJ35">
        <v>1</v>
      </c>
      <c r="EK35">
        <v>17001</v>
      </c>
      <c r="EL35" t="s">
        <v>296</v>
      </c>
      <c r="EM35" t="s">
        <v>297</v>
      </c>
      <c r="EO35" t="s">
        <v>242</v>
      </c>
      <c r="EQ35">
        <v>0</v>
      </c>
      <c r="ER35">
        <v>5416.6700000000001</v>
      </c>
      <c r="ES35">
        <v>5416.6700000000001</v>
      </c>
      <c r="ET35">
        <v>0</v>
      </c>
      <c r="EU35">
        <v>0</v>
      </c>
      <c r="EV35">
        <v>0</v>
      </c>
      <c r="EW35">
        <v>0</v>
      </c>
      <c r="EX35">
        <v>0</v>
      </c>
      <c r="EZ35">
        <v>5</v>
      </c>
      <c r="FC35">
        <v>1</v>
      </c>
      <c r="FD35">
        <v>18</v>
      </c>
      <c r="FF35">
        <v>6500</v>
      </c>
      <c r="FQ35">
        <v>0</v>
      </c>
      <c r="FR35">
        <f t="shared" si="81"/>
        <v>0</v>
      </c>
      <c r="FS35">
        <v>0</v>
      </c>
      <c r="FX35">
        <v>121</v>
      </c>
      <c r="FY35">
        <v>72</v>
      </c>
      <c r="GA35" t="s">
        <v>308</v>
      </c>
      <c r="GD35">
        <v>1</v>
      </c>
      <c r="GF35">
        <v>-939260484</v>
      </c>
      <c r="GG35">
        <v>2</v>
      </c>
      <c r="GH35">
        <v>3</v>
      </c>
      <c r="GI35">
        <v>4</v>
      </c>
      <c r="GJ35">
        <v>0</v>
      </c>
      <c r="GK35">
        <v>0</v>
      </c>
      <c r="GL35">
        <f t="shared" si="82"/>
        <v>0</v>
      </c>
      <c r="GM35">
        <f t="shared" si="83"/>
        <v>2835.9500000000003</v>
      </c>
      <c r="GN35">
        <f t="shared" si="84"/>
        <v>2835.9500000000003</v>
      </c>
      <c r="GO35">
        <f t="shared" si="85"/>
        <v>0</v>
      </c>
      <c r="GP35">
        <f t="shared" si="86"/>
        <v>0</v>
      </c>
      <c r="GR35">
        <v>1</v>
      </c>
      <c r="GS35">
        <v>1</v>
      </c>
      <c r="GT35">
        <v>0</v>
      </c>
      <c r="GU35" t="s">
        <v>242</v>
      </c>
      <c r="GV35">
        <f t="shared" si="87"/>
        <v>0</v>
      </c>
      <c r="GW35">
        <v>1</v>
      </c>
      <c r="GX35">
        <f t="shared" si="88"/>
        <v>0</v>
      </c>
      <c r="HA35">
        <v>0</v>
      </c>
      <c r="HB35">
        <v>0</v>
      </c>
      <c r="HC35">
        <f t="shared" si="89"/>
        <v>0</v>
      </c>
      <c r="HE35" t="s">
        <v>302</v>
      </c>
      <c r="HF35" t="s">
        <v>302</v>
      </c>
      <c r="HG35">
        <f>ROUND(AC35*I35,2)</f>
        <v>27083.350000000002</v>
      </c>
      <c r="HI35">
        <f t="shared" si="90"/>
        <v>0</v>
      </c>
      <c r="HJ35">
        <f t="shared" si="91"/>
        <v>0</v>
      </c>
      <c r="HK35">
        <f t="shared" si="92"/>
        <v>0</v>
      </c>
      <c r="HL35">
        <f t="shared" si="93"/>
        <v>0</v>
      </c>
      <c r="HM35" t="s">
        <v>242</v>
      </c>
      <c r="HN35" t="s">
        <v>79</v>
      </c>
      <c r="HO35" t="s">
        <v>81</v>
      </c>
      <c r="HP35" t="s">
        <v>295</v>
      </c>
      <c r="HQ35" t="s">
        <v>295</v>
      </c>
      <c r="IK35">
        <v>0</v>
      </c>
    </row>
    <row r="36">
      <c r="A36">
        <v>17</v>
      </c>
      <c r="B36">
        <v>1</v>
      </c>
      <c r="C36">
        <f>ROW(SmtRes!A67)</f>
        <v>67</v>
      </c>
      <c r="D36">
        <f>ROW(EtalonRes!A75)</f>
        <v>75</v>
      </c>
      <c r="E36" t="s">
        <v>86</v>
      </c>
      <c r="F36" t="s">
        <v>265</v>
      </c>
      <c r="G36" t="s">
        <v>309</v>
      </c>
      <c r="H36" t="s">
        <v>255</v>
      </c>
      <c r="I36">
        <f>ROUND(5/100,7)</f>
        <v>0.049999999999999996</v>
      </c>
      <c r="J36">
        <v>0</v>
      </c>
      <c r="K36">
        <f>ROUND(5/100,7)</f>
        <v>0.049999999999999996</v>
      </c>
      <c r="O36">
        <f t="shared" si="50"/>
        <v>119.64</v>
      </c>
      <c r="P36">
        <f>ROUND(CQ36*I36,2)</f>
        <v>81.670000000000002</v>
      </c>
      <c r="Q36">
        <f t="shared" si="52"/>
        <v>10.82</v>
      </c>
      <c r="R36">
        <f t="shared" si="53"/>
        <v>2.6000000000000001</v>
      </c>
      <c r="S36">
        <f t="shared" si="54"/>
        <v>27.150000000000002</v>
      </c>
      <c r="T36">
        <f t="shared" si="55"/>
        <v>0</v>
      </c>
      <c r="U36">
        <f t="shared" si="56"/>
        <v>3.3849999999999998</v>
      </c>
      <c r="V36">
        <f t="shared" si="57"/>
        <v>0.20999999999999999</v>
      </c>
      <c r="W36">
        <f t="shared" si="58"/>
        <v>0</v>
      </c>
      <c r="X36">
        <f t="shared" si="59"/>
        <v>32.130000000000003</v>
      </c>
      <c r="Y36">
        <f t="shared" si="60"/>
        <v>16.359999999999999</v>
      </c>
      <c r="AA36">
        <v>65099320</v>
      </c>
      <c r="AB36">
        <f t="shared" si="61"/>
        <v>2392.6900000000001</v>
      </c>
      <c r="AC36">
        <f t="shared" si="94"/>
        <v>1633.3600000000001</v>
      </c>
      <c r="AD36">
        <f t="shared" si="95"/>
        <v>216.38</v>
      </c>
      <c r="AE36">
        <f t="shared" si="96"/>
        <v>52.009999999999998</v>
      </c>
      <c r="AF36">
        <f t="shared" si="97"/>
        <v>542.95000000000005</v>
      </c>
      <c r="AG36">
        <f t="shared" si="66"/>
        <v>0</v>
      </c>
      <c r="AH36">
        <f t="shared" si="98"/>
        <v>67.700000000000003</v>
      </c>
      <c r="AI36">
        <f t="shared" si="99"/>
        <v>4.2000000000000002</v>
      </c>
      <c r="AJ36">
        <f t="shared" si="69"/>
        <v>0</v>
      </c>
      <c r="AK36">
        <v>2392.6900000000001</v>
      </c>
      <c r="AL36">
        <v>1633.3599999999999</v>
      </c>
      <c r="AM36">
        <v>216.38</v>
      </c>
      <c r="AN36">
        <v>52.009999999999998</v>
      </c>
      <c r="AO36">
        <v>542.95000000000005</v>
      </c>
      <c r="AP36">
        <v>0</v>
      </c>
      <c r="AQ36">
        <v>67.700000000000003</v>
      </c>
      <c r="AR36">
        <v>4.2000000000000002</v>
      </c>
      <c r="AS36">
        <v>0</v>
      </c>
      <c r="AT36">
        <v>108</v>
      </c>
      <c r="AU36">
        <v>55</v>
      </c>
      <c r="AV36">
        <v>1</v>
      </c>
      <c r="AW36">
        <v>1</v>
      </c>
      <c r="AZ36">
        <v>1</v>
      </c>
      <c r="BA36">
        <v>55.32</v>
      </c>
      <c r="BB36">
        <v>1</v>
      </c>
      <c r="BC36">
        <v>1</v>
      </c>
      <c r="BD36" t="s">
        <v>242</v>
      </c>
      <c r="BE36" t="s">
        <v>242</v>
      </c>
      <c r="BF36" t="s">
        <v>242</v>
      </c>
      <c r="BG36" t="s">
        <v>242</v>
      </c>
      <c r="BH36">
        <v>0</v>
      </c>
      <c r="BI36">
        <v>1</v>
      </c>
      <c r="BJ36" t="s">
        <v>267</v>
      </c>
      <c r="BM36">
        <v>10001</v>
      </c>
      <c r="BN36">
        <v>0</v>
      </c>
      <c r="BO36" t="s">
        <v>257</v>
      </c>
      <c r="BP36">
        <v>1</v>
      </c>
      <c r="BQ36">
        <v>2</v>
      </c>
      <c r="BR36">
        <v>0</v>
      </c>
      <c r="BS36">
        <v>55.32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242</v>
      </c>
      <c r="BZ36">
        <v>108</v>
      </c>
      <c r="CA36">
        <v>55</v>
      </c>
      <c r="CB36" t="s">
        <v>242</v>
      </c>
      <c r="CE36">
        <v>0</v>
      </c>
      <c r="CF36">
        <v>0</v>
      </c>
      <c r="CG36">
        <v>0</v>
      </c>
      <c r="CM36">
        <v>0</v>
      </c>
      <c r="CN36" t="s">
        <v>242</v>
      </c>
      <c r="CO36">
        <v>0</v>
      </c>
      <c r="CP36">
        <f t="shared" si="70"/>
        <v>119.64000000000001</v>
      </c>
      <c r="CQ36">
        <f>AC36*BC36</f>
        <v>1633.3600000000001</v>
      </c>
      <c r="CR36">
        <f>(((ET36)*BB36-(EU36))+AE36)</f>
        <v>216.38</v>
      </c>
      <c r="CS36">
        <f t="shared" si="73"/>
        <v>52.009999999999998</v>
      </c>
      <c r="CT36">
        <f t="shared" si="74"/>
        <v>542.95000000000005</v>
      </c>
      <c r="CU36">
        <f t="shared" si="75"/>
        <v>0</v>
      </c>
      <c r="CV36">
        <f t="shared" si="76"/>
        <v>67.700000000000003</v>
      </c>
      <c r="CW36">
        <f t="shared" si="77"/>
        <v>4.2000000000000002</v>
      </c>
      <c r="CX36">
        <f t="shared" si="78"/>
        <v>0</v>
      </c>
      <c r="CY36">
        <f t="shared" si="79"/>
        <v>32.130000000000003</v>
      </c>
      <c r="CZ36">
        <f t="shared" si="80"/>
        <v>16.362500000000001</v>
      </c>
      <c r="DC36" t="s">
        <v>242</v>
      </c>
      <c r="DD36" t="s">
        <v>242</v>
      </c>
      <c r="DE36" t="s">
        <v>242</v>
      </c>
      <c r="DF36" t="s">
        <v>242</v>
      </c>
      <c r="DG36" t="s">
        <v>242</v>
      </c>
      <c r="DH36" t="s">
        <v>242</v>
      </c>
      <c r="DI36" t="s">
        <v>242</v>
      </c>
      <c r="DJ36" t="s">
        <v>242</v>
      </c>
      <c r="DK36" t="s">
        <v>242</v>
      </c>
      <c r="DL36" t="s">
        <v>242</v>
      </c>
      <c r="DM36" t="s">
        <v>242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255</v>
      </c>
      <c r="DW36" t="s">
        <v>255</v>
      </c>
      <c r="DX36">
        <v>1</v>
      </c>
      <c r="DZ36" t="s">
        <v>242</v>
      </c>
      <c r="EA36" t="s">
        <v>242</v>
      </c>
      <c r="EB36" t="s">
        <v>242</v>
      </c>
      <c r="EC36" t="s">
        <v>242</v>
      </c>
      <c r="EE36">
        <v>59733677</v>
      </c>
      <c r="EF36">
        <v>2</v>
      </c>
      <c r="EG36" t="s">
        <v>271</v>
      </c>
      <c r="EH36">
        <v>10</v>
      </c>
      <c r="EI36" t="s">
        <v>272</v>
      </c>
      <c r="EJ36">
        <v>1</v>
      </c>
      <c r="EK36">
        <v>10001</v>
      </c>
      <c r="EL36" t="s">
        <v>272</v>
      </c>
      <c r="EM36" t="s">
        <v>273</v>
      </c>
      <c r="EO36" t="s">
        <v>242</v>
      </c>
      <c r="EQ36">
        <v>0</v>
      </c>
      <c r="ER36">
        <v>2392.6900000000001</v>
      </c>
      <c r="ES36">
        <v>1633.3599999999999</v>
      </c>
      <c r="ET36">
        <v>216.38</v>
      </c>
      <c r="EU36">
        <v>52.009999999999998</v>
      </c>
      <c r="EV36">
        <v>542.95000000000005</v>
      </c>
      <c r="EW36">
        <v>67.700000000000003</v>
      </c>
      <c r="EX36">
        <v>4.2000000000000002</v>
      </c>
      <c r="EY36">
        <v>0</v>
      </c>
      <c r="FQ36">
        <v>0</v>
      </c>
      <c r="FR36">
        <f t="shared" si="81"/>
        <v>0</v>
      </c>
      <c r="FS36">
        <v>0</v>
      </c>
      <c r="FX36">
        <v>108</v>
      </c>
      <c r="FY36">
        <v>55</v>
      </c>
      <c r="GA36" t="s">
        <v>242</v>
      </c>
      <c r="GD36">
        <v>1</v>
      </c>
      <c r="GF36">
        <v>47349471</v>
      </c>
      <c r="GG36">
        <v>2</v>
      </c>
      <c r="GH36">
        <v>1</v>
      </c>
      <c r="GI36">
        <v>4</v>
      </c>
      <c r="GJ36">
        <v>0</v>
      </c>
      <c r="GK36">
        <v>0</v>
      </c>
      <c r="GL36">
        <f t="shared" si="82"/>
        <v>0</v>
      </c>
      <c r="GM36">
        <f t="shared" si="83"/>
        <v>168.13</v>
      </c>
      <c r="GN36">
        <f t="shared" si="84"/>
        <v>168.13</v>
      </c>
      <c r="GO36">
        <f t="shared" si="85"/>
        <v>0</v>
      </c>
      <c r="GP36">
        <f t="shared" si="86"/>
        <v>0</v>
      </c>
      <c r="GR36">
        <v>0</v>
      </c>
      <c r="GS36">
        <v>3</v>
      </c>
      <c r="GT36">
        <v>0</v>
      </c>
      <c r="GU36" t="s">
        <v>242</v>
      </c>
      <c r="GV36">
        <f t="shared" si="87"/>
        <v>0</v>
      </c>
      <c r="GW36">
        <v>1</v>
      </c>
      <c r="GX36">
        <f t="shared" si="88"/>
        <v>0</v>
      </c>
      <c r="HA36">
        <v>0</v>
      </c>
      <c r="HB36">
        <v>0</v>
      </c>
      <c r="HC36">
        <f t="shared" si="89"/>
        <v>0</v>
      </c>
      <c r="HE36" t="s">
        <v>242</v>
      </c>
      <c r="HF36" t="s">
        <v>242</v>
      </c>
      <c r="HI36">
        <f t="shared" si="90"/>
        <v>143.83000000000001</v>
      </c>
      <c r="HJ36">
        <f t="shared" si="91"/>
        <v>1501.9400000000001</v>
      </c>
      <c r="HK36">
        <f t="shared" si="92"/>
        <v>1777.4300000000001</v>
      </c>
      <c r="HL36">
        <f t="shared" si="93"/>
        <v>905.17000000000007</v>
      </c>
      <c r="HM36" t="s">
        <v>242</v>
      </c>
      <c r="HN36" t="s">
        <v>67</v>
      </c>
      <c r="HO36" t="s">
        <v>69</v>
      </c>
      <c r="HP36" t="s">
        <v>272</v>
      </c>
      <c r="HQ36" t="s">
        <v>272</v>
      </c>
      <c r="IK36">
        <v>0</v>
      </c>
    </row>
    <row r="37">
      <c r="A37">
        <v>18</v>
      </c>
      <c r="B37">
        <v>1</v>
      </c>
      <c r="C37">
        <v>67</v>
      </c>
      <c r="E37" t="s">
        <v>310</v>
      </c>
      <c r="F37" t="s">
        <v>197</v>
      </c>
      <c r="G37" t="s">
        <v>311</v>
      </c>
      <c r="H37" t="s">
        <v>312</v>
      </c>
      <c r="I37">
        <f>I36*J37</f>
        <v>5</v>
      </c>
      <c r="J37">
        <v>100</v>
      </c>
      <c r="K37">
        <v>100</v>
      </c>
      <c r="O37">
        <f t="shared" si="50"/>
        <v>2181.5</v>
      </c>
      <c r="P37">
        <f>ROUND(ROUND(CQ37*I37,2)/BC37,2)</f>
        <v>2181.5</v>
      </c>
      <c r="Q37">
        <f t="shared" si="52"/>
        <v>0</v>
      </c>
      <c r="R37">
        <f t="shared" si="53"/>
        <v>0</v>
      </c>
      <c r="S37">
        <f t="shared" si="54"/>
        <v>0</v>
      </c>
      <c r="T37">
        <f t="shared" si="55"/>
        <v>0</v>
      </c>
      <c r="U37">
        <f t="shared" si="56"/>
        <v>0</v>
      </c>
      <c r="V37">
        <f t="shared" si="57"/>
        <v>0</v>
      </c>
      <c r="W37">
        <f t="shared" si="58"/>
        <v>0</v>
      </c>
      <c r="X37">
        <f t="shared" si="59"/>
        <v>0</v>
      </c>
      <c r="Y37">
        <f t="shared" si="60"/>
        <v>0</v>
      </c>
      <c r="AA37">
        <v>65099320</v>
      </c>
      <c r="AB37">
        <f t="shared" si="61"/>
        <v>4166.6700000000001</v>
      </c>
      <c r="AC37">
        <f t="shared" si="94"/>
        <v>4166.6700000000001</v>
      </c>
      <c r="AD37">
        <f t="shared" si="95"/>
        <v>0</v>
      </c>
      <c r="AE37">
        <f t="shared" si="96"/>
        <v>0</v>
      </c>
      <c r="AF37">
        <f t="shared" si="97"/>
        <v>0</v>
      </c>
      <c r="AG37">
        <f t="shared" si="66"/>
        <v>0</v>
      </c>
      <c r="AH37">
        <f t="shared" si="98"/>
        <v>0</v>
      </c>
      <c r="AI37">
        <f t="shared" si="99"/>
        <v>0</v>
      </c>
      <c r="AJ37">
        <f t="shared" si="69"/>
        <v>0</v>
      </c>
      <c r="AK37">
        <v>4166.6700000000001</v>
      </c>
      <c r="AL37">
        <v>4166.6700000000001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108</v>
      </c>
      <c r="AU37">
        <v>55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9.5500000000000007</v>
      </c>
      <c r="BD37" t="s">
        <v>242</v>
      </c>
      <c r="BE37" t="s">
        <v>242</v>
      </c>
      <c r="BF37" t="s">
        <v>242</v>
      </c>
      <c r="BG37" t="s">
        <v>242</v>
      </c>
      <c r="BH37">
        <v>3</v>
      </c>
      <c r="BI37">
        <v>1</v>
      </c>
      <c r="BJ37" t="s">
        <v>242</v>
      </c>
      <c r="BM37">
        <v>10001</v>
      </c>
      <c r="BN37">
        <v>0</v>
      </c>
      <c r="BO37" t="s">
        <v>242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242</v>
      </c>
      <c r="BZ37">
        <v>108</v>
      </c>
      <c r="CA37">
        <v>55</v>
      </c>
      <c r="CB37" t="s">
        <v>242</v>
      </c>
      <c r="CE37">
        <v>0</v>
      </c>
      <c r="CF37">
        <v>0</v>
      </c>
      <c r="CG37">
        <v>0</v>
      </c>
      <c r="CM37">
        <v>0</v>
      </c>
      <c r="CN37" t="s">
        <v>242</v>
      </c>
      <c r="CO37">
        <v>0</v>
      </c>
      <c r="CP37">
        <f t="shared" si="70"/>
        <v>2181.5</v>
      </c>
      <c r="CQ37">
        <f>AC37</f>
        <v>4166.6700000000001</v>
      </c>
      <c r="CR37">
        <f>(((ET37)-(EU37))+AE37)</f>
        <v>0</v>
      </c>
      <c r="CS37">
        <f t="shared" si="73"/>
        <v>0</v>
      </c>
      <c r="CT37">
        <f t="shared" si="74"/>
        <v>0</v>
      </c>
      <c r="CU37">
        <f t="shared" si="75"/>
        <v>0</v>
      </c>
      <c r="CV37">
        <f t="shared" si="76"/>
        <v>0</v>
      </c>
      <c r="CW37">
        <f t="shared" si="77"/>
        <v>0</v>
      </c>
      <c r="CX37">
        <f t="shared" si="78"/>
        <v>0</v>
      </c>
      <c r="CY37">
        <f t="shared" si="79"/>
        <v>0</v>
      </c>
      <c r="CZ37">
        <f t="shared" si="80"/>
        <v>0</v>
      </c>
      <c r="DC37" t="s">
        <v>242</v>
      </c>
      <c r="DD37" t="s">
        <v>242</v>
      </c>
      <c r="DE37" t="s">
        <v>242</v>
      </c>
      <c r="DF37" t="s">
        <v>242</v>
      </c>
      <c r="DG37" t="s">
        <v>242</v>
      </c>
      <c r="DH37" t="s">
        <v>242</v>
      </c>
      <c r="DI37" t="s">
        <v>242</v>
      </c>
      <c r="DJ37" t="s">
        <v>242</v>
      </c>
      <c r="DK37" t="s">
        <v>242</v>
      </c>
      <c r="DL37" t="s">
        <v>242</v>
      </c>
      <c r="DM37" t="s">
        <v>242</v>
      </c>
      <c r="DN37">
        <v>0</v>
      </c>
      <c r="DO37">
        <v>0</v>
      </c>
      <c r="DP37">
        <v>1</v>
      </c>
      <c r="DQ37">
        <v>1</v>
      </c>
      <c r="DU37">
        <v>1013</v>
      </c>
      <c r="DV37" t="s">
        <v>312</v>
      </c>
      <c r="DW37" t="s">
        <v>312</v>
      </c>
      <c r="DX37">
        <v>1</v>
      </c>
      <c r="DZ37" t="s">
        <v>242</v>
      </c>
      <c r="EA37" t="s">
        <v>242</v>
      </c>
      <c r="EB37" t="s">
        <v>242</v>
      </c>
      <c r="EC37" t="s">
        <v>242</v>
      </c>
      <c r="EE37">
        <v>59733677</v>
      </c>
      <c r="EF37">
        <v>2</v>
      </c>
      <c r="EG37" t="s">
        <v>271</v>
      </c>
      <c r="EH37">
        <v>10</v>
      </c>
      <c r="EI37" t="s">
        <v>272</v>
      </c>
      <c r="EJ37">
        <v>1</v>
      </c>
      <c r="EK37">
        <v>10001</v>
      </c>
      <c r="EL37" t="s">
        <v>272</v>
      </c>
      <c r="EM37" t="s">
        <v>273</v>
      </c>
      <c r="EO37" t="s">
        <v>242</v>
      </c>
      <c r="EQ37">
        <v>0</v>
      </c>
      <c r="ER37">
        <v>4166.6700000000001</v>
      </c>
      <c r="ES37">
        <v>4166.6700000000001</v>
      </c>
      <c r="ET37">
        <v>0</v>
      </c>
      <c r="EU37">
        <v>0</v>
      </c>
      <c r="EV37">
        <v>0</v>
      </c>
      <c r="EW37">
        <v>0</v>
      </c>
      <c r="EX37">
        <v>0</v>
      </c>
      <c r="EZ37">
        <v>5</v>
      </c>
      <c r="FC37">
        <v>1</v>
      </c>
      <c r="FD37">
        <v>18</v>
      </c>
      <c r="FF37">
        <v>5000</v>
      </c>
      <c r="FQ37">
        <v>0</v>
      </c>
      <c r="FR37">
        <f t="shared" si="81"/>
        <v>0</v>
      </c>
      <c r="FS37">
        <v>0</v>
      </c>
      <c r="FX37">
        <v>108</v>
      </c>
      <c r="FY37">
        <v>55</v>
      </c>
      <c r="GA37" t="s">
        <v>313</v>
      </c>
      <c r="GD37">
        <v>1</v>
      </c>
      <c r="GF37">
        <v>-662041550</v>
      </c>
      <c r="GG37">
        <v>2</v>
      </c>
      <c r="GH37">
        <v>3</v>
      </c>
      <c r="GI37">
        <v>4</v>
      </c>
      <c r="GJ37">
        <v>0</v>
      </c>
      <c r="GK37">
        <v>0</v>
      </c>
      <c r="GL37">
        <f t="shared" si="82"/>
        <v>0</v>
      </c>
      <c r="GM37">
        <f t="shared" si="83"/>
        <v>2181.5</v>
      </c>
      <c r="GN37">
        <f t="shared" si="84"/>
        <v>2181.5</v>
      </c>
      <c r="GO37">
        <f t="shared" si="85"/>
        <v>0</v>
      </c>
      <c r="GP37">
        <f t="shared" si="86"/>
        <v>0</v>
      </c>
      <c r="GR37">
        <v>1</v>
      </c>
      <c r="GS37">
        <v>1</v>
      </c>
      <c r="GT37">
        <v>0</v>
      </c>
      <c r="GU37" t="s">
        <v>242</v>
      </c>
      <c r="GV37">
        <f t="shared" si="87"/>
        <v>0</v>
      </c>
      <c r="GW37">
        <v>1</v>
      </c>
      <c r="GX37">
        <f t="shared" si="88"/>
        <v>0</v>
      </c>
      <c r="HA37">
        <v>0</v>
      </c>
      <c r="HB37">
        <v>0</v>
      </c>
      <c r="HC37">
        <f t="shared" si="89"/>
        <v>0</v>
      </c>
      <c r="HE37" t="s">
        <v>302</v>
      </c>
      <c r="HF37" t="s">
        <v>302</v>
      </c>
      <c r="HG37">
        <f>ROUND(AC37*I37,2)</f>
        <v>20833.350000000002</v>
      </c>
      <c r="HI37">
        <f t="shared" si="90"/>
        <v>0</v>
      </c>
      <c r="HJ37">
        <f t="shared" si="91"/>
        <v>0</v>
      </c>
      <c r="HK37">
        <f t="shared" si="92"/>
        <v>0</v>
      </c>
      <c r="HL37">
        <f t="shared" si="93"/>
        <v>0</v>
      </c>
      <c r="HM37" t="s">
        <v>242</v>
      </c>
      <c r="HN37" t="s">
        <v>67</v>
      </c>
      <c r="HO37" t="s">
        <v>69</v>
      </c>
      <c r="HP37" t="s">
        <v>272</v>
      </c>
      <c r="HQ37" t="s">
        <v>272</v>
      </c>
      <c r="IK37">
        <v>0</v>
      </c>
    </row>
    <row r="38">
      <c r="A38">
        <v>17</v>
      </c>
      <c r="B38">
        <v>1</v>
      </c>
      <c r="C38">
        <f>ROW(SmtRes!A78)</f>
        <v>78</v>
      </c>
      <c r="D38">
        <f>ROW(EtalonRes!A87)</f>
        <v>87</v>
      </c>
      <c r="E38" t="s">
        <v>89</v>
      </c>
      <c r="F38" t="s">
        <v>314</v>
      </c>
      <c r="G38" t="s">
        <v>315</v>
      </c>
      <c r="H38" t="s">
        <v>283</v>
      </c>
      <c r="I38">
        <f>ROUND(10/100,7)</f>
        <v>0.099999999999999992</v>
      </c>
      <c r="J38">
        <v>0</v>
      </c>
      <c r="K38">
        <f>ROUND(10/100,7)</f>
        <v>0.099999999999999992</v>
      </c>
      <c r="O38">
        <f t="shared" si="50"/>
        <v>59.950000000000003</v>
      </c>
      <c r="P38">
        <f t="shared" ref="P38:P40" si="101">ROUND(CQ38*I38,2)</f>
        <v>2.7200000000000002</v>
      </c>
      <c r="Q38">
        <f t="shared" si="52"/>
        <v>0.90000000000000002</v>
      </c>
      <c r="R38">
        <f t="shared" si="53"/>
        <v>0.13</v>
      </c>
      <c r="S38">
        <f t="shared" si="54"/>
        <v>56.329999999999998</v>
      </c>
      <c r="T38">
        <f t="shared" si="55"/>
        <v>0</v>
      </c>
      <c r="U38">
        <f t="shared" si="56"/>
        <v>5.992</v>
      </c>
      <c r="V38">
        <f t="shared" si="57"/>
        <v>0.01</v>
      </c>
      <c r="W38">
        <f t="shared" si="58"/>
        <v>0</v>
      </c>
      <c r="X38">
        <f t="shared" si="59"/>
        <v>68.320000000000007</v>
      </c>
      <c r="Y38">
        <f t="shared" si="60"/>
        <v>40.649999999999999</v>
      </c>
      <c r="AA38">
        <v>65099320</v>
      </c>
      <c r="AB38">
        <f t="shared" si="61"/>
        <v>599.38999999999999</v>
      </c>
      <c r="AC38">
        <f t="shared" si="94"/>
        <v>27.16</v>
      </c>
      <c r="AD38">
        <f t="shared" si="95"/>
        <v>8.9800000000000004</v>
      </c>
      <c r="AE38">
        <f t="shared" si="96"/>
        <v>1.27</v>
      </c>
      <c r="AF38">
        <f t="shared" si="97"/>
        <v>563.25</v>
      </c>
      <c r="AG38">
        <f t="shared" si="66"/>
        <v>0</v>
      </c>
      <c r="AH38">
        <f t="shared" si="98"/>
        <v>59.920000000000002</v>
      </c>
      <c r="AI38">
        <f t="shared" si="99"/>
        <v>0.10000000000000001</v>
      </c>
      <c r="AJ38">
        <f t="shared" si="69"/>
        <v>0</v>
      </c>
      <c r="AK38">
        <v>599.38999999999999</v>
      </c>
      <c r="AL38">
        <v>27.16</v>
      </c>
      <c r="AM38">
        <v>8.9800000000000004</v>
      </c>
      <c r="AN38">
        <v>1.27</v>
      </c>
      <c r="AO38">
        <v>563.25</v>
      </c>
      <c r="AP38">
        <v>0</v>
      </c>
      <c r="AQ38">
        <v>59.920000000000002</v>
      </c>
      <c r="AR38">
        <v>0.10000000000000001</v>
      </c>
      <c r="AS38">
        <v>0</v>
      </c>
      <c r="AT38">
        <v>121</v>
      </c>
      <c r="AU38">
        <v>72</v>
      </c>
      <c r="AV38">
        <v>1</v>
      </c>
      <c r="AW38">
        <v>1</v>
      </c>
      <c r="AZ38">
        <v>1</v>
      </c>
      <c r="BA38">
        <v>55.32</v>
      </c>
      <c r="BB38">
        <v>1</v>
      </c>
      <c r="BC38">
        <v>1</v>
      </c>
      <c r="BD38" t="s">
        <v>242</v>
      </c>
      <c r="BE38" t="s">
        <v>242</v>
      </c>
      <c r="BF38" t="s">
        <v>242</v>
      </c>
      <c r="BG38" t="s">
        <v>242</v>
      </c>
      <c r="BH38">
        <v>0</v>
      </c>
      <c r="BI38">
        <v>1</v>
      </c>
      <c r="BJ38" t="s">
        <v>316</v>
      </c>
      <c r="BM38">
        <v>16001</v>
      </c>
      <c r="BN38">
        <v>0</v>
      </c>
      <c r="BO38" t="s">
        <v>257</v>
      </c>
      <c r="BP38">
        <v>1</v>
      </c>
      <c r="BQ38">
        <v>2</v>
      </c>
      <c r="BR38">
        <v>0</v>
      </c>
      <c r="BS38">
        <v>55.32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242</v>
      </c>
      <c r="BZ38">
        <v>121</v>
      </c>
      <c r="CA38">
        <v>72</v>
      </c>
      <c r="CB38" t="s">
        <v>242</v>
      </c>
      <c r="CE38">
        <v>0</v>
      </c>
      <c r="CF38">
        <v>0</v>
      </c>
      <c r="CG38">
        <v>0</v>
      </c>
      <c r="CM38">
        <v>0</v>
      </c>
      <c r="CN38" t="s">
        <v>242</v>
      </c>
      <c r="CO38">
        <v>0</v>
      </c>
      <c r="CP38">
        <f t="shared" si="70"/>
        <v>59.949999999999996</v>
      </c>
      <c r="CQ38">
        <f t="shared" ref="CQ38:CQ40" si="102">AC38*BC38</f>
        <v>27.16</v>
      </c>
      <c r="CR38">
        <f t="shared" ref="CR38:CR40" si="103">(((ET38)*BB38-(EU38))+AE38)</f>
        <v>8.9800000000000004</v>
      </c>
      <c r="CS38">
        <f t="shared" si="73"/>
        <v>1.27</v>
      </c>
      <c r="CT38">
        <f t="shared" si="74"/>
        <v>563.25</v>
      </c>
      <c r="CU38">
        <f t="shared" si="75"/>
        <v>0</v>
      </c>
      <c r="CV38">
        <f t="shared" si="76"/>
        <v>59.920000000000002</v>
      </c>
      <c r="CW38">
        <f t="shared" si="77"/>
        <v>0.10000000000000001</v>
      </c>
      <c r="CX38">
        <f t="shared" si="78"/>
        <v>0</v>
      </c>
      <c r="CY38">
        <f t="shared" si="79"/>
        <v>68.316599999999994</v>
      </c>
      <c r="CZ38">
        <f t="shared" si="80"/>
        <v>40.651199999999996</v>
      </c>
      <c r="DC38" t="s">
        <v>242</v>
      </c>
      <c r="DD38" t="s">
        <v>242</v>
      </c>
      <c r="DE38" t="s">
        <v>242</v>
      </c>
      <c r="DF38" t="s">
        <v>242</v>
      </c>
      <c r="DG38" t="s">
        <v>242</v>
      </c>
      <c r="DH38" t="s">
        <v>242</v>
      </c>
      <c r="DI38" t="s">
        <v>242</v>
      </c>
      <c r="DJ38" t="s">
        <v>242</v>
      </c>
      <c r="DK38" t="s">
        <v>242</v>
      </c>
      <c r="DL38" t="s">
        <v>242</v>
      </c>
      <c r="DM38" t="s">
        <v>242</v>
      </c>
      <c r="DN38">
        <v>0</v>
      </c>
      <c r="DO38">
        <v>0</v>
      </c>
      <c r="DP38">
        <v>1</v>
      </c>
      <c r="DQ38">
        <v>1</v>
      </c>
      <c r="DU38">
        <v>1003</v>
      </c>
      <c r="DV38" t="s">
        <v>283</v>
      </c>
      <c r="DW38" t="s">
        <v>283</v>
      </c>
      <c r="DX38">
        <v>100</v>
      </c>
      <c r="DZ38" t="s">
        <v>242</v>
      </c>
      <c r="EA38" t="s">
        <v>242</v>
      </c>
      <c r="EB38" t="s">
        <v>242</v>
      </c>
      <c r="EC38" t="s">
        <v>242</v>
      </c>
      <c r="EE38">
        <v>59733704</v>
      </c>
      <c r="EF38">
        <v>2</v>
      </c>
      <c r="EG38" t="s">
        <v>271</v>
      </c>
      <c r="EH38">
        <v>16</v>
      </c>
      <c r="EI38" t="s">
        <v>295</v>
      </c>
      <c r="EJ38">
        <v>1</v>
      </c>
      <c r="EK38">
        <v>16001</v>
      </c>
      <c r="EL38" t="s">
        <v>317</v>
      </c>
      <c r="EM38" t="s">
        <v>318</v>
      </c>
      <c r="EO38" t="s">
        <v>242</v>
      </c>
      <c r="EQ38">
        <v>0</v>
      </c>
      <c r="ER38">
        <v>599.38999999999999</v>
      </c>
      <c r="ES38">
        <v>27.16</v>
      </c>
      <c r="ET38">
        <v>8.9800000000000004</v>
      </c>
      <c r="EU38">
        <v>1.27</v>
      </c>
      <c r="EV38">
        <v>563.25</v>
      </c>
      <c r="EW38">
        <v>59.920000000000002</v>
      </c>
      <c r="EX38">
        <v>0.10000000000000001</v>
      </c>
      <c r="EY38">
        <v>0</v>
      </c>
      <c r="FQ38">
        <v>0</v>
      </c>
      <c r="FR38">
        <f t="shared" si="81"/>
        <v>0</v>
      </c>
      <c r="FS38">
        <v>0</v>
      </c>
      <c r="FX38">
        <v>121</v>
      </c>
      <c r="FY38">
        <v>72</v>
      </c>
      <c r="GA38" t="s">
        <v>242</v>
      </c>
      <c r="GD38">
        <v>1</v>
      </c>
      <c r="GF38">
        <v>1371594998</v>
      </c>
      <c r="GG38">
        <v>2</v>
      </c>
      <c r="GH38">
        <v>1</v>
      </c>
      <c r="GI38">
        <v>4</v>
      </c>
      <c r="GJ38">
        <v>0</v>
      </c>
      <c r="GK38">
        <v>0</v>
      </c>
      <c r="GL38">
        <f t="shared" si="82"/>
        <v>0</v>
      </c>
      <c r="GM38">
        <f t="shared" si="83"/>
        <v>168.92000000000002</v>
      </c>
      <c r="GN38">
        <f t="shared" si="84"/>
        <v>168.92000000000002</v>
      </c>
      <c r="GO38">
        <f t="shared" si="85"/>
        <v>0</v>
      </c>
      <c r="GP38">
        <f t="shared" si="86"/>
        <v>0</v>
      </c>
      <c r="GR38">
        <v>0</v>
      </c>
      <c r="GS38">
        <v>3</v>
      </c>
      <c r="GT38">
        <v>0</v>
      </c>
      <c r="GU38" t="s">
        <v>242</v>
      </c>
      <c r="GV38">
        <f t="shared" si="87"/>
        <v>0</v>
      </c>
      <c r="GW38">
        <v>1</v>
      </c>
      <c r="GX38">
        <f t="shared" si="88"/>
        <v>0</v>
      </c>
      <c r="HA38">
        <v>0</v>
      </c>
      <c r="HB38">
        <v>0</v>
      </c>
      <c r="HC38">
        <f t="shared" si="89"/>
        <v>0</v>
      </c>
      <c r="HE38" t="s">
        <v>242</v>
      </c>
      <c r="HF38" t="s">
        <v>242</v>
      </c>
      <c r="HI38">
        <f t="shared" si="90"/>
        <v>7.1900000000000004</v>
      </c>
      <c r="HJ38">
        <f t="shared" si="91"/>
        <v>3116.1800000000003</v>
      </c>
      <c r="HK38">
        <f t="shared" si="92"/>
        <v>3779.2800000000002</v>
      </c>
      <c r="HL38">
        <f t="shared" si="93"/>
        <v>2248.8299999999999</v>
      </c>
      <c r="HM38" t="s">
        <v>242</v>
      </c>
      <c r="HN38" t="s">
        <v>79</v>
      </c>
      <c r="HO38" t="s">
        <v>81</v>
      </c>
      <c r="HP38" t="s">
        <v>295</v>
      </c>
      <c r="HQ38" t="s">
        <v>295</v>
      </c>
      <c r="IK38">
        <v>0</v>
      </c>
    </row>
    <row r="39">
      <c r="A39">
        <v>18</v>
      </c>
      <c r="B39">
        <v>1</v>
      </c>
      <c r="C39">
        <v>76</v>
      </c>
      <c r="E39" t="s">
        <v>319</v>
      </c>
      <c r="F39" t="s">
        <v>320</v>
      </c>
      <c r="G39" t="s">
        <v>321</v>
      </c>
      <c r="H39" t="s">
        <v>322</v>
      </c>
      <c r="I39">
        <f>I38*J39</f>
        <v>0.99999999999999989</v>
      </c>
      <c r="J39">
        <v>10</v>
      </c>
      <c r="K39">
        <v>10</v>
      </c>
      <c r="O39">
        <f t="shared" si="50"/>
        <v>11.99</v>
      </c>
      <c r="P39">
        <f t="shared" si="101"/>
        <v>11.99</v>
      </c>
      <c r="Q39">
        <f t="shared" si="52"/>
        <v>0</v>
      </c>
      <c r="R39">
        <f t="shared" si="53"/>
        <v>0</v>
      </c>
      <c r="S39">
        <f t="shared" si="54"/>
        <v>0</v>
      </c>
      <c r="T39">
        <f t="shared" si="55"/>
        <v>0</v>
      </c>
      <c r="U39">
        <f t="shared" si="56"/>
        <v>0</v>
      </c>
      <c r="V39">
        <f t="shared" si="57"/>
        <v>0</v>
      </c>
      <c r="W39">
        <f t="shared" si="58"/>
        <v>0</v>
      </c>
      <c r="X39">
        <f t="shared" si="59"/>
        <v>0</v>
      </c>
      <c r="Y39">
        <f t="shared" si="60"/>
        <v>0</v>
      </c>
      <c r="AA39">
        <v>65099320</v>
      </c>
      <c r="AB39">
        <f t="shared" si="61"/>
        <v>11.99</v>
      </c>
      <c r="AC39">
        <f t="shared" si="94"/>
        <v>11.99</v>
      </c>
      <c r="AD39">
        <f t="shared" si="95"/>
        <v>0</v>
      </c>
      <c r="AE39">
        <f t="shared" si="96"/>
        <v>0</v>
      </c>
      <c r="AF39">
        <f t="shared" si="97"/>
        <v>0</v>
      </c>
      <c r="AG39">
        <f t="shared" si="66"/>
        <v>0</v>
      </c>
      <c r="AH39">
        <f t="shared" si="98"/>
        <v>0</v>
      </c>
      <c r="AI39">
        <f t="shared" si="99"/>
        <v>0</v>
      </c>
      <c r="AJ39">
        <f t="shared" si="69"/>
        <v>0</v>
      </c>
      <c r="AK39">
        <v>11.99</v>
      </c>
      <c r="AL39">
        <v>11.99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121</v>
      </c>
      <c r="AU39">
        <v>72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242</v>
      </c>
      <c r="BE39" t="s">
        <v>242</v>
      </c>
      <c r="BF39" t="s">
        <v>242</v>
      </c>
      <c r="BG39" t="s">
        <v>242</v>
      </c>
      <c r="BH39">
        <v>3</v>
      </c>
      <c r="BI39">
        <v>1</v>
      </c>
      <c r="BJ39" t="s">
        <v>323</v>
      </c>
      <c r="BM39">
        <v>16001</v>
      </c>
      <c r="BN39">
        <v>0</v>
      </c>
      <c r="BO39" t="s">
        <v>242</v>
      </c>
      <c r="BP39">
        <v>0</v>
      </c>
      <c r="BQ39">
        <v>2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242</v>
      </c>
      <c r="BZ39">
        <v>121</v>
      </c>
      <c r="CA39">
        <v>72</v>
      </c>
      <c r="CB39" t="s">
        <v>242</v>
      </c>
      <c r="CE39">
        <v>0</v>
      </c>
      <c r="CF39">
        <v>0</v>
      </c>
      <c r="CG39">
        <v>0</v>
      </c>
      <c r="CM39">
        <v>0</v>
      </c>
      <c r="CN39" t="s">
        <v>242</v>
      </c>
      <c r="CO39">
        <v>0</v>
      </c>
      <c r="CP39">
        <f t="shared" si="70"/>
        <v>11.99</v>
      </c>
      <c r="CQ39">
        <f t="shared" si="102"/>
        <v>11.99</v>
      </c>
      <c r="CR39">
        <f t="shared" si="103"/>
        <v>0</v>
      </c>
      <c r="CS39">
        <f t="shared" si="73"/>
        <v>0</v>
      </c>
      <c r="CT39">
        <f t="shared" si="74"/>
        <v>0</v>
      </c>
      <c r="CU39">
        <f t="shared" si="75"/>
        <v>0</v>
      </c>
      <c r="CV39">
        <f t="shared" si="76"/>
        <v>0</v>
      </c>
      <c r="CW39">
        <f t="shared" si="77"/>
        <v>0</v>
      </c>
      <c r="CX39">
        <f t="shared" si="78"/>
        <v>0</v>
      </c>
      <c r="CY39">
        <f t="shared" si="79"/>
        <v>0</v>
      </c>
      <c r="CZ39">
        <f t="shared" si="80"/>
        <v>0</v>
      </c>
      <c r="DC39" t="s">
        <v>242</v>
      </c>
      <c r="DD39" t="s">
        <v>242</v>
      </c>
      <c r="DE39" t="s">
        <v>242</v>
      </c>
      <c r="DF39" t="s">
        <v>242</v>
      </c>
      <c r="DG39" t="s">
        <v>242</v>
      </c>
      <c r="DH39" t="s">
        <v>242</v>
      </c>
      <c r="DI39" t="s">
        <v>242</v>
      </c>
      <c r="DJ39" t="s">
        <v>242</v>
      </c>
      <c r="DK39" t="s">
        <v>242</v>
      </c>
      <c r="DL39" t="s">
        <v>242</v>
      </c>
      <c r="DM39" t="s">
        <v>242</v>
      </c>
      <c r="DN39">
        <v>0</v>
      </c>
      <c r="DO39">
        <v>0</v>
      </c>
      <c r="DP39">
        <v>1</v>
      </c>
      <c r="DQ39">
        <v>1</v>
      </c>
      <c r="DU39">
        <v>1009</v>
      </c>
      <c r="DV39" t="s">
        <v>322</v>
      </c>
      <c r="DW39" t="s">
        <v>322</v>
      </c>
      <c r="DX39">
        <v>1</v>
      </c>
      <c r="DZ39" t="s">
        <v>242</v>
      </c>
      <c r="EA39" t="s">
        <v>242</v>
      </c>
      <c r="EB39" t="s">
        <v>242</v>
      </c>
      <c r="EC39" t="s">
        <v>242</v>
      </c>
      <c r="EE39">
        <v>59733704</v>
      </c>
      <c r="EF39">
        <v>2</v>
      </c>
      <c r="EG39" t="s">
        <v>271</v>
      </c>
      <c r="EH39">
        <v>16</v>
      </c>
      <c r="EI39" t="s">
        <v>295</v>
      </c>
      <c r="EJ39">
        <v>1</v>
      </c>
      <c r="EK39">
        <v>16001</v>
      </c>
      <c r="EL39" t="s">
        <v>317</v>
      </c>
      <c r="EM39" t="s">
        <v>318</v>
      </c>
      <c r="EO39" t="s">
        <v>242</v>
      </c>
      <c r="EQ39">
        <v>0</v>
      </c>
      <c r="ER39">
        <v>11.99</v>
      </c>
      <c r="ES39">
        <v>11.99</v>
      </c>
      <c r="ET39">
        <v>0</v>
      </c>
      <c r="EU39">
        <v>0</v>
      </c>
      <c r="EV39">
        <v>0</v>
      </c>
      <c r="EW39">
        <v>0</v>
      </c>
      <c r="EX39">
        <v>0</v>
      </c>
      <c r="FQ39">
        <v>0</v>
      </c>
      <c r="FR39">
        <f t="shared" si="81"/>
        <v>0</v>
      </c>
      <c r="FS39">
        <v>0</v>
      </c>
      <c r="FX39">
        <v>121</v>
      </c>
      <c r="FY39">
        <v>72</v>
      </c>
      <c r="GA39" t="s">
        <v>242</v>
      </c>
      <c r="GD39">
        <v>1</v>
      </c>
      <c r="GF39">
        <v>-1055274942</v>
      </c>
      <c r="GG39">
        <v>2</v>
      </c>
      <c r="GH39">
        <v>1</v>
      </c>
      <c r="GI39">
        <v>4</v>
      </c>
      <c r="GJ39">
        <v>0</v>
      </c>
      <c r="GK39">
        <v>0</v>
      </c>
      <c r="GL39">
        <f t="shared" si="82"/>
        <v>0</v>
      </c>
      <c r="GM39">
        <f t="shared" si="83"/>
        <v>11.99</v>
      </c>
      <c r="GN39">
        <f t="shared" si="84"/>
        <v>11.99</v>
      </c>
      <c r="GO39">
        <f t="shared" si="85"/>
        <v>0</v>
      </c>
      <c r="GP39">
        <f t="shared" si="86"/>
        <v>0</v>
      </c>
      <c r="GR39">
        <v>0</v>
      </c>
      <c r="GS39">
        <v>3</v>
      </c>
      <c r="GT39">
        <v>0</v>
      </c>
      <c r="GU39" t="s">
        <v>242</v>
      </c>
      <c r="GV39">
        <f t="shared" si="87"/>
        <v>0</v>
      </c>
      <c r="GW39">
        <v>1</v>
      </c>
      <c r="GX39">
        <f t="shared" si="88"/>
        <v>0</v>
      </c>
      <c r="HA39">
        <v>0</v>
      </c>
      <c r="HB39">
        <v>0</v>
      </c>
      <c r="HC39">
        <f t="shared" si="89"/>
        <v>0</v>
      </c>
      <c r="HE39" t="s">
        <v>242</v>
      </c>
      <c r="HF39" t="s">
        <v>242</v>
      </c>
      <c r="HI39">
        <f t="shared" si="90"/>
        <v>0</v>
      </c>
      <c r="HJ39">
        <f t="shared" si="91"/>
        <v>0</v>
      </c>
      <c r="HK39">
        <f t="shared" si="92"/>
        <v>0</v>
      </c>
      <c r="HL39">
        <f t="shared" si="93"/>
        <v>0</v>
      </c>
      <c r="HM39" t="s">
        <v>242</v>
      </c>
      <c r="HN39" t="s">
        <v>79</v>
      </c>
      <c r="HO39" t="s">
        <v>81</v>
      </c>
      <c r="HP39" t="s">
        <v>295</v>
      </c>
      <c r="HQ39" t="s">
        <v>295</v>
      </c>
      <c r="IK39">
        <v>0</v>
      </c>
    </row>
    <row r="40">
      <c r="A40">
        <v>18</v>
      </c>
      <c r="B40">
        <v>1</v>
      </c>
      <c r="C40">
        <v>77</v>
      </c>
      <c r="E40" t="s">
        <v>324</v>
      </c>
      <c r="F40" t="s">
        <v>325</v>
      </c>
      <c r="G40" t="s">
        <v>326</v>
      </c>
      <c r="H40" t="s">
        <v>327</v>
      </c>
      <c r="I40">
        <f>I38*J40</f>
        <v>9.9799999999999986</v>
      </c>
      <c r="J40">
        <v>99.799999999999997</v>
      </c>
      <c r="K40">
        <v>99.799999999999997</v>
      </c>
      <c r="O40">
        <f t="shared" si="50"/>
        <v>103.59</v>
      </c>
      <c r="P40">
        <f t="shared" si="101"/>
        <v>103.59</v>
      </c>
      <c r="Q40">
        <f t="shared" si="52"/>
        <v>0</v>
      </c>
      <c r="R40">
        <f t="shared" si="53"/>
        <v>0</v>
      </c>
      <c r="S40">
        <f t="shared" si="54"/>
        <v>0</v>
      </c>
      <c r="T40">
        <f t="shared" si="55"/>
        <v>0</v>
      </c>
      <c r="U40">
        <f t="shared" si="56"/>
        <v>0</v>
      </c>
      <c r="V40">
        <f t="shared" si="57"/>
        <v>0</v>
      </c>
      <c r="W40">
        <f t="shared" si="58"/>
        <v>0</v>
      </c>
      <c r="X40">
        <f t="shared" si="59"/>
        <v>0</v>
      </c>
      <c r="Y40">
        <f t="shared" si="60"/>
        <v>0</v>
      </c>
      <c r="AA40">
        <v>65099320</v>
      </c>
      <c r="AB40">
        <f t="shared" si="61"/>
        <v>10.380000000000001</v>
      </c>
      <c r="AC40">
        <f t="shared" si="94"/>
        <v>10.380000000000001</v>
      </c>
      <c r="AD40">
        <f t="shared" si="95"/>
        <v>0</v>
      </c>
      <c r="AE40">
        <f t="shared" si="96"/>
        <v>0</v>
      </c>
      <c r="AF40">
        <f t="shared" si="97"/>
        <v>0</v>
      </c>
      <c r="AG40">
        <f t="shared" si="66"/>
        <v>0</v>
      </c>
      <c r="AH40">
        <f t="shared" si="98"/>
        <v>0</v>
      </c>
      <c r="AI40">
        <f t="shared" si="99"/>
        <v>0</v>
      </c>
      <c r="AJ40">
        <f t="shared" si="69"/>
        <v>0</v>
      </c>
      <c r="AK40">
        <v>10.380000000000001</v>
      </c>
      <c r="AL40">
        <v>10.380000000000001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121</v>
      </c>
      <c r="AU40">
        <v>72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1</v>
      </c>
      <c r="BD40" t="s">
        <v>242</v>
      </c>
      <c r="BE40" t="s">
        <v>242</v>
      </c>
      <c r="BF40" t="s">
        <v>242</v>
      </c>
      <c r="BG40" t="s">
        <v>242</v>
      </c>
      <c r="BH40">
        <v>3</v>
      </c>
      <c r="BI40">
        <v>1</v>
      </c>
      <c r="BJ40" t="s">
        <v>328</v>
      </c>
      <c r="BM40">
        <v>16001</v>
      </c>
      <c r="BN40">
        <v>0</v>
      </c>
      <c r="BO40" t="s">
        <v>242</v>
      </c>
      <c r="BP40">
        <v>0</v>
      </c>
      <c r="BQ40">
        <v>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242</v>
      </c>
      <c r="BZ40">
        <v>121</v>
      </c>
      <c r="CA40">
        <v>72</v>
      </c>
      <c r="CB40" t="s">
        <v>242</v>
      </c>
      <c r="CE40">
        <v>0</v>
      </c>
      <c r="CF40">
        <v>0</v>
      </c>
      <c r="CG40">
        <v>0</v>
      </c>
      <c r="CM40">
        <v>0</v>
      </c>
      <c r="CN40" t="s">
        <v>242</v>
      </c>
      <c r="CO40">
        <v>0</v>
      </c>
      <c r="CP40">
        <f t="shared" si="70"/>
        <v>103.59</v>
      </c>
      <c r="CQ40">
        <f t="shared" si="102"/>
        <v>10.380000000000001</v>
      </c>
      <c r="CR40">
        <f t="shared" si="103"/>
        <v>0</v>
      </c>
      <c r="CS40">
        <f t="shared" si="73"/>
        <v>0</v>
      </c>
      <c r="CT40">
        <f t="shared" si="74"/>
        <v>0</v>
      </c>
      <c r="CU40">
        <f t="shared" si="75"/>
        <v>0</v>
      </c>
      <c r="CV40">
        <f t="shared" si="76"/>
        <v>0</v>
      </c>
      <c r="CW40">
        <f t="shared" si="77"/>
        <v>0</v>
      </c>
      <c r="CX40">
        <f t="shared" si="78"/>
        <v>0</v>
      </c>
      <c r="CY40">
        <f t="shared" si="79"/>
        <v>0</v>
      </c>
      <c r="CZ40">
        <f t="shared" si="80"/>
        <v>0</v>
      </c>
      <c r="DC40" t="s">
        <v>242</v>
      </c>
      <c r="DD40" t="s">
        <v>242</v>
      </c>
      <c r="DE40" t="s">
        <v>242</v>
      </c>
      <c r="DF40" t="s">
        <v>242</v>
      </c>
      <c r="DG40" t="s">
        <v>242</v>
      </c>
      <c r="DH40" t="s">
        <v>242</v>
      </c>
      <c r="DI40" t="s">
        <v>242</v>
      </c>
      <c r="DJ40" t="s">
        <v>242</v>
      </c>
      <c r="DK40" t="s">
        <v>242</v>
      </c>
      <c r="DL40" t="s">
        <v>242</v>
      </c>
      <c r="DM40" t="s">
        <v>242</v>
      </c>
      <c r="DN40">
        <v>0</v>
      </c>
      <c r="DO40">
        <v>0</v>
      </c>
      <c r="DP40">
        <v>1</v>
      </c>
      <c r="DQ40">
        <v>1</v>
      </c>
      <c r="DU40">
        <v>1003</v>
      </c>
      <c r="DV40" t="s">
        <v>327</v>
      </c>
      <c r="DW40" t="s">
        <v>327</v>
      </c>
      <c r="DX40">
        <v>1</v>
      </c>
      <c r="DZ40" t="s">
        <v>242</v>
      </c>
      <c r="EA40" t="s">
        <v>242</v>
      </c>
      <c r="EB40" t="s">
        <v>242</v>
      </c>
      <c r="EC40" t="s">
        <v>242</v>
      </c>
      <c r="EE40">
        <v>59733704</v>
      </c>
      <c r="EF40">
        <v>2</v>
      </c>
      <c r="EG40" t="s">
        <v>271</v>
      </c>
      <c r="EH40">
        <v>16</v>
      </c>
      <c r="EI40" t="s">
        <v>295</v>
      </c>
      <c r="EJ40">
        <v>1</v>
      </c>
      <c r="EK40">
        <v>16001</v>
      </c>
      <c r="EL40" t="s">
        <v>317</v>
      </c>
      <c r="EM40" t="s">
        <v>318</v>
      </c>
      <c r="EO40" t="s">
        <v>242</v>
      </c>
      <c r="EQ40">
        <v>0</v>
      </c>
      <c r="ER40">
        <v>10.380000000000001</v>
      </c>
      <c r="ES40">
        <v>10.380000000000001</v>
      </c>
      <c r="ET40">
        <v>0</v>
      </c>
      <c r="EU40">
        <v>0</v>
      </c>
      <c r="EV40">
        <v>0</v>
      </c>
      <c r="EW40">
        <v>0</v>
      </c>
      <c r="EX40">
        <v>0</v>
      </c>
      <c r="FQ40">
        <v>0</v>
      </c>
      <c r="FR40">
        <f t="shared" si="81"/>
        <v>0</v>
      </c>
      <c r="FS40">
        <v>0</v>
      </c>
      <c r="FX40">
        <v>121</v>
      </c>
      <c r="FY40">
        <v>72</v>
      </c>
      <c r="GA40" t="s">
        <v>242</v>
      </c>
      <c r="GD40">
        <v>1</v>
      </c>
      <c r="GF40">
        <v>961120767</v>
      </c>
      <c r="GG40">
        <v>2</v>
      </c>
      <c r="GH40">
        <v>1</v>
      </c>
      <c r="GI40">
        <v>4</v>
      </c>
      <c r="GJ40">
        <v>0</v>
      </c>
      <c r="GK40">
        <v>0</v>
      </c>
      <c r="GL40">
        <f t="shared" si="82"/>
        <v>0</v>
      </c>
      <c r="GM40">
        <f t="shared" si="83"/>
        <v>103.59</v>
      </c>
      <c r="GN40">
        <f t="shared" si="84"/>
        <v>103.59</v>
      </c>
      <c r="GO40">
        <f t="shared" si="85"/>
        <v>0</v>
      </c>
      <c r="GP40">
        <f t="shared" si="86"/>
        <v>0</v>
      </c>
      <c r="GR40">
        <v>0</v>
      </c>
      <c r="GS40">
        <v>3</v>
      </c>
      <c r="GT40">
        <v>0</v>
      </c>
      <c r="GU40" t="s">
        <v>242</v>
      </c>
      <c r="GV40">
        <f t="shared" si="87"/>
        <v>0</v>
      </c>
      <c r="GW40">
        <v>1</v>
      </c>
      <c r="GX40">
        <f t="shared" si="88"/>
        <v>0</v>
      </c>
      <c r="HA40">
        <v>0</v>
      </c>
      <c r="HB40">
        <v>0</v>
      </c>
      <c r="HC40">
        <f t="shared" si="89"/>
        <v>0</v>
      </c>
      <c r="HE40" t="s">
        <v>242</v>
      </c>
      <c r="HF40" t="s">
        <v>242</v>
      </c>
      <c r="HI40">
        <f t="shared" si="90"/>
        <v>0</v>
      </c>
      <c r="HJ40">
        <f t="shared" si="91"/>
        <v>0</v>
      </c>
      <c r="HK40">
        <f t="shared" si="92"/>
        <v>0</v>
      </c>
      <c r="HL40">
        <f t="shared" si="93"/>
        <v>0</v>
      </c>
      <c r="HM40" t="s">
        <v>242</v>
      </c>
      <c r="HN40" t="s">
        <v>79</v>
      </c>
      <c r="HO40" t="s">
        <v>81</v>
      </c>
      <c r="HP40" t="s">
        <v>295</v>
      </c>
      <c r="HQ40" t="s">
        <v>295</v>
      </c>
      <c r="IK40">
        <v>0</v>
      </c>
    </row>
    <row r="41">
      <c r="A41">
        <v>18</v>
      </c>
      <c r="B41">
        <v>1</v>
      </c>
      <c r="C41">
        <v>78</v>
      </c>
      <c r="E41" t="s">
        <v>329</v>
      </c>
      <c r="F41" t="s">
        <v>201</v>
      </c>
      <c r="G41" t="s">
        <v>330</v>
      </c>
      <c r="H41" t="s">
        <v>312</v>
      </c>
      <c r="I41">
        <f>I38*J41</f>
        <v>5</v>
      </c>
      <c r="J41">
        <v>50</v>
      </c>
      <c r="K41">
        <v>50</v>
      </c>
      <c r="O41">
        <f t="shared" si="50"/>
        <v>34.910000000000004</v>
      </c>
      <c r="P41">
        <f>ROUND(ROUND(CQ41*I41,2)/BC41,2)</f>
        <v>34.910000000000004</v>
      </c>
      <c r="Q41">
        <f t="shared" si="52"/>
        <v>0</v>
      </c>
      <c r="R41">
        <f t="shared" si="53"/>
        <v>0</v>
      </c>
      <c r="S41">
        <f t="shared" si="54"/>
        <v>0</v>
      </c>
      <c r="T41">
        <f t="shared" si="55"/>
        <v>0</v>
      </c>
      <c r="U41">
        <f t="shared" si="56"/>
        <v>0</v>
      </c>
      <c r="V41">
        <f t="shared" si="57"/>
        <v>0</v>
      </c>
      <c r="W41">
        <f t="shared" si="58"/>
        <v>0</v>
      </c>
      <c r="X41">
        <f t="shared" si="59"/>
        <v>0</v>
      </c>
      <c r="Y41">
        <f t="shared" si="60"/>
        <v>0</v>
      </c>
      <c r="AA41">
        <v>65099320</v>
      </c>
      <c r="AB41">
        <f t="shared" si="61"/>
        <v>66.670000000000002</v>
      </c>
      <c r="AC41">
        <f t="shared" si="94"/>
        <v>66.670000000000002</v>
      </c>
      <c r="AD41">
        <f t="shared" si="95"/>
        <v>0</v>
      </c>
      <c r="AE41">
        <f t="shared" si="96"/>
        <v>0</v>
      </c>
      <c r="AF41">
        <f t="shared" si="97"/>
        <v>0</v>
      </c>
      <c r="AG41">
        <f t="shared" si="66"/>
        <v>0</v>
      </c>
      <c r="AH41">
        <f t="shared" si="98"/>
        <v>0</v>
      </c>
      <c r="AI41">
        <f t="shared" si="99"/>
        <v>0</v>
      </c>
      <c r="AJ41">
        <f t="shared" si="69"/>
        <v>0</v>
      </c>
      <c r="AK41">
        <v>66.670000000000002</v>
      </c>
      <c r="AL41">
        <v>66.670000000000002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121</v>
      </c>
      <c r="AU41">
        <v>72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9.5500000000000007</v>
      </c>
      <c r="BD41" t="s">
        <v>242</v>
      </c>
      <c r="BE41" t="s">
        <v>242</v>
      </c>
      <c r="BF41" t="s">
        <v>242</v>
      </c>
      <c r="BG41" t="s">
        <v>242</v>
      </c>
      <c r="BH41">
        <v>3</v>
      </c>
      <c r="BI41">
        <v>1</v>
      </c>
      <c r="BJ41" t="s">
        <v>242</v>
      </c>
      <c r="BM41">
        <v>16001</v>
      </c>
      <c r="BN41">
        <v>0</v>
      </c>
      <c r="BO41" t="s">
        <v>242</v>
      </c>
      <c r="BP41">
        <v>0</v>
      </c>
      <c r="BQ41">
        <v>2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242</v>
      </c>
      <c r="BZ41">
        <v>121</v>
      </c>
      <c r="CA41">
        <v>72</v>
      </c>
      <c r="CB41" t="s">
        <v>242</v>
      </c>
      <c r="CE41">
        <v>0</v>
      </c>
      <c r="CF41">
        <v>0</v>
      </c>
      <c r="CG41">
        <v>0</v>
      </c>
      <c r="CM41">
        <v>0</v>
      </c>
      <c r="CN41" t="s">
        <v>242</v>
      </c>
      <c r="CO41">
        <v>0</v>
      </c>
      <c r="CP41">
        <f t="shared" si="70"/>
        <v>34.910000000000004</v>
      </c>
      <c r="CQ41">
        <f>AC41</f>
        <v>66.670000000000002</v>
      </c>
      <c r="CR41">
        <f>(((ET41)-(EU41))+AE41)</f>
        <v>0</v>
      </c>
      <c r="CS41">
        <f t="shared" si="73"/>
        <v>0</v>
      </c>
      <c r="CT41">
        <f t="shared" si="74"/>
        <v>0</v>
      </c>
      <c r="CU41">
        <f t="shared" si="75"/>
        <v>0</v>
      </c>
      <c r="CV41">
        <f t="shared" si="76"/>
        <v>0</v>
      </c>
      <c r="CW41">
        <f t="shared" si="77"/>
        <v>0</v>
      </c>
      <c r="CX41">
        <f t="shared" si="78"/>
        <v>0</v>
      </c>
      <c r="CY41">
        <f t="shared" si="79"/>
        <v>0</v>
      </c>
      <c r="CZ41">
        <f t="shared" si="80"/>
        <v>0</v>
      </c>
      <c r="DC41" t="s">
        <v>242</v>
      </c>
      <c r="DD41" t="s">
        <v>242</v>
      </c>
      <c r="DE41" t="s">
        <v>242</v>
      </c>
      <c r="DF41" t="s">
        <v>242</v>
      </c>
      <c r="DG41" t="s">
        <v>242</v>
      </c>
      <c r="DH41" t="s">
        <v>242</v>
      </c>
      <c r="DI41" t="s">
        <v>242</v>
      </c>
      <c r="DJ41" t="s">
        <v>242</v>
      </c>
      <c r="DK41" t="s">
        <v>242</v>
      </c>
      <c r="DL41" t="s">
        <v>242</v>
      </c>
      <c r="DM41" t="s">
        <v>242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312</v>
      </c>
      <c r="DW41" t="s">
        <v>312</v>
      </c>
      <c r="DX41">
        <v>1</v>
      </c>
      <c r="DZ41" t="s">
        <v>242</v>
      </c>
      <c r="EA41" t="s">
        <v>242</v>
      </c>
      <c r="EB41" t="s">
        <v>242</v>
      </c>
      <c r="EC41" t="s">
        <v>242</v>
      </c>
      <c r="EE41">
        <v>59733704</v>
      </c>
      <c r="EF41">
        <v>2</v>
      </c>
      <c r="EG41" t="s">
        <v>271</v>
      </c>
      <c r="EH41">
        <v>16</v>
      </c>
      <c r="EI41" t="s">
        <v>295</v>
      </c>
      <c r="EJ41">
        <v>1</v>
      </c>
      <c r="EK41">
        <v>16001</v>
      </c>
      <c r="EL41" t="s">
        <v>317</v>
      </c>
      <c r="EM41" t="s">
        <v>318</v>
      </c>
      <c r="EO41" t="s">
        <v>242</v>
      </c>
      <c r="EQ41">
        <v>0</v>
      </c>
      <c r="ER41">
        <v>66.670000000000002</v>
      </c>
      <c r="ES41">
        <v>66.670000000000002</v>
      </c>
      <c r="ET41">
        <v>0</v>
      </c>
      <c r="EU41">
        <v>0</v>
      </c>
      <c r="EV41">
        <v>0</v>
      </c>
      <c r="EW41">
        <v>0</v>
      </c>
      <c r="EX41">
        <v>0</v>
      </c>
      <c r="EZ41">
        <v>5</v>
      </c>
      <c r="FC41">
        <v>1</v>
      </c>
      <c r="FD41">
        <v>18</v>
      </c>
      <c r="FF41">
        <v>80</v>
      </c>
      <c r="FQ41">
        <v>0</v>
      </c>
      <c r="FR41">
        <f t="shared" si="81"/>
        <v>0</v>
      </c>
      <c r="FS41">
        <v>0</v>
      </c>
      <c r="FX41">
        <v>121</v>
      </c>
      <c r="FY41">
        <v>72</v>
      </c>
      <c r="GA41" t="s">
        <v>331</v>
      </c>
      <c r="GD41">
        <v>1</v>
      </c>
      <c r="GF41">
        <v>2066278353</v>
      </c>
      <c r="GG41">
        <v>2</v>
      </c>
      <c r="GH41">
        <v>3</v>
      </c>
      <c r="GI41">
        <v>4</v>
      </c>
      <c r="GJ41">
        <v>0</v>
      </c>
      <c r="GK41">
        <v>0</v>
      </c>
      <c r="GL41">
        <f t="shared" si="82"/>
        <v>0</v>
      </c>
      <c r="GM41">
        <f t="shared" si="83"/>
        <v>34.910000000000004</v>
      </c>
      <c r="GN41">
        <f t="shared" si="84"/>
        <v>34.910000000000004</v>
      </c>
      <c r="GO41">
        <f t="shared" si="85"/>
        <v>0</v>
      </c>
      <c r="GP41">
        <f t="shared" si="86"/>
        <v>0</v>
      </c>
      <c r="GR41">
        <v>1</v>
      </c>
      <c r="GS41">
        <v>1</v>
      </c>
      <c r="GT41">
        <v>0</v>
      </c>
      <c r="GU41" t="s">
        <v>242</v>
      </c>
      <c r="GV41">
        <f t="shared" si="87"/>
        <v>0</v>
      </c>
      <c r="GW41">
        <v>1</v>
      </c>
      <c r="GX41">
        <f t="shared" si="88"/>
        <v>0</v>
      </c>
      <c r="HA41">
        <v>0</v>
      </c>
      <c r="HB41">
        <v>0</v>
      </c>
      <c r="HC41">
        <f t="shared" si="89"/>
        <v>0</v>
      </c>
      <c r="HE41" t="s">
        <v>302</v>
      </c>
      <c r="HF41" t="s">
        <v>302</v>
      </c>
      <c r="HG41">
        <f>ROUND(AC41*I41,2)</f>
        <v>333.35000000000002</v>
      </c>
      <c r="HI41">
        <f t="shared" si="90"/>
        <v>0</v>
      </c>
      <c r="HJ41">
        <f t="shared" si="91"/>
        <v>0</v>
      </c>
      <c r="HK41">
        <f t="shared" si="92"/>
        <v>0</v>
      </c>
      <c r="HL41">
        <f t="shared" si="93"/>
        <v>0</v>
      </c>
      <c r="HM41" t="s">
        <v>242</v>
      </c>
      <c r="HN41" t="s">
        <v>79</v>
      </c>
      <c r="HO41" t="s">
        <v>81</v>
      </c>
      <c r="HP41" t="s">
        <v>295</v>
      </c>
      <c r="HQ41" t="s">
        <v>295</v>
      </c>
      <c r="IK41">
        <v>0</v>
      </c>
    </row>
    <row r="42">
      <c r="A42">
        <v>17</v>
      </c>
      <c r="B42">
        <v>1</v>
      </c>
      <c r="C42">
        <f>ROW(SmtRes!A89)</f>
        <v>89</v>
      </c>
      <c r="D42">
        <f>ROW(EtalonRes!A99)</f>
        <v>99</v>
      </c>
      <c r="E42" t="s">
        <v>94</v>
      </c>
      <c r="F42" t="s">
        <v>332</v>
      </c>
      <c r="G42" t="s">
        <v>333</v>
      </c>
      <c r="H42" t="s">
        <v>283</v>
      </c>
      <c r="I42">
        <f>ROUND(5/100,7)</f>
        <v>0.049999999999999996</v>
      </c>
      <c r="J42">
        <v>0</v>
      </c>
      <c r="K42">
        <f>ROUND(5/100,7)</f>
        <v>0.049999999999999996</v>
      </c>
      <c r="O42">
        <f t="shared" si="50"/>
        <v>31.210000000000001</v>
      </c>
      <c r="P42">
        <f t="shared" ref="P42:P44" si="104">ROUND(CQ42*I42,2)</f>
        <v>2.9100000000000001</v>
      </c>
      <c r="Q42">
        <f t="shared" si="52"/>
        <v>2.0600000000000001</v>
      </c>
      <c r="R42">
        <f t="shared" si="53"/>
        <v>0.28999999999999998</v>
      </c>
      <c r="S42">
        <f t="shared" si="54"/>
        <v>26.240000000000002</v>
      </c>
      <c r="T42">
        <f t="shared" si="55"/>
        <v>0</v>
      </c>
      <c r="U42">
        <f t="shared" si="56"/>
        <v>2.7915000000000001</v>
      </c>
      <c r="V42">
        <f t="shared" si="57"/>
        <v>0.023</v>
      </c>
      <c r="W42">
        <f t="shared" si="58"/>
        <v>0</v>
      </c>
      <c r="X42">
        <f t="shared" si="59"/>
        <v>32.100000000000001</v>
      </c>
      <c r="Y42">
        <f t="shared" si="60"/>
        <v>19.100000000000001</v>
      </c>
      <c r="AA42">
        <v>65099320</v>
      </c>
      <c r="AB42">
        <f t="shared" si="61"/>
        <v>624.33000000000004</v>
      </c>
      <c r="AC42">
        <f t="shared" si="94"/>
        <v>58.289999999999999</v>
      </c>
      <c r="AD42">
        <f t="shared" si="95"/>
        <v>41.240000000000002</v>
      </c>
      <c r="AE42">
        <f t="shared" si="96"/>
        <v>5.8700000000000001</v>
      </c>
      <c r="AF42">
        <f t="shared" si="97"/>
        <v>524.79999999999995</v>
      </c>
      <c r="AG42">
        <f t="shared" si="66"/>
        <v>0</v>
      </c>
      <c r="AH42">
        <f t="shared" si="98"/>
        <v>55.829999999999998</v>
      </c>
      <c r="AI42">
        <f t="shared" si="99"/>
        <v>0.46000000000000002</v>
      </c>
      <c r="AJ42">
        <f t="shared" si="69"/>
        <v>0</v>
      </c>
      <c r="AK42">
        <v>624.33000000000004</v>
      </c>
      <c r="AL42">
        <v>58.289999999999999</v>
      </c>
      <c r="AM42">
        <v>41.240000000000002</v>
      </c>
      <c r="AN42">
        <v>5.8700000000000001</v>
      </c>
      <c r="AO42">
        <v>524.79999999999995</v>
      </c>
      <c r="AP42">
        <v>0</v>
      </c>
      <c r="AQ42">
        <v>55.829999999999998</v>
      </c>
      <c r="AR42">
        <v>0.46000000000000002</v>
      </c>
      <c r="AS42">
        <v>0</v>
      </c>
      <c r="AT42">
        <v>121</v>
      </c>
      <c r="AU42">
        <v>72</v>
      </c>
      <c r="AV42">
        <v>1</v>
      </c>
      <c r="AW42">
        <v>1</v>
      </c>
      <c r="AZ42">
        <v>1</v>
      </c>
      <c r="BA42">
        <v>55.32</v>
      </c>
      <c r="BB42">
        <v>1</v>
      </c>
      <c r="BC42">
        <v>1</v>
      </c>
      <c r="BD42" t="s">
        <v>242</v>
      </c>
      <c r="BE42" t="s">
        <v>242</v>
      </c>
      <c r="BF42" t="s">
        <v>242</v>
      </c>
      <c r="BG42" t="s">
        <v>242</v>
      </c>
      <c r="BH42">
        <v>0</v>
      </c>
      <c r="BI42">
        <v>1</v>
      </c>
      <c r="BJ42" t="s">
        <v>334</v>
      </c>
      <c r="BM42">
        <v>16001</v>
      </c>
      <c r="BN42">
        <v>0</v>
      </c>
      <c r="BO42" t="s">
        <v>257</v>
      </c>
      <c r="BP42">
        <v>1</v>
      </c>
      <c r="BQ42">
        <v>2</v>
      </c>
      <c r="BR42">
        <v>0</v>
      </c>
      <c r="BS42">
        <v>55.32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242</v>
      </c>
      <c r="BZ42">
        <v>121</v>
      </c>
      <c r="CA42">
        <v>72</v>
      </c>
      <c r="CB42" t="s">
        <v>242</v>
      </c>
      <c r="CE42">
        <v>0</v>
      </c>
      <c r="CF42">
        <v>0</v>
      </c>
      <c r="CG42">
        <v>0</v>
      </c>
      <c r="CM42">
        <v>0</v>
      </c>
      <c r="CN42" t="s">
        <v>242</v>
      </c>
      <c r="CO42">
        <v>0</v>
      </c>
      <c r="CP42">
        <f t="shared" si="70"/>
        <v>31.210000000000001</v>
      </c>
      <c r="CQ42">
        <f t="shared" ref="CQ42:CQ44" si="105">AC42*BC42</f>
        <v>58.289999999999999</v>
      </c>
      <c r="CR42">
        <f t="shared" ref="CR42:CR44" si="106">(((ET42)*BB42-(EU42))+AE42)</f>
        <v>41.240000000000002</v>
      </c>
      <c r="CS42">
        <f t="shared" si="73"/>
        <v>5.8700000000000001</v>
      </c>
      <c r="CT42">
        <f t="shared" si="74"/>
        <v>524.79999999999995</v>
      </c>
      <c r="CU42">
        <f t="shared" si="75"/>
        <v>0</v>
      </c>
      <c r="CV42">
        <f t="shared" si="76"/>
        <v>55.829999999999998</v>
      </c>
      <c r="CW42">
        <f t="shared" si="77"/>
        <v>0.46000000000000002</v>
      </c>
      <c r="CX42">
        <f t="shared" si="78"/>
        <v>0</v>
      </c>
      <c r="CY42">
        <f t="shared" si="79"/>
        <v>32.101300000000002</v>
      </c>
      <c r="CZ42">
        <f t="shared" si="80"/>
        <v>19.101600000000001</v>
      </c>
      <c r="DC42" t="s">
        <v>242</v>
      </c>
      <c r="DD42" t="s">
        <v>242</v>
      </c>
      <c r="DE42" t="s">
        <v>242</v>
      </c>
      <c r="DF42" t="s">
        <v>242</v>
      </c>
      <c r="DG42" t="s">
        <v>242</v>
      </c>
      <c r="DH42" t="s">
        <v>242</v>
      </c>
      <c r="DI42" t="s">
        <v>242</v>
      </c>
      <c r="DJ42" t="s">
        <v>242</v>
      </c>
      <c r="DK42" t="s">
        <v>242</v>
      </c>
      <c r="DL42" t="s">
        <v>242</v>
      </c>
      <c r="DM42" t="s">
        <v>242</v>
      </c>
      <c r="DN42">
        <v>0</v>
      </c>
      <c r="DO42">
        <v>0</v>
      </c>
      <c r="DP42">
        <v>1</v>
      </c>
      <c r="DQ42">
        <v>1</v>
      </c>
      <c r="DU42">
        <v>1003</v>
      </c>
      <c r="DV42" t="s">
        <v>283</v>
      </c>
      <c r="DW42" t="s">
        <v>283</v>
      </c>
      <c r="DX42">
        <v>100</v>
      </c>
      <c r="DZ42" t="s">
        <v>242</v>
      </c>
      <c r="EA42" t="s">
        <v>242</v>
      </c>
      <c r="EB42" t="s">
        <v>242</v>
      </c>
      <c r="EC42" t="s">
        <v>242</v>
      </c>
      <c r="EE42">
        <v>59733704</v>
      </c>
      <c r="EF42">
        <v>2</v>
      </c>
      <c r="EG42" t="s">
        <v>271</v>
      </c>
      <c r="EH42">
        <v>16</v>
      </c>
      <c r="EI42" t="s">
        <v>295</v>
      </c>
      <c r="EJ42">
        <v>1</v>
      </c>
      <c r="EK42">
        <v>16001</v>
      </c>
      <c r="EL42" t="s">
        <v>317</v>
      </c>
      <c r="EM42" t="s">
        <v>318</v>
      </c>
      <c r="EO42" t="s">
        <v>242</v>
      </c>
      <c r="EQ42">
        <v>0</v>
      </c>
      <c r="ER42">
        <v>624.33000000000004</v>
      </c>
      <c r="ES42">
        <v>58.289999999999999</v>
      </c>
      <c r="ET42">
        <v>41.240000000000002</v>
      </c>
      <c r="EU42">
        <v>5.8700000000000001</v>
      </c>
      <c r="EV42">
        <v>524.79999999999995</v>
      </c>
      <c r="EW42">
        <v>55.829999999999998</v>
      </c>
      <c r="EX42">
        <v>0.46000000000000002</v>
      </c>
      <c r="EY42">
        <v>0</v>
      </c>
      <c r="FQ42">
        <v>0</v>
      </c>
      <c r="FR42">
        <f t="shared" si="81"/>
        <v>0</v>
      </c>
      <c r="FS42">
        <v>0</v>
      </c>
      <c r="FX42">
        <v>121</v>
      </c>
      <c r="FY42">
        <v>72</v>
      </c>
      <c r="GA42" t="s">
        <v>242</v>
      </c>
      <c r="GD42">
        <v>1</v>
      </c>
      <c r="GF42">
        <v>436675079</v>
      </c>
      <c r="GG42">
        <v>2</v>
      </c>
      <c r="GH42">
        <v>1</v>
      </c>
      <c r="GI42">
        <v>4</v>
      </c>
      <c r="GJ42">
        <v>0</v>
      </c>
      <c r="GK42">
        <v>0</v>
      </c>
      <c r="GL42">
        <f t="shared" si="82"/>
        <v>0</v>
      </c>
      <c r="GM42">
        <f t="shared" si="83"/>
        <v>82.409999999999997</v>
      </c>
      <c r="GN42">
        <f t="shared" si="84"/>
        <v>82.409999999999997</v>
      </c>
      <c r="GO42">
        <f t="shared" si="85"/>
        <v>0</v>
      </c>
      <c r="GP42">
        <f t="shared" si="86"/>
        <v>0</v>
      </c>
      <c r="GR42">
        <v>0</v>
      </c>
      <c r="GS42">
        <v>3</v>
      </c>
      <c r="GT42">
        <v>0</v>
      </c>
      <c r="GU42" t="s">
        <v>242</v>
      </c>
      <c r="GV42">
        <f t="shared" si="87"/>
        <v>0</v>
      </c>
      <c r="GW42">
        <v>1</v>
      </c>
      <c r="GX42">
        <f t="shared" si="88"/>
        <v>0</v>
      </c>
      <c r="HA42">
        <v>0</v>
      </c>
      <c r="HB42">
        <v>0</v>
      </c>
      <c r="HC42">
        <f t="shared" si="89"/>
        <v>0</v>
      </c>
      <c r="HE42" t="s">
        <v>242</v>
      </c>
      <c r="HF42" t="s">
        <v>242</v>
      </c>
      <c r="HI42">
        <f t="shared" si="90"/>
        <v>16.039999999999999</v>
      </c>
      <c r="HJ42">
        <f t="shared" si="91"/>
        <v>1451.6000000000001</v>
      </c>
      <c r="HK42">
        <f t="shared" si="92"/>
        <v>1775.8400000000001</v>
      </c>
      <c r="HL42">
        <f t="shared" si="93"/>
        <v>1056.7</v>
      </c>
      <c r="HM42" t="s">
        <v>242</v>
      </c>
      <c r="HN42" t="s">
        <v>79</v>
      </c>
      <c r="HO42" t="s">
        <v>81</v>
      </c>
      <c r="HP42" t="s">
        <v>295</v>
      </c>
      <c r="HQ42" t="s">
        <v>295</v>
      </c>
      <c r="IK42">
        <v>0</v>
      </c>
    </row>
    <row r="43">
      <c r="A43">
        <v>18</v>
      </c>
      <c r="B43">
        <v>1</v>
      </c>
      <c r="C43">
        <v>87</v>
      </c>
      <c r="E43" t="s">
        <v>335</v>
      </c>
      <c r="F43" t="s">
        <v>320</v>
      </c>
      <c r="G43" t="s">
        <v>321</v>
      </c>
      <c r="H43" t="s">
        <v>322</v>
      </c>
      <c r="I43">
        <f>I42*J43</f>
        <v>0.49999999999999994</v>
      </c>
      <c r="J43">
        <v>10</v>
      </c>
      <c r="K43">
        <v>10</v>
      </c>
      <c r="O43">
        <f t="shared" si="50"/>
        <v>6</v>
      </c>
      <c r="P43">
        <f t="shared" si="104"/>
        <v>6</v>
      </c>
      <c r="Q43">
        <f t="shared" si="52"/>
        <v>0</v>
      </c>
      <c r="R43">
        <f t="shared" si="53"/>
        <v>0</v>
      </c>
      <c r="S43">
        <f t="shared" si="54"/>
        <v>0</v>
      </c>
      <c r="T43">
        <f t="shared" si="55"/>
        <v>0</v>
      </c>
      <c r="U43">
        <f t="shared" si="56"/>
        <v>0</v>
      </c>
      <c r="V43">
        <f t="shared" si="57"/>
        <v>0</v>
      </c>
      <c r="W43">
        <f t="shared" si="58"/>
        <v>0</v>
      </c>
      <c r="X43">
        <f t="shared" si="59"/>
        <v>0</v>
      </c>
      <c r="Y43">
        <f t="shared" si="60"/>
        <v>0</v>
      </c>
      <c r="AA43">
        <v>65099320</v>
      </c>
      <c r="AB43">
        <f t="shared" si="61"/>
        <v>11.99</v>
      </c>
      <c r="AC43">
        <f t="shared" si="94"/>
        <v>11.99</v>
      </c>
      <c r="AD43">
        <f t="shared" si="95"/>
        <v>0</v>
      </c>
      <c r="AE43">
        <f t="shared" si="96"/>
        <v>0</v>
      </c>
      <c r="AF43">
        <f t="shared" si="97"/>
        <v>0</v>
      </c>
      <c r="AG43">
        <f t="shared" si="66"/>
        <v>0</v>
      </c>
      <c r="AH43">
        <f t="shared" si="98"/>
        <v>0</v>
      </c>
      <c r="AI43">
        <f t="shared" si="99"/>
        <v>0</v>
      </c>
      <c r="AJ43">
        <f t="shared" si="69"/>
        <v>0</v>
      </c>
      <c r="AK43">
        <v>11.99</v>
      </c>
      <c r="AL43">
        <v>11.99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121</v>
      </c>
      <c r="AU43">
        <v>72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242</v>
      </c>
      <c r="BE43" t="s">
        <v>242</v>
      </c>
      <c r="BF43" t="s">
        <v>242</v>
      </c>
      <c r="BG43" t="s">
        <v>242</v>
      </c>
      <c r="BH43">
        <v>3</v>
      </c>
      <c r="BI43">
        <v>1</v>
      </c>
      <c r="BJ43" t="s">
        <v>323</v>
      </c>
      <c r="BM43">
        <v>16001</v>
      </c>
      <c r="BN43">
        <v>0</v>
      </c>
      <c r="BO43" t="s">
        <v>242</v>
      </c>
      <c r="BP43">
        <v>0</v>
      </c>
      <c r="BQ43">
        <v>2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242</v>
      </c>
      <c r="BZ43">
        <v>121</v>
      </c>
      <c r="CA43">
        <v>72</v>
      </c>
      <c r="CB43" t="s">
        <v>242</v>
      </c>
      <c r="CE43">
        <v>0</v>
      </c>
      <c r="CF43">
        <v>0</v>
      </c>
      <c r="CG43">
        <v>0</v>
      </c>
      <c r="CM43">
        <v>0</v>
      </c>
      <c r="CN43" t="s">
        <v>242</v>
      </c>
      <c r="CO43">
        <v>0</v>
      </c>
      <c r="CP43">
        <f t="shared" si="70"/>
        <v>6</v>
      </c>
      <c r="CQ43">
        <f t="shared" si="105"/>
        <v>11.99</v>
      </c>
      <c r="CR43">
        <f t="shared" si="106"/>
        <v>0</v>
      </c>
      <c r="CS43">
        <f t="shared" si="73"/>
        <v>0</v>
      </c>
      <c r="CT43">
        <f t="shared" si="74"/>
        <v>0</v>
      </c>
      <c r="CU43">
        <f t="shared" si="75"/>
        <v>0</v>
      </c>
      <c r="CV43">
        <f t="shared" si="76"/>
        <v>0</v>
      </c>
      <c r="CW43">
        <f t="shared" si="77"/>
        <v>0</v>
      </c>
      <c r="CX43">
        <f t="shared" si="78"/>
        <v>0</v>
      </c>
      <c r="CY43">
        <f t="shared" si="79"/>
        <v>0</v>
      </c>
      <c r="CZ43">
        <f t="shared" si="80"/>
        <v>0</v>
      </c>
      <c r="DC43" t="s">
        <v>242</v>
      </c>
      <c r="DD43" t="s">
        <v>242</v>
      </c>
      <c r="DE43" t="s">
        <v>242</v>
      </c>
      <c r="DF43" t="s">
        <v>242</v>
      </c>
      <c r="DG43" t="s">
        <v>242</v>
      </c>
      <c r="DH43" t="s">
        <v>242</v>
      </c>
      <c r="DI43" t="s">
        <v>242</v>
      </c>
      <c r="DJ43" t="s">
        <v>242</v>
      </c>
      <c r="DK43" t="s">
        <v>242</v>
      </c>
      <c r="DL43" t="s">
        <v>242</v>
      </c>
      <c r="DM43" t="s">
        <v>242</v>
      </c>
      <c r="DN43">
        <v>0</v>
      </c>
      <c r="DO43">
        <v>0</v>
      </c>
      <c r="DP43">
        <v>1</v>
      </c>
      <c r="DQ43">
        <v>1</v>
      </c>
      <c r="DU43">
        <v>1009</v>
      </c>
      <c r="DV43" t="s">
        <v>322</v>
      </c>
      <c r="DW43" t="s">
        <v>322</v>
      </c>
      <c r="DX43">
        <v>1</v>
      </c>
      <c r="DZ43" t="s">
        <v>242</v>
      </c>
      <c r="EA43" t="s">
        <v>242</v>
      </c>
      <c r="EB43" t="s">
        <v>242</v>
      </c>
      <c r="EC43" t="s">
        <v>242</v>
      </c>
      <c r="EE43">
        <v>59733704</v>
      </c>
      <c r="EF43">
        <v>2</v>
      </c>
      <c r="EG43" t="s">
        <v>271</v>
      </c>
      <c r="EH43">
        <v>16</v>
      </c>
      <c r="EI43" t="s">
        <v>295</v>
      </c>
      <c r="EJ43">
        <v>1</v>
      </c>
      <c r="EK43">
        <v>16001</v>
      </c>
      <c r="EL43" t="s">
        <v>317</v>
      </c>
      <c r="EM43" t="s">
        <v>318</v>
      </c>
      <c r="EO43" t="s">
        <v>242</v>
      </c>
      <c r="EQ43">
        <v>0</v>
      </c>
      <c r="ER43">
        <v>11.99</v>
      </c>
      <c r="ES43">
        <v>11.99</v>
      </c>
      <c r="ET43">
        <v>0</v>
      </c>
      <c r="EU43">
        <v>0</v>
      </c>
      <c r="EV43">
        <v>0</v>
      </c>
      <c r="EW43">
        <v>0</v>
      </c>
      <c r="EX43">
        <v>0</v>
      </c>
      <c r="FQ43">
        <v>0</v>
      </c>
      <c r="FR43">
        <f t="shared" si="81"/>
        <v>0</v>
      </c>
      <c r="FS43">
        <v>0</v>
      </c>
      <c r="FX43">
        <v>121</v>
      </c>
      <c r="FY43">
        <v>72</v>
      </c>
      <c r="GA43" t="s">
        <v>242</v>
      </c>
      <c r="GD43">
        <v>1</v>
      </c>
      <c r="GF43">
        <v>-1055274942</v>
      </c>
      <c r="GG43">
        <v>2</v>
      </c>
      <c r="GH43">
        <v>1</v>
      </c>
      <c r="GI43">
        <v>4</v>
      </c>
      <c r="GJ43">
        <v>0</v>
      </c>
      <c r="GK43">
        <v>0</v>
      </c>
      <c r="GL43">
        <f t="shared" si="82"/>
        <v>0</v>
      </c>
      <c r="GM43">
        <f t="shared" si="83"/>
        <v>6</v>
      </c>
      <c r="GN43">
        <f t="shared" si="84"/>
        <v>6</v>
      </c>
      <c r="GO43">
        <f t="shared" si="85"/>
        <v>0</v>
      </c>
      <c r="GP43">
        <f t="shared" si="86"/>
        <v>0</v>
      </c>
      <c r="GR43">
        <v>0</v>
      </c>
      <c r="GS43">
        <v>3</v>
      </c>
      <c r="GT43">
        <v>0</v>
      </c>
      <c r="GU43" t="s">
        <v>242</v>
      </c>
      <c r="GV43">
        <f t="shared" si="87"/>
        <v>0</v>
      </c>
      <c r="GW43">
        <v>1</v>
      </c>
      <c r="GX43">
        <f t="shared" si="88"/>
        <v>0</v>
      </c>
      <c r="HA43">
        <v>0</v>
      </c>
      <c r="HB43">
        <v>0</v>
      </c>
      <c r="HC43">
        <f t="shared" si="89"/>
        <v>0</v>
      </c>
      <c r="HE43" t="s">
        <v>242</v>
      </c>
      <c r="HF43" t="s">
        <v>242</v>
      </c>
      <c r="HI43">
        <f t="shared" si="90"/>
        <v>0</v>
      </c>
      <c r="HJ43">
        <f t="shared" si="91"/>
        <v>0</v>
      </c>
      <c r="HK43">
        <f t="shared" si="92"/>
        <v>0</v>
      </c>
      <c r="HL43">
        <f t="shared" si="93"/>
        <v>0</v>
      </c>
      <c r="HM43" t="s">
        <v>242</v>
      </c>
      <c r="HN43" t="s">
        <v>79</v>
      </c>
      <c r="HO43" t="s">
        <v>81</v>
      </c>
      <c r="HP43" t="s">
        <v>295</v>
      </c>
      <c r="HQ43" t="s">
        <v>295</v>
      </c>
      <c r="IK43">
        <v>0</v>
      </c>
    </row>
    <row r="44">
      <c r="A44">
        <v>18</v>
      </c>
      <c r="B44">
        <v>1</v>
      </c>
      <c r="C44">
        <v>88</v>
      </c>
      <c r="E44" t="s">
        <v>336</v>
      </c>
      <c r="F44" t="s">
        <v>337</v>
      </c>
      <c r="G44" t="s">
        <v>338</v>
      </c>
      <c r="H44" t="s">
        <v>327</v>
      </c>
      <c r="I44">
        <f>I42*J44</f>
        <v>4.9899999999999993</v>
      </c>
      <c r="J44">
        <v>99.799999999999997</v>
      </c>
      <c r="K44">
        <v>99.799999999999997</v>
      </c>
      <c r="O44">
        <f t="shared" si="50"/>
        <v>217.16</v>
      </c>
      <c r="P44">
        <f t="shared" si="104"/>
        <v>217.16</v>
      </c>
      <c r="Q44">
        <f t="shared" si="52"/>
        <v>0</v>
      </c>
      <c r="R44">
        <f t="shared" si="53"/>
        <v>0</v>
      </c>
      <c r="S44">
        <f t="shared" si="54"/>
        <v>0</v>
      </c>
      <c r="T44">
        <f t="shared" si="55"/>
        <v>0</v>
      </c>
      <c r="U44">
        <f t="shared" si="56"/>
        <v>0</v>
      </c>
      <c r="V44">
        <f t="shared" si="57"/>
        <v>0</v>
      </c>
      <c r="W44">
        <f t="shared" si="58"/>
        <v>0</v>
      </c>
      <c r="X44">
        <f t="shared" si="59"/>
        <v>0</v>
      </c>
      <c r="Y44">
        <f t="shared" si="60"/>
        <v>0</v>
      </c>
      <c r="AA44">
        <v>65099320</v>
      </c>
      <c r="AB44">
        <f t="shared" si="61"/>
        <v>43.520000000000003</v>
      </c>
      <c r="AC44">
        <f t="shared" si="94"/>
        <v>43.520000000000003</v>
      </c>
      <c r="AD44">
        <f t="shared" si="95"/>
        <v>0</v>
      </c>
      <c r="AE44">
        <f t="shared" si="96"/>
        <v>0</v>
      </c>
      <c r="AF44">
        <f t="shared" si="97"/>
        <v>0</v>
      </c>
      <c r="AG44">
        <f t="shared" si="66"/>
        <v>0</v>
      </c>
      <c r="AH44">
        <f t="shared" si="98"/>
        <v>0</v>
      </c>
      <c r="AI44">
        <f t="shared" si="99"/>
        <v>0</v>
      </c>
      <c r="AJ44">
        <f t="shared" si="69"/>
        <v>0</v>
      </c>
      <c r="AK44">
        <v>43.520000000000003</v>
      </c>
      <c r="AL44">
        <v>43.520000000000003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121</v>
      </c>
      <c r="AU44">
        <v>72</v>
      </c>
      <c r="AV44">
        <v>1</v>
      </c>
      <c r="AW44">
        <v>1</v>
      </c>
      <c r="AZ44">
        <v>1</v>
      </c>
      <c r="BA44">
        <v>1</v>
      </c>
      <c r="BB44">
        <v>1</v>
      </c>
      <c r="BC44">
        <v>1</v>
      </c>
      <c r="BD44" t="s">
        <v>242</v>
      </c>
      <c r="BE44" t="s">
        <v>242</v>
      </c>
      <c r="BF44" t="s">
        <v>242</v>
      </c>
      <c r="BG44" t="s">
        <v>242</v>
      </c>
      <c r="BH44">
        <v>3</v>
      </c>
      <c r="BI44">
        <v>1</v>
      </c>
      <c r="BJ44" t="s">
        <v>339</v>
      </c>
      <c r="BM44">
        <v>16001</v>
      </c>
      <c r="BN44">
        <v>0</v>
      </c>
      <c r="BO44" t="s">
        <v>242</v>
      </c>
      <c r="BP44">
        <v>0</v>
      </c>
      <c r="BQ44">
        <v>2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242</v>
      </c>
      <c r="BZ44">
        <v>121</v>
      </c>
      <c r="CA44">
        <v>72</v>
      </c>
      <c r="CB44" t="s">
        <v>242</v>
      </c>
      <c r="CE44">
        <v>0</v>
      </c>
      <c r="CF44">
        <v>0</v>
      </c>
      <c r="CG44">
        <v>0</v>
      </c>
      <c r="CM44">
        <v>0</v>
      </c>
      <c r="CN44" t="s">
        <v>242</v>
      </c>
      <c r="CO44">
        <v>0</v>
      </c>
      <c r="CP44">
        <f t="shared" si="70"/>
        <v>217.16</v>
      </c>
      <c r="CQ44">
        <f t="shared" si="105"/>
        <v>43.520000000000003</v>
      </c>
      <c r="CR44">
        <f t="shared" si="106"/>
        <v>0</v>
      </c>
      <c r="CS44">
        <f t="shared" si="73"/>
        <v>0</v>
      </c>
      <c r="CT44">
        <f t="shared" si="74"/>
        <v>0</v>
      </c>
      <c r="CU44">
        <f t="shared" si="75"/>
        <v>0</v>
      </c>
      <c r="CV44">
        <f t="shared" si="76"/>
        <v>0</v>
      </c>
      <c r="CW44">
        <f t="shared" si="77"/>
        <v>0</v>
      </c>
      <c r="CX44">
        <f t="shared" si="78"/>
        <v>0</v>
      </c>
      <c r="CY44">
        <f t="shared" si="79"/>
        <v>0</v>
      </c>
      <c r="CZ44">
        <f t="shared" si="80"/>
        <v>0</v>
      </c>
      <c r="DC44" t="s">
        <v>242</v>
      </c>
      <c r="DD44" t="s">
        <v>242</v>
      </c>
      <c r="DE44" t="s">
        <v>242</v>
      </c>
      <c r="DF44" t="s">
        <v>242</v>
      </c>
      <c r="DG44" t="s">
        <v>242</v>
      </c>
      <c r="DH44" t="s">
        <v>242</v>
      </c>
      <c r="DI44" t="s">
        <v>242</v>
      </c>
      <c r="DJ44" t="s">
        <v>242</v>
      </c>
      <c r="DK44" t="s">
        <v>242</v>
      </c>
      <c r="DL44" t="s">
        <v>242</v>
      </c>
      <c r="DM44" t="s">
        <v>242</v>
      </c>
      <c r="DN44">
        <v>0</v>
      </c>
      <c r="DO44">
        <v>0</v>
      </c>
      <c r="DP44">
        <v>1</v>
      </c>
      <c r="DQ44">
        <v>1</v>
      </c>
      <c r="DU44">
        <v>1003</v>
      </c>
      <c r="DV44" t="s">
        <v>327</v>
      </c>
      <c r="DW44" t="s">
        <v>327</v>
      </c>
      <c r="DX44">
        <v>1</v>
      </c>
      <c r="DZ44" t="s">
        <v>242</v>
      </c>
      <c r="EA44" t="s">
        <v>242</v>
      </c>
      <c r="EB44" t="s">
        <v>242</v>
      </c>
      <c r="EC44" t="s">
        <v>242</v>
      </c>
      <c r="EE44">
        <v>59733704</v>
      </c>
      <c r="EF44">
        <v>2</v>
      </c>
      <c r="EG44" t="s">
        <v>271</v>
      </c>
      <c r="EH44">
        <v>16</v>
      </c>
      <c r="EI44" t="s">
        <v>295</v>
      </c>
      <c r="EJ44">
        <v>1</v>
      </c>
      <c r="EK44">
        <v>16001</v>
      </c>
      <c r="EL44" t="s">
        <v>317</v>
      </c>
      <c r="EM44" t="s">
        <v>318</v>
      </c>
      <c r="EO44" t="s">
        <v>242</v>
      </c>
      <c r="EQ44">
        <v>0</v>
      </c>
      <c r="ER44">
        <v>43.520000000000003</v>
      </c>
      <c r="ES44">
        <v>43.520000000000003</v>
      </c>
      <c r="ET44">
        <v>0</v>
      </c>
      <c r="EU44">
        <v>0</v>
      </c>
      <c r="EV44">
        <v>0</v>
      </c>
      <c r="EW44">
        <v>0</v>
      </c>
      <c r="EX44">
        <v>0</v>
      </c>
      <c r="FQ44">
        <v>0</v>
      </c>
      <c r="FR44">
        <f t="shared" si="81"/>
        <v>0</v>
      </c>
      <c r="FS44">
        <v>0</v>
      </c>
      <c r="FX44">
        <v>121</v>
      </c>
      <c r="FY44">
        <v>72</v>
      </c>
      <c r="GA44" t="s">
        <v>242</v>
      </c>
      <c r="GD44">
        <v>1</v>
      </c>
      <c r="GF44">
        <v>-181672022</v>
      </c>
      <c r="GG44">
        <v>2</v>
      </c>
      <c r="GH44">
        <v>1</v>
      </c>
      <c r="GI44">
        <v>4</v>
      </c>
      <c r="GJ44">
        <v>0</v>
      </c>
      <c r="GK44">
        <v>0</v>
      </c>
      <c r="GL44">
        <f t="shared" si="82"/>
        <v>0</v>
      </c>
      <c r="GM44">
        <f t="shared" si="83"/>
        <v>217.16</v>
      </c>
      <c r="GN44">
        <f t="shared" si="84"/>
        <v>217.16</v>
      </c>
      <c r="GO44">
        <f t="shared" si="85"/>
        <v>0</v>
      </c>
      <c r="GP44">
        <f t="shared" si="86"/>
        <v>0</v>
      </c>
      <c r="GR44">
        <v>0</v>
      </c>
      <c r="GS44">
        <v>3</v>
      </c>
      <c r="GT44">
        <v>0</v>
      </c>
      <c r="GU44" t="s">
        <v>242</v>
      </c>
      <c r="GV44">
        <f t="shared" si="87"/>
        <v>0</v>
      </c>
      <c r="GW44">
        <v>1</v>
      </c>
      <c r="GX44">
        <f t="shared" si="88"/>
        <v>0</v>
      </c>
      <c r="HA44">
        <v>0</v>
      </c>
      <c r="HB44">
        <v>0</v>
      </c>
      <c r="HC44">
        <f t="shared" si="89"/>
        <v>0</v>
      </c>
      <c r="HE44" t="s">
        <v>242</v>
      </c>
      <c r="HF44" t="s">
        <v>242</v>
      </c>
      <c r="HI44">
        <f t="shared" si="90"/>
        <v>0</v>
      </c>
      <c r="HJ44">
        <f t="shared" si="91"/>
        <v>0</v>
      </c>
      <c r="HK44">
        <f t="shared" si="92"/>
        <v>0</v>
      </c>
      <c r="HL44">
        <f t="shared" si="93"/>
        <v>0</v>
      </c>
      <c r="HM44" t="s">
        <v>242</v>
      </c>
      <c r="HN44" t="s">
        <v>79</v>
      </c>
      <c r="HO44" t="s">
        <v>81</v>
      </c>
      <c r="HP44" t="s">
        <v>295</v>
      </c>
      <c r="HQ44" t="s">
        <v>295</v>
      </c>
      <c r="IK44">
        <v>0</v>
      </c>
    </row>
    <row r="45">
      <c r="A45">
        <v>18</v>
      </c>
      <c r="B45">
        <v>1</v>
      </c>
      <c r="C45">
        <v>89</v>
      </c>
      <c r="E45" t="s">
        <v>340</v>
      </c>
      <c r="F45" t="s">
        <v>201</v>
      </c>
      <c r="G45" t="s">
        <v>330</v>
      </c>
      <c r="H45" t="s">
        <v>312</v>
      </c>
      <c r="I45">
        <f>I42*J45</f>
        <v>5</v>
      </c>
      <c r="J45">
        <v>100</v>
      </c>
      <c r="K45">
        <v>100</v>
      </c>
      <c r="O45">
        <f t="shared" si="50"/>
        <v>34.910000000000004</v>
      </c>
      <c r="P45">
        <f>ROUND(ROUND(CQ45*I45,2)/BC45,2)</f>
        <v>34.910000000000004</v>
      </c>
      <c r="Q45">
        <f t="shared" si="52"/>
        <v>0</v>
      </c>
      <c r="R45">
        <f t="shared" si="53"/>
        <v>0</v>
      </c>
      <c r="S45">
        <f t="shared" si="54"/>
        <v>0</v>
      </c>
      <c r="T45">
        <f t="shared" si="55"/>
        <v>0</v>
      </c>
      <c r="U45">
        <f t="shared" si="56"/>
        <v>0</v>
      </c>
      <c r="V45">
        <f t="shared" si="57"/>
        <v>0</v>
      </c>
      <c r="W45">
        <f t="shared" si="58"/>
        <v>0</v>
      </c>
      <c r="X45">
        <f t="shared" si="59"/>
        <v>0</v>
      </c>
      <c r="Y45">
        <f t="shared" si="60"/>
        <v>0</v>
      </c>
      <c r="AA45">
        <v>65099320</v>
      </c>
      <c r="AB45">
        <f t="shared" si="61"/>
        <v>66.670000000000002</v>
      </c>
      <c r="AC45">
        <f t="shared" si="94"/>
        <v>66.670000000000002</v>
      </c>
      <c r="AD45">
        <f t="shared" si="95"/>
        <v>0</v>
      </c>
      <c r="AE45">
        <f t="shared" si="96"/>
        <v>0</v>
      </c>
      <c r="AF45">
        <f t="shared" si="97"/>
        <v>0</v>
      </c>
      <c r="AG45">
        <f t="shared" si="66"/>
        <v>0</v>
      </c>
      <c r="AH45">
        <f t="shared" si="98"/>
        <v>0</v>
      </c>
      <c r="AI45">
        <f t="shared" si="99"/>
        <v>0</v>
      </c>
      <c r="AJ45">
        <f t="shared" si="69"/>
        <v>0</v>
      </c>
      <c r="AK45">
        <v>66.670000000000002</v>
      </c>
      <c r="AL45">
        <v>66.670000000000002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121</v>
      </c>
      <c r="AU45">
        <v>72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9.5500000000000007</v>
      </c>
      <c r="BD45" t="s">
        <v>242</v>
      </c>
      <c r="BE45" t="s">
        <v>242</v>
      </c>
      <c r="BF45" t="s">
        <v>242</v>
      </c>
      <c r="BG45" t="s">
        <v>242</v>
      </c>
      <c r="BH45">
        <v>3</v>
      </c>
      <c r="BI45">
        <v>1</v>
      </c>
      <c r="BJ45" t="s">
        <v>242</v>
      </c>
      <c r="BM45">
        <v>16001</v>
      </c>
      <c r="BN45">
        <v>0</v>
      </c>
      <c r="BO45" t="s">
        <v>242</v>
      </c>
      <c r="BP45">
        <v>0</v>
      </c>
      <c r="BQ45">
        <v>2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242</v>
      </c>
      <c r="BZ45">
        <v>121</v>
      </c>
      <c r="CA45">
        <v>72</v>
      </c>
      <c r="CB45" t="s">
        <v>242</v>
      </c>
      <c r="CE45">
        <v>0</v>
      </c>
      <c r="CF45">
        <v>0</v>
      </c>
      <c r="CG45">
        <v>0</v>
      </c>
      <c r="CM45">
        <v>0</v>
      </c>
      <c r="CN45" t="s">
        <v>242</v>
      </c>
      <c r="CO45">
        <v>0</v>
      </c>
      <c r="CP45">
        <f t="shared" si="70"/>
        <v>34.910000000000004</v>
      </c>
      <c r="CQ45">
        <f>AC45</f>
        <v>66.670000000000002</v>
      </c>
      <c r="CR45">
        <f>(((ET45)-(EU45))+AE45)</f>
        <v>0</v>
      </c>
      <c r="CS45">
        <f t="shared" si="73"/>
        <v>0</v>
      </c>
      <c r="CT45">
        <f t="shared" si="74"/>
        <v>0</v>
      </c>
      <c r="CU45">
        <f t="shared" si="75"/>
        <v>0</v>
      </c>
      <c r="CV45">
        <f t="shared" si="76"/>
        <v>0</v>
      </c>
      <c r="CW45">
        <f t="shared" si="77"/>
        <v>0</v>
      </c>
      <c r="CX45">
        <f t="shared" si="78"/>
        <v>0</v>
      </c>
      <c r="CY45">
        <f t="shared" si="79"/>
        <v>0</v>
      </c>
      <c r="CZ45">
        <f t="shared" si="80"/>
        <v>0</v>
      </c>
      <c r="DC45" t="s">
        <v>242</v>
      </c>
      <c r="DD45" t="s">
        <v>242</v>
      </c>
      <c r="DE45" t="s">
        <v>242</v>
      </c>
      <c r="DF45" t="s">
        <v>242</v>
      </c>
      <c r="DG45" t="s">
        <v>242</v>
      </c>
      <c r="DH45" t="s">
        <v>242</v>
      </c>
      <c r="DI45" t="s">
        <v>242</v>
      </c>
      <c r="DJ45" t="s">
        <v>242</v>
      </c>
      <c r="DK45" t="s">
        <v>242</v>
      </c>
      <c r="DL45" t="s">
        <v>242</v>
      </c>
      <c r="DM45" t="s">
        <v>242</v>
      </c>
      <c r="DN45">
        <v>0</v>
      </c>
      <c r="DO45">
        <v>0</v>
      </c>
      <c r="DP45">
        <v>1</v>
      </c>
      <c r="DQ45">
        <v>1</v>
      </c>
      <c r="DU45">
        <v>1013</v>
      </c>
      <c r="DV45" t="s">
        <v>312</v>
      </c>
      <c r="DW45" t="s">
        <v>312</v>
      </c>
      <c r="DX45">
        <v>1</v>
      </c>
      <c r="DZ45" t="s">
        <v>242</v>
      </c>
      <c r="EA45" t="s">
        <v>242</v>
      </c>
      <c r="EB45" t="s">
        <v>242</v>
      </c>
      <c r="EC45" t="s">
        <v>242</v>
      </c>
      <c r="EE45">
        <v>59733704</v>
      </c>
      <c r="EF45">
        <v>2</v>
      </c>
      <c r="EG45" t="s">
        <v>271</v>
      </c>
      <c r="EH45">
        <v>16</v>
      </c>
      <c r="EI45" t="s">
        <v>295</v>
      </c>
      <c r="EJ45">
        <v>1</v>
      </c>
      <c r="EK45">
        <v>16001</v>
      </c>
      <c r="EL45" t="s">
        <v>317</v>
      </c>
      <c r="EM45" t="s">
        <v>318</v>
      </c>
      <c r="EO45" t="s">
        <v>242</v>
      </c>
      <c r="EQ45">
        <v>0</v>
      </c>
      <c r="ER45">
        <v>66.670000000000002</v>
      </c>
      <c r="ES45">
        <v>66.670000000000002</v>
      </c>
      <c r="ET45">
        <v>0</v>
      </c>
      <c r="EU45">
        <v>0</v>
      </c>
      <c r="EV45">
        <v>0</v>
      </c>
      <c r="EW45">
        <v>0</v>
      </c>
      <c r="EX45">
        <v>0</v>
      </c>
      <c r="EZ45">
        <v>5</v>
      </c>
      <c r="FC45">
        <v>1</v>
      </c>
      <c r="FD45">
        <v>18</v>
      </c>
      <c r="FF45">
        <v>80</v>
      </c>
      <c r="FQ45">
        <v>0</v>
      </c>
      <c r="FR45">
        <f t="shared" si="81"/>
        <v>0</v>
      </c>
      <c r="FS45">
        <v>0</v>
      </c>
      <c r="FX45">
        <v>121</v>
      </c>
      <c r="FY45">
        <v>72</v>
      </c>
      <c r="GA45" t="s">
        <v>331</v>
      </c>
      <c r="GD45">
        <v>1</v>
      </c>
      <c r="GF45">
        <v>2066278353</v>
      </c>
      <c r="GG45">
        <v>2</v>
      </c>
      <c r="GH45">
        <v>3</v>
      </c>
      <c r="GI45">
        <v>4</v>
      </c>
      <c r="GJ45">
        <v>0</v>
      </c>
      <c r="GK45">
        <v>0</v>
      </c>
      <c r="GL45">
        <f t="shared" si="82"/>
        <v>0</v>
      </c>
      <c r="GM45">
        <f t="shared" si="83"/>
        <v>34.910000000000004</v>
      </c>
      <c r="GN45">
        <f t="shared" si="84"/>
        <v>34.910000000000004</v>
      </c>
      <c r="GO45">
        <f t="shared" si="85"/>
        <v>0</v>
      </c>
      <c r="GP45">
        <f t="shared" si="86"/>
        <v>0</v>
      </c>
      <c r="GR45">
        <v>1</v>
      </c>
      <c r="GS45">
        <v>1</v>
      </c>
      <c r="GT45">
        <v>0</v>
      </c>
      <c r="GU45" t="s">
        <v>242</v>
      </c>
      <c r="GV45">
        <f t="shared" si="87"/>
        <v>0</v>
      </c>
      <c r="GW45">
        <v>1</v>
      </c>
      <c r="GX45">
        <f t="shared" si="88"/>
        <v>0</v>
      </c>
      <c r="HA45">
        <v>0</v>
      </c>
      <c r="HB45">
        <v>0</v>
      </c>
      <c r="HC45">
        <f t="shared" si="89"/>
        <v>0</v>
      </c>
      <c r="HE45" t="s">
        <v>302</v>
      </c>
      <c r="HF45" t="s">
        <v>302</v>
      </c>
      <c r="HG45">
        <f>ROUND(AC45*I45,2)</f>
        <v>333.35000000000002</v>
      </c>
      <c r="HI45">
        <f t="shared" si="90"/>
        <v>0</v>
      </c>
      <c r="HJ45">
        <f t="shared" si="91"/>
        <v>0</v>
      </c>
      <c r="HK45">
        <f t="shared" si="92"/>
        <v>0</v>
      </c>
      <c r="HL45">
        <f t="shared" si="93"/>
        <v>0</v>
      </c>
      <c r="HM45" t="s">
        <v>242</v>
      </c>
      <c r="HN45" t="s">
        <v>79</v>
      </c>
      <c r="HO45" t="s">
        <v>81</v>
      </c>
      <c r="HP45" t="s">
        <v>295</v>
      </c>
      <c r="HQ45" t="s">
        <v>295</v>
      </c>
      <c r="IK45">
        <v>0</v>
      </c>
    </row>
    <row r="46">
      <c r="A46">
        <v>17</v>
      </c>
      <c r="B46">
        <v>1</v>
      </c>
      <c r="C46">
        <f>ROW(SmtRes!A101)</f>
        <v>101</v>
      </c>
      <c r="D46">
        <f>ROW(EtalonRes!A112)</f>
        <v>112</v>
      </c>
      <c r="E46" t="s">
        <v>98</v>
      </c>
      <c r="F46" t="s">
        <v>341</v>
      </c>
      <c r="G46" t="s">
        <v>342</v>
      </c>
      <c r="H46" t="s">
        <v>283</v>
      </c>
      <c r="I46">
        <f>ROUND(30/100,7)</f>
        <v>0.29999999999999999</v>
      </c>
      <c r="J46">
        <v>0</v>
      </c>
      <c r="K46">
        <f>ROUND(30/100,7)</f>
        <v>0.29999999999999999</v>
      </c>
      <c r="O46">
        <f t="shared" si="50"/>
        <v>72.570000000000007</v>
      </c>
      <c r="P46">
        <f t="shared" ref="P46:P49" si="107">ROUND(CQ46*I46,2)</f>
        <v>23.25</v>
      </c>
      <c r="Q46">
        <f t="shared" si="52"/>
        <v>12.15</v>
      </c>
      <c r="R46">
        <f t="shared" si="53"/>
        <v>0.14999999999999999</v>
      </c>
      <c r="S46">
        <f t="shared" si="54"/>
        <v>37.170000000000002</v>
      </c>
      <c r="T46">
        <f t="shared" si="55"/>
        <v>0</v>
      </c>
      <c r="U46">
        <f t="shared" si="56"/>
        <v>3.9539999999999997</v>
      </c>
      <c r="V46">
        <f t="shared" si="57"/>
        <v>0.012</v>
      </c>
      <c r="W46">
        <f t="shared" si="58"/>
        <v>0</v>
      </c>
      <c r="X46">
        <f t="shared" si="59"/>
        <v>45.160000000000004</v>
      </c>
      <c r="Y46">
        <f t="shared" si="60"/>
        <v>26.870000000000001</v>
      </c>
      <c r="AA46">
        <v>65099320</v>
      </c>
      <c r="AB46">
        <f t="shared" si="61"/>
        <v>241.91</v>
      </c>
      <c r="AC46">
        <f t="shared" si="94"/>
        <v>77.510000000000005</v>
      </c>
      <c r="AD46">
        <f t="shared" si="95"/>
        <v>40.509999999999998</v>
      </c>
      <c r="AE46">
        <f t="shared" si="96"/>
        <v>0.48999999999999999</v>
      </c>
      <c r="AF46">
        <f t="shared" si="97"/>
        <v>123.89</v>
      </c>
      <c r="AG46">
        <f t="shared" si="66"/>
        <v>0</v>
      </c>
      <c r="AH46">
        <f t="shared" si="98"/>
        <v>13.18</v>
      </c>
      <c r="AI46">
        <f t="shared" si="99"/>
        <v>0.040000000000000001</v>
      </c>
      <c r="AJ46">
        <f t="shared" si="69"/>
        <v>0</v>
      </c>
      <c r="AK46">
        <v>241.91</v>
      </c>
      <c r="AL46">
        <v>77.510000000000005</v>
      </c>
      <c r="AM46">
        <v>40.509999999999998</v>
      </c>
      <c r="AN46">
        <v>0.48999999999999999</v>
      </c>
      <c r="AO46">
        <v>123.89</v>
      </c>
      <c r="AP46">
        <v>0</v>
      </c>
      <c r="AQ46">
        <v>13.18</v>
      </c>
      <c r="AR46">
        <v>0.040000000000000001</v>
      </c>
      <c r="AS46">
        <v>0</v>
      </c>
      <c r="AT46">
        <v>121</v>
      </c>
      <c r="AU46">
        <v>72</v>
      </c>
      <c r="AV46">
        <v>1</v>
      </c>
      <c r="AW46">
        <v>1</v>
      </c>
      <c r="AZ46">
        <v>1</v>
      </c>
      <c r="BA46">
        <v>55.32</v>
      </c>
      <c r="BB46">
        <v>1</v>
      </c>
      <c r="BC46">
        <v>1</v>
      </c>
      <c r="BD46" t="s">
        <v>242</v>
      </c>
      <c r="BE46" t="s">
        <v>242</v>
      </c>
      <c r="BF46" t="s">
        <v>242</v>
      </c>
      <c r="BG46" t="s">
        <v>242</v>
      </c>
      <c r="BH46">
        <v>0</v>
      </c>
      <c r="BI46">
        <v>1</v>
      </c>
      <c r="BJ46" t="s">
        <v>343</v>
      </c>
      <c r="BM46">
        <v>16001</v>
      </c>
      <c r="BN46">
        <v>0</v>
      </c>
      <c r="BO46" t="s">
        <v>257</v>
      </c>
      <c r="BP46">
        <v>1</v>
      </c>
      <c r="BQ46">
        <v>2</v>
      </c>
      <c r="BR46">
        <v>0</v>
      </c>
      <c r="BS46">
        <v>55.32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242</v>
      </c>
      <c r="BZ46">
        <v>121</v>
      </c>
      <c r="CA46">
        <v>72</v>
      </c>
      <c r="CB46" t="s">
        <v>242</v>
      </c>
      <c r="CE46">
        <v>0</v>
      </c>
      <c r="CF46">
        <v>0</v>
      </c>
      <c r="CG46">
        <v>0</v>
      </c>
      <c r="CM46">
        <v>0</v>
      </c>
      <c r="CN46" t="s">
        <v>242</v>
      </c>
      <c r="CO46">
        <v>0</v>
      </c>
      <c r="CP46">
        <f t="shared" si="70"/>
        <v>72.569999999999993</v>
      </c>
      <c r="CQ46">
        <f t="shared" ref="CQ46:CQ49" si="108">AC46*BC46</f>
        <v>77.510000000000005</v>
      </c>
      <c r="CR46">
        <f t="shared" ref="CR46:CR49" si="109">(((ET46)*BB46-(EU46))+AE46)</f>
        <v>40.509999999999998</v>
      </c>
      <c r="CS46">
        <f t="shared" si="73"/>
        <v>0.48999999999999999</v>
      </c>
      <c r="CT46">
        <f t="shared" si="74"/>
        <v>123.89</v>
      </c>
      <c r="CU46">
        <f t="shared" si="75"/>
        <v>0</v>
      </c>
      <c r="CV46">
        <f t="shared" si="76"/>
        <v>13.18</v>
      </c>
      <c r="CW46">
        <f t="shared" si="77"/>
        <v>0.040000000000000001</v>
      </c>
      <c r="CX46">
        <f t="shared" si="78"/>
        <v>0</v>
      </c>
      <c r="CY46">
        <f t="shared" si="79"/>
        <v>45.157200000000003</v>
      </c>
      <c r="CZ46">
        <f t="shared" si="80"/>
        <v>26.8704</v>
      </c>
      <c r="DC46" t="s">
        <v>242</v>
      </c>
      <c r="DD46" t="s">
        <v>242</v>
      </c>
      <c r="DE46" t="s">
        <v>242</v>
      </c>
      <c r="DF46" t="s">
        <v>242</v>
      </c>
      <c r="DG46" t="s">
        <v>242</v>
      </c>
      <c r="DH46" t="s">
        <v>242</v>
      </c>
      <c r="DI46" t="s">
        <v>242</v>
      </c>
      <c r="DJ46" t="s">
        <v>242</v>
      </c>
      <c r="DK46" t="s">
        <v>242</v>
      </c>
      <c r="DL46" t="s">
        <v>242</v>
      </c>
      <c r="DM46" t="s">
        <v>242</v>
      </c>
      <c r="DN46">
        <v>0</v>
      </c>
      <c r="DO46">
        <v>0</v>
      </c>
      <c r="DP46">
        <v>1</v>
      </c>
      <c r="DQ46">
        <v>1</v>
      </c>
      <c r="DU46">
        <v>1003</v>
      </c>
      <c r="DV46" t="s">
        <v>283</v>
      </c>
      <c r="DW46" t="s">
        <v>283</v>
      </c>
      <c r="DX46">
        <v>100</v>
      </c>
      <c r="DZ46" t="s">
        <v>242</v>
      </c>
      <c r="EA46" t="s">
        <v>242</v>
      </c>
      <c r="EB46" t="s">
        <v>242</v>
      </c>
      <c r="EC46" t="s">
        <v>242</v>
      </c>
      <c r="EE46">
        <v>59733704</v>
      </c>
      <c r="EF46">
        <v>2</v>
      </c>
      <c r="EG46" t="s">
        <v>271</v>
      </c>
      <c r="EH46">
        <v>16</v>
      </c>
      <c r="EI46" t="s">
        <v>295</v>
      </c>
      <c r="EJ46">
        <v>1</v>
      </c>
      <c r="EK46">
        <v>16001</v>
      </c>
      <c r="EL46" t="s">
        <v>317</v>
      </c>
      <c r="EM46" t="s">
        <v>318</v>
      </c>
      <c r="EO46" t="s">
        <v>242</v>
      </c>
      <c r="EQ46">
        <v>0</v>
      </c>
      <c r="ER46">
        <v>241.91</v>
      </c>
      <c r="ES46">
        <v>77.510000000000005</v>
      </c>
      <c r="ET46">
        <v>40.509999999999998</v>
      </c>
      <c r="EU46">
        <v>0.48999999999999999</v>
      </c>
      <c r="EV46">
        <v>123.89</v>
      </c>
      <c r="EW46">
        <v>13.18</v>
      </c>
      <c r="EX46">
        <v>0.040000000000000001</v>
      </c>
      <c r="EY46">
        <v>0</v>
      </c>
      <c r="FQ46">
        <v>0</v>
      </c>
      <c r="FR46">
        <f t="shared" si="81"/>
        <v>0</v>
      </c>
      <c r="FS46">
        <v>0</v>
      </c>
      <c r="FX46">
        <v>121</v>
      </c>
      <c r="FY46">
        <v>72</v>
      </c>
      <c r="GA46" t="s">
        <v>242</v>
      </c>
      <c r="GD46">
        <v>1</v>
      </c>
      <c r="GF46">
        <v>-1106420030</v>
      </c>
      <c r="GG46">
        <v>2</v>
      </c>
      <c r="GH46">
        <v>1</v>
      </c>
      <c r="GI46">
        <v>4</v>
      </c>
      <c r="GJ46">
        <v>0</v>
      </c>
      <c r="GK46">
        <v>0</v>
      </c>
      <c r="GL46">
        <f t="shared" si="82"/>
        <v>0</v>
      </c>
      <c r="GM46">
        <f t="shared" si="83"/>
        <v>144.59999999999999</v>
      </c>
      <c r="GN46">
        <f t="shared" si="84"/>
        <v>144.59999999999999</v>
      </c>
      <c r="GO46">
        <f t="shared" si="85"/>
        <v>0</v>
      </c>
      <c r="GP46">
        <f t="shared" si="86"/>
        <v>0</v>
      </c>
      <c r="GR46">
        <v>0</v>
      </c>
      <c r="GS46">
        <v>3</v>
      </c>
      <c r="GT46">
        <v>0</v>
      </c>
      <c r="GU46" t="s">
        <v>242</v>
      </c>
      <c r="GV46">
        <f t="shared" si="87"/>
        <v>0</v>
      </c>
      <c r="GW46">
        <v>1</v>
      </c>
      <c r="GX46">
        <f t="shared" si="88"/>
        <v>0</v>
      </c>
      <c r="HA46">
        <v>0</v>
      </c>
      <c r="HB46">
        <v>0</v>
      </c>
      <c r="HC46">
        <f t="shared" si="89"/>
        <v>0</v>
      </c>
      <c r="HE46" t="s">
        <v>242</v>
      </c>
      <c r="HF46" t="s">
        <v>242</v>
      </c>
      <c r="HI46">
        <f t="shared" si="90"/>
        <v>8.3000000000000007</v>
      </c>
      <c r="HJ46">
        <f t="shared" si="91"/>
        <v>2056.2400000000002</v>
      </c>
      <c r="HK46">
        <f t="shared" si="92"/>
        <v>2498.0900000000001</v>
      </c>
      <c r="HL46">
        <f t="shared" si="93"/>
        <v>1486.47</v>
      </c>
      <c r="HM46" t="s">
        <v>242</v>
      </c>
      <c r="HN46" t="s">
        <v>79</v>
      </c>
      <c r="HO46" t="s">
        <v>81</v>
      </c>
      <c r="HP46" t="s">
        <v>295</v>
      </c>
      <c r="HQ46" t="s">
        <v>295</v>
      </c>
      <c r="IK46">
        <v>0</v>
      </c>
    </row>
    <row r="47">
      <c r="A47">
        <v>18</v>
      </c>
      <c r="B47">
        <v>1</v>
      </c>
      <c r="C47">
        <v>98</v>
      </c>
      <c r="E47" t="s">
        <v>344</v>
      </c>
      <c r="F47" t="s">
        <v>345</v>
      </c>
      <c r="G47" t="s">
        <v>346</v>
      </c>
      <c r="H47" t="s">
        <v>312</v>
      </c>
      <c r="I47">
        <f>I46*J47</f>
        <v>13</v>
      </c>
      <c r="J47">
        <v>43.333333333333336</v>
      </c>
      <c r="K47">
        <v>43.3333333</v>
      </c>
      <c r="O47">
        <f t="shared" si="50"/>
        <v>432.63999999999999</v>
      </c>
      <c r="P47">
        <f t="shared" si="107"/>
        <v>432.63999999999999</v>
      </c>
      <c r="Q47">
        <f t="shared" si="52"/>
        <v>0</v>
      </c>
      <c r="R47">
        <f t="shared" si="53"/>
        <v>0</v>
      </c>
      <c r="S47">
        <f t="shared" si="54"/>
        <v>0</v>
      </c>
      <c r="T47">
        <f t="shared" si="55"/>
        <v>0</v>
      </c>
      <c r="U47">
        <f t="shared" si="56"/>
        <v>0</v>
      </c>
      <c r="V47">
        <f t="shared" si="57"/>
        <v>0</v>
      </c>
      <c r="W47">
        <f t="shared" si="58"/>
        <v>0</v>
      </c>
      <c r="X47">
        <f t="shared" si="59"/>
        <v>0</v>
      </c>
      <c r="Y47">
        <f t="shared" si="60"/>
        <v>0</v>
      </c>
      <c r="AA47">
        <v>65099320</v>
      </c>
      <c r="AB47">
        <f t="shared" si="61"/>
        <v>33.280000000000001</v>
      </c>
      <c r="AC47">
        <f t="shared" si="94"/>
        <v>33.280000000000001</v>
      </c>
      <c r="AD47">
        <f t="shared" si="95"/>
        <v>0</v>
      </c>
      <c r="AE47">
        <f t="shared" si="96"/>
        <v>0</v>
      </c>
      <c r="AF47">
        <f t="shared" si="97"/>
        <v>0</v>
      </c>
      <c r="AG47">
        <f t="shared" si="66"/>
        <v>0</v>
      </c>
      <c r="AH47">
        <f t="shared" si="98"/>
        <v>0</v>
      </c>
      <c r="AI47">
        <f t="shared" si="99"/>
        <v>0</v>
      </c>
      <c r="AJ47">
        <f t="shared" si="69"/>
        <v>0</v>
      </c>
      <c r="AK47">
        <v>33.280000000000001</v>
      </c>
      <c r="AL47">
        <v>33.280000000000001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121</v>
      </c>
      <c r="AU47">
        <v>72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242</v>
      </c>
      <c r="BE47" t="s">
        <v>242</v>
      </c>
      <c r="BF47" t="s">
        <v>242</v>
      </c>
      <c r="BG47" t="s">
        <v>242</v>
      </c>
      <c r="BH47">
        <v>3</v>
      </c>
      <c r="BI47">
        <v>1</v>
      </c>
      <c r="BJ47" t="s">
        <v>347</v>
      </c>
      <c r="BM47">
        <v>16001</v>
      </c>
      <c r="BN47">
        <v>0</v>
      </c>
      <c r="BO47" t="s">
        <v>242</v>
      </c>
      <c r="BP47">
        <v>0</v>
      </c>
      <c r="BQ47">
        <v>2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242</v>
      </c>
      <c r="BZ47">
        <v>121</v>
      </c>
      <c r="CA47">
        <v>72</v>
      </c>
      <c r="CB47" t="s">
        <v>242</v>
      </c>
      <c r="CE47">
        <v>0</v>
      </c>
      <c r="CF47">
        <v>0</v>
      </c>
      <c r="CG47">
        <v>0</v>
      </c>
      <c r="CM47">
        <v>0</v>
      </c>
      <c r="CN47" t="s">
        <v>242</v>
      </c>
      <c r="CO47">
        <v>0</v>
      </c>
      <c r="CP47">
        <f t="shared" si="70"/>
        <v>432.63999999999999</v>
      </c>
      <c r="CQ47">
        <f t="shared" si="108"/>
        <v>33.280000000000001</v>
      </c>
      <c r="CR47">
        <f t="shared" si="109"/>
        <v>0</v>
      </c>
      <c r="CS47">
        <f t="shared" si="73"/>
        <v>0</v>
      </c>
      <c r="CT47">
        <f t="shared" si="74"/>
        <v>0</v>
      </c>
      <c r="CU47">
        <f t="shared" si="75"/>
        <v>0</v>
      </c>
      <c r="CV47">
        <f t="shared" si="76"/>
        <v>0</v>
      </c>
      <c r="CW47">
        <f t="shared" si="77"/>
        <v>0</v>
      </c>
      <c r="CX47">
        <f t="shared" si="78"/>
        <v>0</v>
      </c>
      <c r="CY47">
        <f t="shared" si="79"/>
        <v>0</v>
      </c>
      <c r="CZ47">
        <f t="shared" si="80"/>
        <v>0</v>
      </c>
      <c r="DC47" t="s">
        <v>242</v>
      </c>
      <c r="DD47" t="s">
        <v>242</v>
      </c>
      <c r="DE47" t="s">
        <v>242</v>
      </c>
      <c r="DF47" t="s">
        <v>242</v>
      </c>
      <c r="DG47" t="s">
        <v>242</v>
      </c>
      <c r="DH47" t="s">
        <v>242</v>
      </c>
      <c r="DI47" t="s">
        <v>242</v>
      </c>
      <c r="DJ47" t="s">
        <v>242</v>
      </c>
      <c r="DK47" t="s">
        <v>242</v>
      </c>
      <c r="DL47" t="s">
        <v>242</v>
      </c>
      <c r="DM47" t="s">
        <v>242</v>
      </c>
      <c r="DN47">
        <v>0</v>
      </c>
      <c r="DO47">
        <v>0</v>
      </c>
      <c r="DP47">
        <v>1</v>
      </c>
      <c r="DQ47">
        <v>1</v>
      </c>
      <c r="DU47">
        <v>1013</v>
      </c>
      <c r="DV47" t="s">
        <v>312</v>
      </c>
      <c r="DW47" t="s">
        <v>312</v>
      </c>
      <c r="DX47">
        <v>1</v>
      </c>
      <c r="DZ47" t="s">
        <v>242</v>
      </c>
      <c r="EA47" t="s">
        <v>242</v>
      </c>
      <c r="EB47" t="s">
        <v>242</v>
      </c>
      <c r="EC47" t="s">
        <v>242</v>
      </c>
      <c r="EE47">
        <v>59733704</v>
      </c>
      <c r="EF47">
        <v>2</v>
      </c>
      <c r="EG47" t="s">
        <v>271</v>
      </c>
      <c r="EH47">
        <v>16</v>
      </c>
      <c r="EI47" t="s">
        <v>295</v>
      </c>
      <c r="EJ47">
        <v>1</v>
      </c>
      <c r="EK47">
        <v>16001</v>
      </c>
      <c r="EL47" t="s">
        <v>317</v>
      </c>
      <c r="EM47" t="s">
        <v>318</v>
      </c>
      <c r="EO47" t="s">
        <v>242</v>
      </c>
      <c r="EQ47">
        <v>0</v>
      </c>
      <c r="ER47">
        <v>33.280000000000001</v>
      </c>
      <c r="ES47">
        <v>33.280000000000001</v>
      </c>
      <c r="ET47">
        <v>0</v>
      </c>
      <c r="EU47">
        <v>0</v>
      </c>
      <c r="EV47">
        <v>0</v>
      </c>
      <c r="EW47">
        <v>0</v>
      </c>
      <c r="EX47">
        <v>0</v>
      </c>
      <c r="FQ47">
        <v>0</v>
      </c>
      <c r="FR47">
        <f t="shared" si="81"/>
        <v>0</v>
      </c>
      <c r="FS47">
        <v>0</v>
      </c>
      <c r="FX47">
        <v>121</v>
      </c>
      <c r="FY47">
        <v>72</v>
      </c>
      <c r="GA47" t="s">
        <v>242</v>
      </c>
      <c r="GD47">
        <v>1</v>
      </c>
      <c r="GF47">
        <v>-255248698</v>
      </c>
      <c r="GG47">
        <v>2</v>
      </c>
      <c r="GH47">
        <v>1</v>
      </c>
      <c r="GI47">
        <v>4</v>
      </c>
      <c r="GJ47">
        <v>0</v>
      </c>
      <c r="GK47">
        <v>0</v>
      </c>
      <c r="GL47">
        <f t="shared" si="82"/>
        <v>0</v>
      </c>
      <c r="GM47">
        <f t="shared" si="83"/>
        <v>432.63999999999999</v>
      </c>
      <c r="GN47">
        <f t="shared" si="84"/>
        <v>432.63999999999999</v>
      </c>
      <c r="GO47">
        <f t="shared" si="85"/>
        <v>0</v>
      </c>
      <c r="GP47">
        <f t="shared" si="86"/>
        <v>0</v>
      </c>
      <c r="GR47">
        <v>0</v>
      </c>
      <c r="GS47">
        <v>3</v>
      </c>
      <c r="GT47">
        <v>0</v>
      </c>
      <c r="GU47" t="s">
        <v>242</v>
      </c>
      <c r="GV47">
        <f t="shared" si="87"/>
        <v>0</v>
      </c>
      <c r="GW47">
        <v>1</v>
      </c>
      <c r="GX47">
        <f t="shared" si="88"/>
        <v>0</v>
      </c>
      <c r="HA47">
        <v>0</v>
      </c>
      <c r="HB47">
        <v>0</v>
      </c>
      <c r="HC47">
        <f t="shared" si="89"/>
        <v>0</v>
      </c>
      <c r="HE47" t="s">
        <v>242</v>
      </c>
      <c r="HF47" t="s">
        <v>242</v>
      </c>
      <c r="HI47">
        <f t="shared" si="90"/>
        <v>0</v>
      </c>
      <c r="HJ47">
        <f t="shared" si="91"/>
        <v>0</v>
      </c>
      <c r="HK47">
        <f t="shared" si="92"/>
        <v>0</v>
      </c>
      <c r="HL47">
        <f t="shared" si="93"/>
        <v>0</v>
      </c>
      <c r="HM47" t="s">
        <v>242</v>
      </c>
      <c r="HN47" t="s">
        <v>79</v>
      </c>
      <c r="HO47" t="s">
        <v>81</v>
      </c>
      <c r="HP47" t="s">
        <v>295</v>
      </c>
      <c r="HQ47" t="s">
        <v>295</v>
      </c>
      <c r="IK47">
        <v>0</v>
      </c>
    </row>
    <row r="48">
      <c r="A48">
        <v>18</v>
      </c>
      <c r="B48">
        <v>1</v>
      </c>
      <c r="C48">
        <v>99</v>
      </c>
      <c r="E48" t="s">
        <v>348</v>
      </c>
      <c r="F48" t="s">
        <v>349</v>
      </c>
      <c r="G48" t="s">
        <v>350</v>
      </c>
      <c r="H48" t="s">
        <v>312</v>
      </c>
      <c r="I48">
        <f>I46*J48</f>
        <v>30</v>
      </c>
      <c r="J48">
        <v>100</v>
      </c>
      <c r="K48">
        <v>100</v>
      </c>
      <c r="O48">
        <f t="shared" si="50"/>
        <v>311.10000000000002</v>
      </c>
      <c r="P48">
        <f t="shared" si="107"/>
        <v>311.10000000000002</v>
      </c>
      <c r="Q48">
        <f t="shared" si="52"/>
        <v>0</v>
      </c>
      <c r="R48">
        <f t="shared" si="53"/>
        <v>0</v>
      </c>
      <c r="S48">
        <f t="shared" si="54"/>
        <v>0</v>
      </c>
      <c r="T48">
        <f t="shared" si="55"/>
        <v>0</v>
      </c>
      <c r="U48">
        <f t="shared" si="56"/>
        <v>0</v>
      </c>
      <c r="V48">
        <f t="shared" si="57"/>
        <v>0</v>
      </c>
      <c r="W48">
        <f t="shared" si="58"/>
        <v>0</v>
      </c>
      <c r="X48">
        <f t="shared" si="59"/>
        <v>0</v>
      </c>
      <c r="Y48">
        <f t="shared" si="60"/>
        <v>0</v>
      </c>
      <c r="AA48">
        <v>65099320</v>
      </c>
      <c r="AB48">
        <f t="shared" si="61"/>
        <v>10.370000000000001</v>
      </c>
      <c r="AC48">
        <f t="shared" si="94"/>
        <v>10.370000000000001</v>
      </c>
      <c r="AD48">
        <f t="shared" si="95"/>
        <v>0</v>
      </c>
      <c r="AE48">
        <f t="shared" si="96"/>
        <v>0</v>
      </c>
      <c r="AF48">
        <f t="shared" si="97"/>
        <v>0</v>
      </c>
      <c r="AG48">
        <f t="shared" si="66"/>
        <v>0</v>
      </c>
      <c r="AH48">
        <f t="shared" si="98"/>
        <v>0</v>
      </c>
      <c r="AI48">
        <f t="shared" si="99"/>
        <v>0</v>
      </c>
      <c r="AJ48">
        <f t="shared" si="69"/>
        <v>0</v>
      </c>
      <c r="AK48">
        <v>10.369999999999999</v>
      </c>
      <c r="AL48">
        <v>10.369999999999999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121</v>
      </c>
      <c r="AU48">
        <v>72</v>
      </c>
      <c r="AV48">
        <v>1</v>
      </c>
      <c r="AW48">
        <v>1</v>
      </c>
      <c r="AZ48">
        <v>1</v>
      </c>
      <c r="BA48">
        <v>1</v>
      </c>
      <c r="BB48">
        <v>1</v>
      </c>
      <c r="BC48">
        <v>1</v>
      </c>
      <c r="BD48" t="s">
        <v>242</v>
      </c>
      <c r="BE48" t="s">
        <v>242</v>
      </c>
      <c r="BF48" t="s">
        <v>242</v>
      </c>
      <c r="BG48" t="s">
        <v>242</v>
      </c>
      <c r="BH48">
        <v>3</v>
      </c>
      <c r="BI48">
        <v>1</v>
      </c>
      <c r="BJ48" t="s">
        <v>351</v>
      </c>
      <c r="BM48">
        <v>16001</v>
      </c>
      <c r="BN48">
        <v>0</v>
      </c>
      <c r="BO48" t="s">
        <v>242</v>
      </c>
      <c r="BP48">
        <v>0</v>
      </c>
      <c r="BQ48">
        <v>2</v>
      </c>
      <c r="BR48">
        <v>0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242</v>
      </c>
      <c r="BZ48">
        <v>121</v>
      </c>
      <c r="CA48">
        <v>72</v>
      </c>
      <c r="CB48" t="s">
        <v>242</v>
      </c>
      <c r="CE48">
        <v>0</v>
      </c>
      <c r="CF48">
        <v>0</v>
      </c>
      <c r="CG48">
        <v>0</v>
      </c>
      <c r="CM48">
        <v>0</v>
      </c>
      <c r="CN48" t="s">
        <v>242</v>
      </c>
      <c r="CO48">
        <v>0</v>
      </c>
      <c r="CP48">
        <f t="shared" si="70"/>
        <v>311.10000000000002</v>
      </c>
      <c r="CQ48">
        <f t="shared" si="108"/>
        <v>10.370000000000001</v>
      </c>
      <c r="CR48">
        <f t="shared" si="109"/>
        <v>0</v>
      </c>
      <c r="CS48">
        <f t="shared" si="73"/>
        <v>0</v>
      </c>
      <c r="CT48">
        <f t="shared" si="74"/>
        <v>0</v>
      </c>
      <c r="CU48">
        <f t="shared" si="75"/>
        <v>0</v>
      </c>
      <c r="CV48">
        <f t="shared" si="76"/>
        <v>0</v>
      </c>
      <c r="CW48">
        <f t="shared" si="77"/>
        <v>0</v>
      </c>
      <c r="CX48">
        <f t="shared" si="78"/>
        <v>0</v>
      </c>
      <c r="CY48">
        <f t="shared" si="79"/>
        <v>0</v>
      </c>
      <c r="CZ48">
        <f t="shared" si="80"/>
        <v>0</v>
      </c>
      <c r="DC48" t="s">
        <v>242</v>
      </c>
      <c r="DD48" t="s">
        <v>242</v>
      </c>
      <c r="DE48" t="s">
        <v>242</v>
      </c>
      <c r="DF48" t="s">
        <v>242</v>
      </c>
      <c r="DG48" t="s">
        <v>242</v>
      </c>
      <c r="DH48" t="s">
        <v>242</v>
      </c>
      <c r="DI48" t="s">
        <v>242</v>
      </c>
      <c r="DJ48" t="s">
        <v>242</v>
      </c>
      <c r="DK48" t="s">
        <v>242</v>
      </c>
      <c r="DL48" t="s">
        <v>242</v>
      </c>
      <c r="DM48" t="s">
        <v>242</v>
      </c>
      <c r="DN48">
        <v>0</v>
      </c>
      <c r="DO48">
        <v>0</v>
      </c>
      <c r="DP48">
        <v>1</v>
      </c>
      <c r="DQ48">
        <v>1</v>
      </c>
      <c r="DU48">
        <v>1013</v>
      </c>
      <c r="DV48" t="s">
        <v>312</v>
      </c>
      <c r="DW48" t="s">
        <v>312</v>
      </c>
      <c r="DX48">
        <v>1</v>
      </c>
      <c r="DZ48" t="s">
        <v>242</v>
      </c>
      <c r="EA48" t="s">
        <v>242</v>
      </c>
      <c r="EB48" t="s">
        <v>242</v>
      </c>
      <c r="EC48" t="s">
        <v>242</v>
      </c>
      <c r="EE48">
        <v>59733704</v>
      </c>
      <c r="EF48">
        <v>2</v>
      </c>
      <c r="EG48" t="s">
        <v>271</v>
      </c>
      <c r="EH48">
        <v>16</v>
      </c>
      <c r="EI48" t="s">
        <v>295</v>
      </c>
      <c r="EJ48">
        <v>1</v>
      </c>
      <c r="EK48">
        <v>16001</v>
      </c>
      <c r="EL48" t="s">
        <v>317</v>
      </c>
      <c r="EM48" t="s">
        <v>318</v>
      </c>
      <c r="EO48" t="s">
        <v>242</v>
      </c>
      <c r="EQ48">
        <v>0</v>
      </c>
      <c r="ER48">
        <v>10.369999999999999</v>
      </c>
      <c r="ES48">
        <v>10.369999999999999</v>
      </c>
      <c r="ET48">
        <v>0</v>
      </c>
      <c r="EU48">
        <v>0</v>
      </c>
      <c r="EV48">
        <v>0</v>
      </c>
      <c r="EW48">
        <v>0</v>
      </c>
      <c r="EX48">
        <v>0</v>
      </c>
      <c r="FQ48">
        <v>0</v>
      </c>
      <c r="FR48">
        <f t="shared" si="81"/>
        <v>0</v>
      </c>
      <c r="FS48">
        <v>0</v>
      </c>
      <c r="FX48">
        <v>121</v>
      </c>
      <c r="FY48">
        <v>72</v>
      </c>
      <c r="GA48" t="s">
        <v>242</v>
      </c>
      <c r="GD48">
        <v>1</v>
      </c>
      <c r="GF48">
        <v>270534841</v>
      </c>
      <c r="GG48">
        <v>2</v>
      </c>
      <c r="GH48">
        <v>1</v>
      </c>
      <c r="GI48">
        <v>4</v>
      </c>
      <c r="GJ48">
        <v>0</v>
      </c>
      <c r="GK48">
        <v>0</v>
      </c>
      <c r="GL48">
        <f t="shared" si="82"/>
        <v>0</v>
      </c>
      <c r="GM48">
        <f t="shared" si="83"/>
        <v>311.10000000000002</v>
      </c>
      <c r="GN48">
        <f t="shared" si="84"/>
        <v>311.10000000000002</v>
      </c>
      <c r="GO48">
        <f t="shared" si="85"/>
        <v>0</v>
      </c>
      <c r="GP48">
        <f t="shared" si="86"/>
        <v>0</v>
      </c>
      <c r="GR48">
        <v>0</v>
      </c>
      <c r="GS48">
        <v>3</v>
      </c>
      <c r="GT48">
        <v>0</v>
      </c>
      <c r="GU48" t="s">
        <v>242</v>
      </c>
      <c r="GV48">
        <f t="shared" si="87"/>
        <v>0</v>
      </c>
      <c r="GW48">
        <v>1</v>
      </c>
      <c r="GX48">
        <f t="shared" si="88"/>
        <v>0</v>
      </c>
      <c r="HA48">
        <v>0</v>
      </c>
      <c r="HB48">
        <v>0</v>
      </c>
      <c r="HC48">
        <f t="shared" si="89"/>
        <v>0</v>
      </c>
      <c r="HE48" t="s">
        <v>242</v>
      </c>
      <c r="HF48" t="s">
        <v>242</v>
      </c>
      <c r="HI48">
        <f t="shared" si="90"/>
        <v>0</v>
      </c>
      <c r="HJ48">
        <f t="shared" si="91"/>
        <v>0</v>
      </c>
      <c r="HK48">
        <f t="shared" si="92"/>
        <v>0</v>
      </c>
      <c r="HL48">
        <f t="shared" si="93"/>
        <v>0</v>
      </c>
      <c r="HM48" t="s">
        <v>242</v>
      </c>
      <c r="HN48" t="s">
        <v>79</v>
      </c>
      <c r="HO48" t="s">
        <v>81</v>
      </c>
      <c r="HP48" t="s">
        <v>295</v>
      </c>
      <c r="HQ48" t="s">
        <v>295</v>
      </c>
      <c r="IK48">
        <v>0</v>
      </c>
    </row>
    <row r="49">
      <c r="A49">
        <v>18</v>
      </c>
      <c r="B49">
        <v>1</v>
      </c>
      <c r="C49">
        <v>100</v>
      </c>
      <c r="E49" t="s">
        <v>352</v>
      </c>
      <c r="F49" t="s">
        <v>353</v>
      </c>
      <c r="G49" t="s">
        <v>354</v>
      </c>
      <c r="H49" t="s">
        <v>327</v>
      </c>
      <c r="I49">
        <f>I46*J49</f>
        <v>30.75</v>
      </c>
      <c r="J49">
        <v>102.5</v>
      </c>
      <c r="K49">
        <v>102.5</v>
      </c>
      <c r="O49">
        <f t="shared" si="50"/>
        <v>170.36000000000001</v>
      </c>
      <c r="P49">
        <f t="shared" si="107"/>
        <v>170.36000000000001</v>
      </c>
      <c r="Q49">
        <f t="shared" si="52"/>
        <v>0</v>
      </c>
      <c r="R49">
        <f t="shared" si="53"/>
        <v>0</v>
      </c>
      <c r="S49">
        <f t="shared" si="54"/>
        <v>0</v>
      </c>
      <c r="T49">
        <f t="shared" si="55"/>
        <v>0</v>
      </c>
      <c r="U49">
        <f t="shared" si="56"/>
        <v>0</v>
      </c>
      <c r="V49">
        <f t="shared" si="57"/>
        <v>0</v>
      </c>
      <c r="W49">
        <f t="shared" si="58"/>
        <v>0</v>
      </c>
      <c r="X49">
        <f t="shared" si="59"/>
        <v>0</v>
      </c>
      <c r="Y49">
        <f t="shared" si="60"/>
        <v>0</v>
      </c>
      <c r="AA49">
        <v>65099320</v>
      </c>
      <c r="AB49">
        <f t="shared" si="61"/>
        <v>5.54</v>
      </c>
      <c r="AC49">
        <f t="shared" si="94"/>
        <v>5.54</v>
      </c>
      <c r="AD49">
        <f t="shared" si="95"/>
        <v>0</v>
      </c>
      <c r="AE49">
        <f t="shared" si="96"/>
        <v>0</v>
      </c>
      <c r="AF49">
        <f t="shared" si="97"/>
        <v>0</v>
      </c>
      <c r="AG49">
        <f t="shared" si="66"/>
        <v>0</v>
      </c>
      <c r="AH49">
        <f t="shared" si="98"/>
        <v>0</v>
      </c>
      <c r="AI49">
        <f t="shared" si="99"/>
        <v>0</v>
      </c>
      <c r="AJ49">
        <f t="shared" si="69"/>
        <v>0</v>
      </c>
      <c r="AK49">
        <v>5.54</v>
      </c>
      <c r="AL49">
        <v>5.54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121</v>
      </c>
      <c r="AU49">
        <v>72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</v>
      </c>
      <c r="BD49" t="s">
        <v>242</v>
      </c>
      <c r="BE49" t="s">
        <v>242</v>
      </c>
      <c r="BF49" t="s">
        <v>242</v>
      </c>
      <c r="BG49" t="s">
        <v>242</v>
      </c>
      <c r="BH49">
        <v>3</v>
      </c>
      <c r="BI49">
        <v>1</v>
      </c>
      <c r="BJ49" t="s">
        <v>355</v>
      </c>
      <c r="BM49">
        <v>16001</v>
      </c>
      <c r="BN49">
        <v>0</v>
      </c>
      <c r="BO49" t="s">
        <v>242</v>
      </c>
      <c r="BP49">
        <v>0</v>
      </c>
      <c r="BQ49">
        <v>2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242</v>
      </c>
      <c r="BZ49">
        <v>121</v>
      </c>
      <c r="CA49">
        <v>72</v>
      </c>
      <c r="CB49" t="s">
        <v>242</v>
      </c>
      <c r="CE49">
        <v>0</v>
      </c>
      <c r="CF49">
        <v>0</v>
      </c>
      <c r="CG49">
        <v>0</v>
      </c>
      <c r="CM49">
        <v>0</v>
      </c>
      <c r="CN49" t="s">
        <v>242</v>
      </c>
      <c r="CO49">
        <v>0</v>
      </c>
      <c r="CP49">
        <f t="shared" si="70"/>
        <v>170.36000000000001</v>
      </c>
      <c r="CQ49">
        <f t="shared" si="108"/>
        <v>5.54</v>
      </c>
      <c r="CR49">
        <f t="shared" si="109"/>
        <v>0</v>
      </c>
      <c r="CS49">
        <f t="shared" si="73"/>
        <v>0</v>
      </c>
      <c r="CT49">
        <f t="shared" si="74"/>
        <v>0</v>
      </c>
      <c r="CU49">
        <f t="shared" si="75"/>
        <v>0</v>
      </c>
      <c r="CV49">
        <f t="shared" si="76"/>
        <v>0</v>
      </c>
      <c r="CW49">
        <f t="shared" si="77"/>
        <v>0</v>
      </c>
      <c r="CX49">
        <f t="shared" si="78"/>
        <v>0</v>
      </c>
      <c r="CY49">
        <f t="shared" si="79"/>
        <v>0</v>
      </c>
      <c r="CZ49">
        <f t="shared" si="80"/>
        <v>0</v>
      </c>
      <c r="DC49" t="s">
        <v>242</v>
      </c>
      <c r="DD49" t="s">
        <v>242</v>
      </c>
      <c r="DE49" t="s">
        <v>242</v>
      </c>
      <c r="DF49" t="s">
        <v>242</v>
      </c>
      <c r="DG49" t="s">
        <v>242</v>
      </c>
      <c r="DH49" t="s">
        <v>242</v>
      </c>
      <c r="DI49" t="s">
        <v>242</v>
      </c>
      <c r="DJ49" t="s">
        <v>242</v>
      </c>
      <c r="DK49" t="s">
        <v>242</v>
      </c>
      <c r="DL49" t="s">
        <v>242</v>
      </c>
      <c r="DM49" t="s">
        <v>242</v>
      </c>
      <c r="DN49">
        <v>0</v>
      </c>
      <c r="DO49">
        <v>0</v>
      </c>
      <c r="DP49">
        <v>1</v>
      </c>
      <c r="DQ49">
        <v>1</v>
      </c>
      <c r="DU49">
        <v>1003</v>
      </c>
      <c r="DV49" t="s">
        <v>327</v>
      </c>
      <c r="DW49" t="s">
        <v>327</v>
      </c>
      <c r="DX49">
        <v>1</v>
      </c>
      <c r="DZ49" t="s">
        <v>242</v>
      </c>
      <c r="EA49" t="s">
        <v>242</v>
      </c>
      <c r="EB49" t="s">
        <v>242</v>
      </c>
      <c r="EC49" t="s">
        <v>242</v>
      </c>
      <c r="EE49">
        <v>59733704</v>
      </c>
      <c r="EF49">
        <v>2</v>
      </c>
      <c r="EG49" t="s">
        <v>271</v>
      </c>
      <c r="EH49">
        <v>16</v>
      </c>
      <c r="EI49" t="s">
        <v>295</v>
      </c>
      <c r="EJ49">
        <v>1</v>
      </c>
      <c r="EK49">
        <v>16001</v>
      </c>
      <c r="EL49" t="s">
        <v>317</v>
      </c>
      <c r="EM49" t="s">
        <v>318</v>
      </c>
      <c r="EO49" t="s">
        <v>242</v>
      </c>
      <c r="EQ49">
        <v>0</v>
      </c>
      <c r="ER49">
        <v>5.54</v>
      </c>
      <c r="ES49">
        <v>5.54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f t="shared" si="81"/>
        <v>0</v>
      </c>
      <c r="FS49">
        <v>0</v>
      </c>
      <c r="FX49">
        <v>121</v>
      </c>
      <c r="FY49">
        <v>72</v>
      </c>
      <c r="GA49" t="s">
        <v>242</v>
      </c>
      <c r="GD49">
        <v>1</v>
      </c>
      <c r="GF49">
        <v>221120595</v>
      </c>
      <c r="GG49">
        <v>2</v>
      </c>
      <c r="GH49">
        <v>1</v>
      </c>
      <c r="GI49">
        <v>4</v>
      </c>
      <c r="GJ49">
        <v>0</v>
      </c>
      <c r="GK49">
        <v>0</v>
      </c>
      <c r="GL49">
        <f t="shared" si="82"/>
        <v>0</v>
      </c>
      <c r="GM49">
        <f t="shared" si="83"/>
        <v>170.36000000000001</v>
      </c>
      <c r="GN49">
        <f t="shared" si="84"/>
        <v>170.36000000000001</v>
      </c>
      <c r="GO49">
        <f t="shared" si="85"/>
        <v>0</v>
      </c>
      <c r="GP49">
        <f t="shared" si="86"/>
        <v>0</v>
      </c>
      <c r="GR49">
        <v>0</v>
      </c>
      <c r="GS49">
        <v>3</v>
      </c>
      <c r="GT49">
        <v>0</v>
      </c>
      <c r="GU49" t="s">
        <v>242</v>
      </c>
      <c r="GV49">
        <f t="shared" si="87"/>
        <v>0</v>
      </c>
      <c r="GW49">
        <v>1</v>
      </c>
      <c r="GX49">
        <f t="shared" si="88"/>
        <v>0</v>
      </c>
      <c r="HA49">
        <v>0</v>
      </c>
      <c r="HB49">
        <v>0</v>
      </c>
      <c r="HC49">
        <f t="shared" si="89"/>
        <v>0</v>
      </c>
      <c r="HE49" t="s">
        <v>242</v>
      </c>
      <c r="HF49" t="s">
        <v>242</v>
      </c>
      <c r="HI49">
        <f t="shared" si="90"/>
        <v>0</v>
      </c>
      <c r="HJ49">
        <f t="shared" si="91"/>
        <v>0</v>
      </c>
      <c r="HK49">
        <f t="shared" si="92"/>
        <v>0</v>
      </c>
      <c r="HL49">
        <f t="shared" si="93"/>
        <v>0</v>
      </c>
      <c r="HM49" t="s">
        <v>242</v>
      </c>
      <c r="HN49" t="s">
        <v>79</v>
      </c>
      <c r="HO49" t="s">
        <v>81</v>
      </c>
      <c r="HP49" t="s">
        <v>295</v>
      </c>
      <c r="HQ49" t="s">
        <v>295</v>
      </c>
      <c r="IK49">
        <v>0</v>
      </c>
    </row>
    <row r="50">
      <c r="A50">
        <v>18</v>
      </c>
      <c r="B50">
        <v>1</v>
      </c>
      <c r="C50">
        <v>101</v>
      </c>
      <c r="E50" t="s">
        <v>356</v>
      </c>
      <c r="F50" t="s">
        <v>201</v>
      </c>
      <c r="G50" t="s">
        <v>357</v>
      </c>
      <c r="H50" t="s">
        <v>312</v>
      </c>
      <c r="I50">
        <f>I46*J50</f>
        <v>10</v>
      </c>
      <c r="J50">
        <v>33.333333333333336</v>
      </c>
      <c r="K50">
        <v>33.3333333</v>
      </c>
      <c r="O50">
        <f t="shared" si="50"/>
        <v>26.18</v>
      </c>
      <c r="P50">
        <f>ROUND(ROUND(CQ50*I50,2)/BC50,2)</f>
        <v>26.18</v>
      </c>
      <c r="Q50">
        <f t="shared" si="52"/>
        <v>0</v>
      </c>
      <c r="R50">
        <f t="shared" si="53"/>
        <v>0</v>
      </c>
      <c r="S50">
        <f t="shared" si="54"/>
        <v>0</v>
      </c>
      <c r="T50">
        <f t="shared" si="55"/>
        <v>0</v>
      </c>
      <c r="U50">
        <f t="shared" si="56"/>
        <v>0</v>
      </c>
      <c r="V50">
        <f t="shared" si="57"/>
        <v>0</v>
      </c>
      <c r="W50">
        <f t="shared" si="58"/>
        <v>0</v>
      </c>
      <c r="X50">
        <f t="shared" si="59"/>
        <v>0</v>
      </c>
      <c r="Y50">
        <f t="shared" si="60"/>
        <v>0</v>
      </c>
      <c r="AA50">
        <v>65099320</v>
      </c>
      <c r="AB50">
        <f t="shared" si="61"/>
        <v>25</v>
      </c>
      <c r="AC50">
        <f t="shared" si="94"/>
        <v>25</v>
      </c>
      <c r="AD50">
        <f t="shared" si="95"/>
        <v>0</v>
      </c>
      <c r="AE50">
        <f t="shared" si="96"/>
        <v>0</v>
      </c>
      <c r="AF50">
        <f t="shared" si="97"/>
        <v>0</v>
      </c>
      <c r="AG50">
        <f t="shared" si="66"/>
        <v>0</v>
      </c>
      <c r="AH50">
        <f t="shared" si="98"/>
        <v>0</v>
      </c>
      <c r="AI50">
        <f t="shared" si="99"/>
        <v>0</v>
      </c>
      <c r="AJ50">
        <f t="shared" si="69"/>
        <v>0</v>
      </c>
      <c r="AK50">
        <v>25</v>
      </c>
      <c r="AL50">
        <v>25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121</v>
      </c>
      <c r="AU50">
        <v>72</v>
      </c>
      <c r="AV50">
        <v>1</v>
      </c>
      <c r="AW50">
        <v>1</v>
      </c>
      <c r="AZ50">
        <v>1</v>
      </c>
      <c r="BA50">
        <v>1</v>
      </c>
      <c r="BB50">
        <v>1</v>
      </c>
      <c r="BC50">
        <v>9.5500000000000007</v>
      </c>
      <c r="BD50" t="s">
        <v>242</v>
      </c>
      <c r="BE50" t="s">
        <v>242</v>
      </c>
      <c r="BF50" t="s">
        <v>242</v>
      </c>
      <c r="BG50" t="s">
        <v>242</v>
      </c>
      <c r="BH50">
        <v>3</v>
      </c>
      <c r="BI50">
        <v>1</v>
      </c>
      <c r="BJ50" t="s">
        <v>242</v>
      </c>
      <c r="BM50">
        <v>16001</v>
      </c>
      <c r="BN50">
        <v>0</v>
      </c>
      <c r="BO50" t="s">
        <v>242</v>
      </c>
      <c r="BP50">
        <v>0</v>
      </c>
      <c r="BQ50">
        <v>2</v>
      </c>
      <c r="BR50">
        <v>0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242</v>
      </c>
      <c r="BZ50">
        <v>121</v>
      </c>
      <c r="CA50">
        <v>72</v>
      </c>
      <c r="CB50" t="s">
        <v>242</v>
      </c>
      <c r="CE50">
        <v>0</v>
      </c>
      <c r="CF50">
        <v>0</v>
      </c>
      <c r="CG50">
        <v>0</v>
      </c>
      <c r="CM50">
        <v>0</v>
      </c>
      <c r="CN50" t="s">
        <v>242</v>
      </c>
      <c r="CO50">
        <v>0</v>
      </c>
      <c r="CP50">
        <f t="shared" si="70"/>
        <v>26.18</v>
      </c>
      <c r="CQ50">
        <f>AC50</f>
        <v>25</v>
      </c>
      <c r="CR50">
        <f>(((ET50)-(EU50))+AE50)</f>
        <v>0</v>
      </c>
      <c r="CS50">
        <f t="shared" si="73"/>
        <v>0</v>
      </c>
      <c r="CT50">
        <f t="shared" si="74"/>
        <v>0</v>
      </c>
      <c r="CU50">
        <f t="shared" si="75"/>
        <v>0</v>
      </c>
      <c r="CV50">
        <f t="shared" si="76"/>
        <v>0</v>
      </c>
      <c r="CW50">
        <f t="shared" si="77"/>
        <v>0</v>
      </c>
      <c r="CX50">
        <f t="shared" si="78"/>
        <v>0</v>
      </c>
      <c r="CY50">
        <f t="shared" si="79"/>
        <v>0</v>
      </c>
      <c r="CZ50">
        <f t="shared" si="80"/>
        <v>0</v>
      </c>
      <c r="DC50" t="s">
        <v>242</v>
      </c>
      <c r="DD50" t="s">
        <v>242</v>
      </c>
      <c r="DE50" t="s">
        <v>242</v>
      </c>
      <c r="DF50" t="s">
        <v>242</v>
      </c>
      <c r="DG50" t="s">
        <v>242</v>
      </c>
      <c r="DH50" t="s">
        <v>242</v>
      </c>
      <c r="DI50" t="s">
        <v>242</v>
      </c>
      <c r="DJ50" t="s">
        <v>242</v>
      </c>
      <c r="DK50" t="s">
        <v>242</v>
      </c>
      <c r="DL50" t="s">
        <v>242</v>
      </c>
      <c r="DM50" t="s">
        <v>242</v>
      </c>
      <c r="DN50">
        <v>0</v>
      </c>
      <c r="DO50">
        <v>0</v>
      </c>
      <c r="DP50">
        <v>1</v>
      </c>
      <c r="DQ50">
        <v>1</v>
      </c>
      <c r="DU50">
        <v>1013</v>
      </c>
      <c r="DV50" t="s">
        <v>312</v>
      </c>
      <c r="DW50" t="s">
        <v>312</v>
      </c>
      <c r="DX50">
        <v>1</v>
      </c>
      <c r="DZ50" t="s">
        <v>242</v>
      </c>
      <c r="EA50" t="s">
        <v>242</v>
      </c>
      <c r="EB50" t="s">
        <v>242</v>
      </c>
      <c r="EC50" t="s">
        <v>242</v>
      </c>
      <c r="EE50">
        <v>59733704</v>
      </c>
      <c r="EF50">
        <v>2</v>
      </c>
      <c r="EG50" t="s">
        <v>271</v>
      </c>
      <c r="EH50">
        <v>16</v>
      </c>
      <c r="EI50" t="s">
        <v>295</v>
      </c>
      <c r="EJ50">
        <v>1</v>
      </c>
      <c r="EK50">
        <v>16001</v>
      </c>
      <c r="EL50" t="s">
        <v>317</v>
      </c>
      <c r="EM50" t="s">
        <v>318</v>
      </c>
      <c r="EO50" t="s">
        <v>242</v>
      </c>
      <c r="EQ50">
        <v>0</v>
      </c>
      <c r="ER50">
        <v>25</v>
      </c>
      <c r="ES50">
        <v>25</v>
      </c>
      <c r="ET50">
        <v>0</v>
      </c>
      <c r="EU50">
        <v>0</v>
      </c>
      <c r="EV50">
        <v>0</v>
      </c>
      <c r="EW50">
        <v>0</v>
      </c>
      <c r="EX50">
        <v>0</v>
      </c>
      <c r="EZ50">
        <v>5</v>
      </c>
      <c r="FC50">
        <v>1</v>
      </c>
      <c r="FD50">
        <v>18</v>
      </c>
      <c r="FF50">
        <v>30</v>
      </c>
      <c r="FQ50">
        <v>0</v>
      </c>
      <c r="FR50">
        <f t="shared" si="81"/>
        <v>0</v>
      </c>
      <c r="FS50">
        <v>0</v>
      </c>
      <c r="FX50">
        <v>121</v>
      </c>
      <c r="FY50">
        <v>72</v>
      </c>
      <c r="GA50" t="s">
        <v>358</v>
      </c>
      <c r="GD50">
        <v>1</v>
      </c>
      <c r="GF50">
        <v>512223021</v>
      </c>
      <c r="GG50">
        <v>2</v>
      </c>
      <c r="GH50">
        <v>3</v>
      </c>
      <c r="GI50">
        <v>4</v>
      </c>
      <c r="GJ50">
        <v>0</v>
      </c>
      <c r="GK50">
        <v>0</v>
      </c>
      <c r="GL50">
        <f t="shared" si="82"/>
        <v>0</v>
      </c>
      <c r="GM50">
        <f t="shared" si="83"/>
        <v>26.18</v>
      </c>
      <c r="GN50">
        <f t="shared" si="84"/>
        <v>26.18</v>
      </c>
      <c r="GO50">
        <f t="shared" si="85"/>
        <v>0</v>
      </c>
      <c r="GP50">
        <f t="shared" si="86"/>
        <v>0</v>
      </c>
      <c r="GR50">
        <v>1</v>
      </c>
      <c r="GS50">
        <v>1</v>
      </c>
      <c r="GT50">
        <v>0</v>
      </c>
      <c r="GU50" t="s">
        <v>242</v>
      </c>
      <c r="GV50">
        <f t="shared" si="87"/>
        <v>0</v>
      </c>
      <c r="GW50">
        <v>1</v>
      </c>
      <c r="GX50">
        <f t="shared" si="88"/>
        <v>0</v>
      </c>
      <c r="HA50">
        <v>0</v>
      </c>
      <c r="HB50">
        <v>0</v>
      </c>
      <c r="HC50">
        <f t="shared" si="89"/>
        <v>0</v>
      </c>
      <c r="HE50" t="s">
        <v>302</v>
      </c>
      <c r="HF50" t="s">
        <v>302</v>
      </c>
      <c r="HG50">
        <f>ROUND(AC50*I50,2)</f>
        <v>250</v>
      </c>
      <c r="HI50">
        <f t="shared" si="90"/>
        <v>0</v>
      </c>
      <c r="HJ50">
        <f t="shared" si="91"/>
        <v>0</v>
      </c>
      <c r="HK50">
        <f t="shared" si="92"/>
        <v>0</v>
      </c>
      <c r="HL50">
        <f t="shared" si="93"/>
        <v>0</v>
      </c>
      <c r="HM50" t="s">
        <v>242</v>
      </c>
      <c r="HN50" t="s">
        <v>79</v>
      </c>
      <c r="HO50" t="s">
        <v>81</v>
      </c>
      <c r="HP50" t="s">
        <v>295</v>
      </c>
      <c r="HQ50" t="s">
        <v>295</v>
      </c>
      <c r="IK50">
        <v>0</v>
      </c>
    </row>
    <row r="51">
      <c r="A51">
        <v>17</v>
      </c>
      <c r="B51">
        <v>1</v>
      </c>
      <c r="C51">
        <f>ROW(SmtRes!A102)</f>
        <v>102</v>
      </c>
      <c r="D51">
        <f>ROW(EtalonRes!A113)</f>
        <v>113</v>
      </c>
      <c r="E51" t="s">
        <v>104</v>
      </c>
      <c r="F51" t="s">
        <v>359</v>
      </c>
      <c r="G51" t="s">
        <v>360</v>
      </c>
      <c r="H51" t="s">
        <v>361</v>
      </c>
      <c r="I51">
        <f>ROUND(20/100,7)</f>
        <v>0.19999999999999998</v>
      </c>
      <c r="J51">
        <v>0</v>
      </c>
      <c r="K51">
        <f>ROUND(20/100,7)</f>
        <v>0.19999999999999998</v>
      </c>
      <c r="O51">
        <f t="shared" si="50"/>
        <v>4.7800000000000002</v>
      </c>
      <c r="P51">
        <f>ROUND(CQ51*I51,2)</f>
        <v>0</v>
      </c>
      <c r="Q51">
        <f t="shared" si="52"/>
        <v>0</v>
      </c>
      <c r="R51">
        <f t="shared" si="53"/>
        <v>0</v>
      </c>
      <c r="S51">
        <f t="shared" si="54"/>
        <v>4.7800000000000002</v>
      </c>
      <c r="T51">
        <f t="shared" si="55"/>
        <v>0</v>
      </c>
      <c r="U51">
        <f t="shared" si="56"/>
        <v>0.46799999999999997</v>
      </c>
      <c r="V51">
        <f t="shared" si="57"/>
        <v>0</v>
      </c>
      <c r="W51">
        <f t="shared" si="58"/>
        <v>0</v>
      </c>
      <c r="X51">
        <f t="shared" si="59"/>
        <v>5.7800000000000002</v>
      </c>
      <c r="Y51">
        <f t="shared" si="60"/>
        <v>3.4399999999999999</v>
      </c>
      <c r="AA51">
        <v>65099320</v>
      </c>
      <c r="AB51">
        <f t="shared" si="61"/>
        <v>23.890000000000001</v>
      </c>
      <c r="AC51">
        <f t="shared" si="94"/>
        <v>0</v>
      </c>
      <c r="AD51">
        <f t="shared" si="95"/>
        <v>0</v>
      </c>
      <c r="AE51">
        <f t="shared" si="96"/>
        <v>0</v>
      </c>
      <c r="AF51">
        <f t="shared" si="97"/>
        <v>23.890000000000001</v>
      </c>
      <c r="AG51">
        <f t="shared" si="66"/>
        <v>0</v>
      </c>
      <c r="AH51">
        <f t="shared" si="98"/>
        <v>2.3399999999999999</v>
      </c>
      <c r="AI51">
        <f t="shared" si="99"/>
        <v>0</v>
      </c>
      <c r="AJ51">
        <f t="shared" si="69"/>
        <v>0</v>
      </c>
      <c r="AK51">
        <v>23.890000000000001</v>
      </c>
      <c r="AL51">
        <v>0</v>
      </c>
      <c r="AM51">
        <v>0</v>
      </c>
      <c r="AN51">
        <v>0</v>
      </c>
      <c r="AO51">
        <v>23.890000000000001</v>
      </c>
      <c r="AP51">
        <v>0</v>
      </c>
      <c r="AQ51">
        <v>2.3399999999999999</v>
      </c>
      <c r="AR51">
        <v>0</v>
      </c>
      <c r="AS51">
        <v>0</v>
      </c>
      <c r="AT51">
        <v>121</v>
      </c>
      <c r="AU51">
        <v>72</v>
      </c>
      <c r="AV51">
        <v>1</v>
      </c>
      <c r="AW51">
        <v>1</v>
      </c>
      <c r="AZ51">
        <v>1</v>
      </c>
      <c r="BA51">
        <v>55.32</v>
      </c>
      <c r="BB51">
        <v>1</v>
      </c>
      <c r="BC51">
        <v>1</v>
      </c>
      <c r="BD51" t="s">
        <v>242</v>
      </c>
      <c r="BE51" t="s">
        <v>242</v>
      </c>
      <c r="BF51" t="s">
        <v>242</v>
      </c>
      <c r="BG51" t="s">
        <v>242</v>
      </c>
      <c r="BH51">
        <v>0</v>
      </c>
      <c r="BI51">
        <v>1</v>
      </c>
      <c r="BJ51" t="s">
        <v>362</v>
      </c>
      <c r="BM51">
        <v>16001</v>
      </c>
      <c r="BN51">
        <v>0</v>
      </c>
      <c r="BO51" t="s">
        <v>257</v>
      </c>
      <c r="BP51">
        <v>1</v>
      </c>
      <c r="BQ51">
        <v>2</v>
      </c>
      <c r="BR51">
        <v>0</v>
      </c>
      <c r="BS51">
        <v>55.32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242</v>
      </c>
      <c r="BZ51">
        <v>121</v>
      </c>
      <c r="CA51">
        <v>72</v>
      </c>
      <c r="CB51" t="s">
        <v>242</v>
      </c>
      <c r="CE51">
        <v>0</v>
      </c>
      <c r="CF51">
        <v>0</v>
      </c>
      <c r="CG51">
        <v>0</v>
      </c>
      <c r="CM51">
        <v>0</v>
      </c>
      <c r="CN51" t="s">
        <v>242</v>
      </c>
      <c r="CO51">
        <v>0</v>
      </c>
      <c r="CP51">
        <f t="shared" si="70"/>
        <v>4.7800000000000002</v>
      </c>
      <c r="CQ51">
        <f>AC51*BC51</f>
        <v>0</v>
      </c>
      <c r="CR51">
        <f>(((ET51)*BB51-(EU51))+AE51)</f>
        <v>0</v>
      </c>
      <c r="CS51">
        <f t="shared" si="73"/>
        <v>0</v>
      </c>
      <c r="CT51">
        <f t="shared" si="74"/>
        <v>23.890000000000001</v>
      </c>
      <c r="CU51">
        <f t="shared" si="75"/>
        <v>0</v>
      </c>
      <c r="CV51">
        <f t="shared" si="76"/>
        <v>2.3399999999999999</v>
      </c>
      <c r="CW51">
        <f t="shared" si="77"/>
        <v>0</v>
      </c>
      <c r="CX51">
        <f t="shared" si="78"/>
        <v>0</v>
      </c>
      <c r="CY51">
        <f t="shared" si="79"/>
        <v>5.7838000000000003</v>
      </c>
      <c r="CZ51">
        <f t="shared" si="80"/>
        <v>3.4416000000000002</v>
      </c>
      <c r="DC51" t="s">
        <v>242</v>
      </c>
      <c r="DD51" t="s">
        <v>242</v>
      </c>
      <c r="DE51" t="s">
        <v>242</v>
      </c>
      <c r="DF51" t="s">
        <v>242</v>
      </c>
      <c r="DG51" t="s">
        <v>242</v>
      </c>
      <c r="DH51" t="s">
        <v>242</v>
      </c>
      <c r="DI51" t="s">
        <v>242</v>
      </c>
      <c r="DJ51" t="s">
        <v>242</v>
      </c>
      <c r="DK51" t="s">
        <v>242</v>
      </c>
      <c r="DL51" t="s">
        <v>242</v>
      </c>
      <c r="DM51" t="s">
        <v>242</v>
      </c>
      <c r="DN51">
        <v>0</v>
      </c>
      <c r="DO51">
        <v>0</v>
      </c>
      <c r="DP51">
        <v>1</v>
      </c>
      <c r="DQ51">
        <v>1</v>
      </c>
      <c r="DU51">
        <v>3154213</v>
      </c>
      <c r="DV51" t="s">
        <v>361</v>
      </c>
      <c r="DW51" t="s">
        <v>361</v>
      </c>
      <c r="DX51">
        <v>1</v>
      </c>
      <c r="DZ51" t="s">
        <v>242</v>
      </c>
      <c r="EA51" t="s">
        <v>242</v>
      </c>
      <c r="EB51" t="s">
        <v>242</v>
      </c>
      <c r="EC51" t="s">
        <v>242</v>
      </c>
      <c r="EE51">
        <v>59733704</v>
      </c>
      <c r="EF51">
        <v>2</v>
      </c>
      <c r="EG51" t="s">
        <v>271</v>
      </c>
      <c r="EH51">
        <v>16</v>
      </c>
      <c r="EI51" t="s">
        <v>295</v>
      </c>
      <c r="EJ51">
        <v>1</v>
      </c>
      <c r="EK51">
        <v>16001</v>
      </c>
      <c r="EL51" t="s">
        <v>317</v>
      </c>
      <c r="EM51" t="s">
        <v>318</v>
      </c>
      <c r="EO51" t="s">
        <v>242</v>
      </c>
      <c r="EQ51">
        <v>0</v>
      </c>
      <c r="ER51">
        <v>23.890000000000001</v>
      </c>
      <c r="ES51">
        <v>0</v>
      </c>
      <c r="ET51">
        <v>0</v>
      </c>
      <c r="EU51">
        <v>0</v>
      </c>
      <c r="EV51">
        <v>23.890000000000001</v>
      </c>
      <c r="EW51">
        <v>2.3399999999999999</v>
      </c>
      <c r="EX51">
        <v>0</v>
      </c>
      <c r="EY51">
        <v>0</v>
      </c>
      <c r="FQ51">
        <v>0</v>
      </c>
      <c r="FR51">
        <f t="shared" si="81"/>
        <v>0</v>
      </c>
      <c r="FS51">
        <v>0</v>
      </c>
      <c r="FX51">
        <v>121</v>
      </c>
      <c r="FY51">
        <v>72</v>
      </c>
      <c r="GA51" t="s">
        <v>242</v>
      </c>
      <c r="GD51">
        <v>1</v>
      </c>
      <c r="GF51">
        <v>1802945314</v>
      </c>
      <c r="GG51">
        <v>2</v>
      </c>
      <c r="GH51">
        <v>1</v>
      </c>
      <c r="GI51">
        <v>4</v>
      </c>
      <c r="GJ51">
        <v>0</v>
      </c>
      <c r="GK51">
        <v>0</v>
      </c>
      <c r="GL51">
        <f t="shared" si="82"/>
        <v>0</v>
      </c>
      <c r="GM51">
        <f t="shared" si="83"/>
        <v>14</v>
      </c>
      <c r="GN51">
        <f t="shared" si="84"/>
        <v>14</v>
      </c>
      <c r="GO51">
        <f t="shared" si="85"/>
        <v>0</v>
      </c>
      <c r="GP51">
        <f t="shared" si="86"/>
        <v>0</v>
      </c>
      <c r="GR51">
        <v>0</v>
      </c>
      <c r="GS51">
        <v>3</v>
      </c>
      <c r="GT51">
        <v>0</v>
      </c>
      <c r="GU51" t="s">
        <v>242</v>
      </c>
      <c r="GV51">
        <f t="shared" si="87"/>
        <v>0</v>
      </c>
      <c r="GW51">
        <v>1</v>
      </c>
      <c r="GX51">
        <f t="shared" si="88"/>
        <v>0</v>
      </c>
      <c r="HA51">
        <v>0</v>
      </c>
      <c r="HB51">
        <v>0</v>
      </c>
      <c r="HC51">
        <f t="shared" si="89"/>
        <v>0</v>
      </c>
      <c r="HE51" t="s">
        <v>242</v>
      </c>
      <c r="HF51" t="s">
        <v>242</v>
      </c>
      <c r="HI51">
        <f t="shared" si="90"/>
        <v>0</v>
      </c>
      <c r="HJ51">
        <f t="shared" si="91"/>
        <v>264.43000000000001</v>
      </c>
      <c r="HK51">
        <f t="shared" si="92"/>
        <v>319.95999999999998</v>
      </c>
      <c r="HL51">
        <f t="shared" si="93"/>
        <v>190.39000000000001</v>
      </c>
      <c r="HM51" t="s">
        <v>242</v>
      </c>
      <c r="HN51" t="s">
        <v>79</v>
      </c>
      <c r="HO51" t="s">
        <v>81</v>
      </c>
      <c r="HP51" t="s">
        <v>295</v>
      </c>
      <c r="HQ51" t="s">
        <v>295</v>
      </c>
      <c r="IK51">
        <v>0</v>
      </c>
    </row>
    <row r="53">
      <c r="A53" s="197">
        <v>51</v>
      </c>
      <c r="B53" s="197">
        <f>B20</f>
        <v>1</v>
      </c>
      <c r="C53" s="197">
        <f>A20</f>
        <v>3</v>
      </c>
      <c r="D53" s="197">
        <f>ROW(A20)</f>
        <v>20</v>
      </c>
      <c r="E53" s="197"/>
      <c r="F53" s="197" t="str">
        <f>IF(F20&lt;&gt;"",F20,"")</f>
        <v/>
      </c>
      <c r="G53" s="197" t="str">
        <f>IF(G20&lt;&gt;"",G20,"")</f>
        <v xml:space="preserve">Новая локальная смета</v>
      </c>
      <c r="H53" s="197">
        <v>0</v>
      </c>
      <c r="I53" s="197"/>
      <c r="J53" s="197"/>
      <c r="K53" s="197"/>
      <c r="L53" s="197"/>
      <c r="M53" s="197"/>
      <c r="N53" s="197"/>
      <c r="O53" s="197">
        <f t="shared" ref="O53:T53" si="110">ROUND(AB53,2)</f>
        <v>9909.9799999999996</v>
      </c>
      <c r="P53" s="197">
        <f t="shared" si="110"/>
        <v>9374.5599999999995</v>
      </c>
      <c r="Q53" s="197">
        <f t="shared" si="110"/>
        <v>48.980000000000004</v>
      </c>
      <c r="R53" s="197">
        <f t="shared" si="110"/>
        <v>8.9500000000000011</v>
      </c>
      <c r="S53" s="197">
        <f t="shared" si="110"/>
        <v>486.44</v>
      </c>
      <c r="T53" s="197">
        <f t="shared" si="110"/>
        <v>0</v>
      </c>
      <c r="U53" s="197">
        <f>AH53</f>
        <v>54.994399999999985</v>
      </c>
      <c r="V53" s="197">
        <f>AI53</f>
        <v>0.7137</v>
      </c>
      <c r="W53" s="197">
        <f>ROUND(AJ53,2)</f>
        <v>0</v>
      </c>
      <c r="X53" s="197">
        <f>ROUND(AK53,2)</f>
        <v>517.88999999999999</v>
      </c>
      <c r="Y53" s="197">
        <f>ROUND(AL53,2)</f>
        <v>287.06</v>
      </c>
      <c r="Z53" s="197"/>
      <c r="AA53" s="197"/>
      <c r="AB53" s="197">
        <f>ROUND(SUMIF(AA24:AA51,"=65099320",O24:O51),2)</f>
        <v>9909.9799999999996</v>
      </c>
      <c r="AC53" s="197">
        <f>ROUND(SUMIF(AA24:AA51,"=65099320",P24:P51),2)</f>
        <v>9374.5599999999995</v>
      </c>
      <c r="AD53" s="197">
        <f>ROUND(SUMIF(AA24:AA51,"=65099320",Q24:Q51),2)</f>
        <v>48.980000000000004</v>
      </c>
      <c r="AE53" s="197">
        <f>ROUND(SUMIF(AA24:AA51,"=65099320",R24:R51),2)</f>
        <v>8.9500000000000011</v>
      </c>
      <c r="AF53" s="197">
        <f>ROUND(SUMIF(AA24:AA51,"=65099320",S24:S51),2)</f>
        <v>486.44</v>
      </c>
      <c r="AG53" s="197">
        <f>ROUND(SUMIF(AA24:AA51,"=65099320",T24:T51),2)</f>
        <v>0</v>
      </c>
      <c r="AH53" s="197">
        <f>SUMIF(AA24:AA51,"=65099320",U24:U51)</f>
        <v>54.994399999999985</v>
      </c>
      <c r="AI53" s="197">
        <f>SUMIF(AA24:AA51,"=65099320",V24:V51)</f>
        <v>0.7137</v>
      </c>
      <c r="AJ53" s="197">
        <f>ROUND(SUMIF(AA24:AA51,"=65099320",W24:W51),2)</f>
        <v>0</v>
      </c>
      <c r="AK53" s="197">
        <f>ROUND(SUMIF(AA24:AA51,"=65099320",X24:X51),2)</f>
        <v>517.88999999999999</v>
      </c>
      <c r="AL53" s="197">
        <f>ROUND(SUMIF(AA24:AA51,"=65099320",Y24:Y51),2)</f>
        <v>287.06</v>
      </c>
      <c r="AM53" s="197"/>
      <c r="AN53" s="197"/>
      <c r="AO53" s="197">
        <f t="shared" ref="AO53:BD53" si="111">ROUND(BX53,2)</f>
        <v>0</v>
      </c>
      <c r="AP53" s="197">
        <f t="shared" si="111"/>
        <v>0</v>
      </c>
      <c r="AQ53" s="197">
        <f t="shared" si="111"/>
        <v>0</v>
      </c>
      <c r="AR53" s="197">
        <f t="shared" si="111"/>
        <v>10714.93</v>
      </c>
      <c r="AS53" s="197">
        <f t="shared" si="111"/>
        <v>10714.93</v>
      </c>
      <c r="AT53" s="197">
        <f t="shared" si="111"/>
        <v>0</v>
      </c>
      <c r="AU53" s="197">
        <f t="shared" si="111"/>
        <v>0</v>
      </c>
      <c r="AV53" s="197">
        <f t="shared" si="111"/>
        <v>9374.5599999999995</v>
      </c>
      <c r="AW53" s="197">
        <f t="shared" si="111"/>
        <v>9374.5599999999995</v>
      </c>
      <c r="AX53" s="197">
        <f t="shared" si="111"/>
        <v>0</v>
      </c>
      <c r="AY53" s="197">
        <f t="shared" si="111"/>
        <v>9374.5599999999995</v>
      </c>
      <c r="AZ53" s="197">
        <f t="shared" si="111"/>
        <v>0</v>
      </c>
      <c r="BA53" s="197">
        <f t="shared" si="111"/>
        <v>0</v>
      </c>
      <c r="BB53" s="197">
        <f t="shared" si="111"/>
        <v>0</v>
      </c>
      <c r="BC53" s="197">
        <f t="shared" si="111"/>
        <v>0</v>
      </c>
      <c r="BD53" s="197">
        <f t="shared" si="111"/>
        <v>0</v>
      </c>
      <c r="BE53" s="197"/>
      <c r="BF53" s="197"/>
      <c r="BG53" s="197"/>
      <c r="BH53" s="197"/>
      <c r="BI53" s="197"/>
      <c r="BJ53" s="197"/>
      <c r="BK53" s="197"/>
      <c r="BL53" s="197"/>
      <c r="BM53" s="197"/>
      <c r="BN53" s="197"/>
      <c r="BO53" s="197"/>
      <c r="BP53" s="197"/>
      <c r="BQ53" s="197"/>
      <c r="BR53" s="197"/>
      <c r="BS53" s="197"/>
      <c r="BT53" s="197"/>
      <c r="BU53" s="197"/>
      <c r="BV53" s="197"/>
      <c r="BW53" s="197"/>
      <c r="BX53" s="197">
        <f>ROUND(SUMIF(AA24:AA51,"=65099320",FQ24:FQ51),2)</f>
        <v>0</v>
      </c>
      <c r="BY53" s="197">
        <f>ROUND(SUMIF(AA24:AA51,"=65099320",FR24:FR51),2)</f>
        <v>0</v>
      </c>
      <c r="BZ53" s="197">
        <f>ROUND(SUMIF(AA24:AA51,"=65099320",GL24:GL51),2)</f>
        <v>0</v>
      </c>
      <c r="CA53" s="197">
        <f>ROUND(SUMIF(AA24:AA51,"=65099320",GM24:GM51),2)</f>
        <v>10714.93</v>
      </c>
      <c r="CB53" s="197">
        <f>ROUND(SUMIF(AA24:AA51,"=65099320",GN24:GN51),2)</f>
        <v>10714.93</v>
      </c>
      <c r="CC53" s="197">
        <f>ROUND(SUMIF(AA24:AA51,"=65099320",GO24:GO51),2)</f>
        <v>0</v>
      </c>
      <c r="CD53" s="197">
        <f>ROUND(SUMIF(AA24:AA51,"=65099320",GP24:GP51),2)</f>
        <v>0</v>
      </c>
      <c r="CE53" s="197">
        <f>AC53-BX53</f>
        <v>9374.5599999999995</v>
      </c>
      <c r="CF53" s="197">
        <f>AC53-BY53</f>
        <v>9374.5599999999995</v>
      </c>
      <c r="CG53" s="197">
        <f>BX53-BZ53</f>
        <v>0</v>
      </c>
      <c r="CH53" s="197">
        <f>AC53-BX53-BY53+BZ53</f>
        <v>9374.5599999999995</v>
      </c>
      <c r="CI53" s="197">
        <f>BY53-BZ53</f>
        <v>0</v>
      </c>
      <c r="CJ53" s="197">
        <f>ROUND(SUMIF(AA24:AA51,"=65099320",GX24:GX51),2)</f>
        <v>0</v>
      </c>
      <c r="CK53" s="197">
        <f>ROUND(SUMIF(AA24:AA51,"=65099320",GY24:GY51),2)</f>
        <v>0</v>
      </c>
      <c r="CL53" s="197">
        <f>ROUND(SUMIF(AA24:AA51,"=65099320",GZ24:GZ51),2)</f>
        <v>0</v>
      </c>
      <c r="CM53" s="197">
        <f>ROUND(SUMIF(AA24:AA51,"=65099320",HD24:HD51),2)</f>
        <v>0</v>
      </c>
      <c r="CN53" s="197"/>
      <c r="CO53" s="197"/>
      <c r="CP53" s="197"/>
      <c r="CQ53" s="197"/>
      <c r="CR53" s="197"/>
      <c r="CS53" s="197"/>
      <c r="CT53" s="197"/>
      <c r="CU53" s="197"/>
      <c r="CV53" s="197"/>
      <c r="CW53" s="197"/>
      <c r="CX53" s="197"/>
      <c r="CY53" s="197"/>
      <c r="CZ53" s="197"/>
      <c r="DA53" s="197"/>
      <c r="DB53" s="197"/>
      <c r="DC53" s="197"/>
      <c r="DD53" s="197"/>
      <c r="DE53" s="197"/>
      <c r="DF53" s="197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  <c r="DV53" s="198"/>
      <c r="DW53" s="198"/>
      <c r="DX53" s="198"/>
      <c r="DY53" s="198"/>
      <c r="DZ53" s="198"/>
      <c r="EA53" s="198"/>
      <c r="EB53" s="198"/>
      <c r="EC53" s="198"/>
      <c r="ED53" s="198"/>
      <c r="EE53" s="198"/>
      <c r="EF53" s="198"/>
      <c r="EG53" s="198"/>
      <c r="EH53" s="198"/>
      <c r="EI53" s="198"/>
      <c r="EJ53" s="198"/>
      <c r="EK53" s="198"/>
      <c r="EL53" s="198"/>
      <c r="EM53" s="198"/>
      <c r="EN53" s="198"/>
      <c r="EO53" s="198"/>
      <c r="EP53" s="198"/>
      <c r="EQ53" s="198"/>
      <c r="ER53" s="198"/>
      <c r="ES53" s="198"/>
      <c r="ET53" s="198"/>
      <c r="EU53" s="198"/>
      <c r="EV53" s="198"/>
      <c r="EW53" s="198"/>
      <c r="EX53" s="198"/>
      <c r="EY53" s="198"/>
      <c r="EZ53" s="198"/>
      <c r="FA53" s="198"/>
      <c r="FB53" s="198"/>
      <c r="FC53" s="198"/>
      <c r="FD53" s="198"/>
      <c r="FE53" s="198"/>
      <c r="FF53" s="198"/>
      <c r="FG53" s="198"/>
      <c r="FH53" s="198"/>
      <c r="FI53" s="198"/>
      <c r="FJ53" s="198"/>
      <c r="FK53" s="198"/>
      <c r="FL53" s="198"/>
      <c r="FM53" s="198"/>
      <c r="FN53" s="198"/>
      <c r="FO53" s="198"/>
      <c r="FP53" s="198"/>
      <c r="FQ53" s="198"/>
      <c r="FR53" s="198"/>
      <c r="FS53" s="198"/>
      <c r="FT53" s="198"/>
      <c r="FU53" s="198"/>
      <c r="FV53" s="198"/>
      <c r="FW53" s="198"/>
      <c r="FX53" s="198"/>
      <c r="FY53" s="198"/>
      <c r="FZ53" s="198"/>
      <c r="GA53" s="198"/>
      <c r="GB53" s="198"/>
      <c r="GC53" s="198"/>
      <c r="GD53" s="198"/>
      <c r="GE53" s="198"/>
      <c r="GF53" s="198"/>
      <c r="GG53" s="198"/>
      <c r="GH53" s="198"/>
      <c r="GI53" s="198"/>
      <c r="GJ53" s="198"/>
      <c r="GK53" s="198"/>
      <c r="GL53" s="198"/>
      <c r="GM53" s="198"/>
      <c r="GN53" s="198"/>
      <c r="GO53" s="198"/>
      <c r="GP53" s="198"/>
      <c r="GQ53" s="198"/>
      <c r="GR53" s="198"/>
      <c r="GS53" s="198"/>
      <c r="GT53" s="198"/>
      <c r="GU53" s="198"/>
      <c r="GV53" s="198"/>
      <c r="GW53" s="198"/>
      <c r="GX53" s="198">
        <v>0</v>
      </c>
    </row>
    <row r="55">
      <c r="A55" s="199">
        <v>50</v>
      </c>
      <c r="B55" s="199">
        <v>1</v>
      </c>
      <c r="C55" s="199">
        <v>0</v>
      </c>
      <c r="D55" s="199">
        <v>1</v>
      </c>
      <c r="E55" s="199">
        <v>201</v>
      </c>
      <c r="F55" s="199">
        <f>ROUND(Source!O53,O55)</f>
        <v>9909.9799999999996</v>
      </c>
      <c r="G55" s="199" t="s">
        <v>363</v>
      </c>
      <c r="H55" s="199" t="s">
        <v>364</v>
      </c>
      <c r="I55" s="199"/>
      <c r="J55" s="199"/>
      <c r="K55" s="199">
        <v>201</v>
      </c>
      <c r="L55" s="199">
        <v>1</v>
      </c>
      <c r="M55" s="199">
        <v>0</v>
      </c>
      <c r="N55" s="199" t="s">
        <v>242</v>
      </c>
      <c r="O55" s="199">
        <v>2</v>
      </c>
      <c r="P55" s="199"/>
      <c r="Q55" s="199"/>
      <c r="R55" s="199"/>
      <c r="S55" s="199"/>
      <c r="T55" s="199"/>
      <c r="U55" s="199"/>
      <c r="V55" s="199"/>
      <c r="W55" s="199">
        <v>9909.9799999999996</v>
      </c>
      <c r="X55" s="199">
        <v>1</v>
      </c>
      <c r="Y55" s="199">
        <v>117240.19</v>
      </c>
      <c r="Z55" s="199"/>
      <c r="AA55" s="199"/>
      <c r="AB55" s="199"/>
    </row>
    <row r="56">
      <c r="A56" s="199">
        <v>50</v>
      </c>
      <c r="B56" s="199">
        <v>1</v>
      </c>
      <c r="C56" s="199">
        <v>0</v>
      </c>
      <c r="D56" s="199">
        <v>1</v>
      </c>
      <c r="E56" s="199">
        <v>202</v>
      </c>
      <c r="F56" s="199">
        <f>ROUND(Source!P53,O56)</f>
        <v>9374.5599999999995</v>
      </c>
      <c r="G56" s="199" t="s">
        <v>365</v>
      </c>
      <c r="H56" s="199" t="s">
        <v>366</v>
      </c>
      <c r="I56" s="199"/>
      <c r="J56" s="199"/>
      <c r="K56" s="199">
        <v>202</v>
      </c>
      <c r="L56" s="199">
        <v>2</v>
      </c>
      <c r="M56" s="199">
        <v>1</v>
      </c>
      <c r="N56" s="199" t="s">
        <v>242</v>
      </c>
      <c r="O56" s="199">
        <v>2</v>
      </c>
      <c r="P56" s="199"/>
      <c r="Q56" s="199"/>
      <c r="R56" s="199"/>
      <c r="S56" s="199"/>
      <c r="T56" s="199"/>
      <c r="U56" s="199"/>
      <c r="V56" s="199"/>
      <c r="W56" s="199">
        <v>9374.5599999999995</v>
      </c>
      <c r="X56" s="199">
        <v>1</v>
      </c>
      <c r="Y56" s="199">
        <v>89527.050000000003</v>
      </c>
      <c r="Z56" s="199"/>
      <c r="AA56" s="199"/>
      <c r="AB56" s="199"/>
    </row>
    <row r="57">
      <c r="A57" s="199">
        <v>50</v>
      </c>
      <c r="B57" s="199">
        <v>0</v>
      </c>
      <c r="C57" s="199">
        <v>0</v>
      </c>
      <c r="D57" s="199">
        <v>1</v>
      </c>
      <c r="E57" s="199">
        <v>222</v>
      </c>
      <c r="F57" s="199">
        <f>ROUND(Source!AO53,O57)</f>
        <v>0</v>
      </c>
      <c r="G57" s="199" t="s">
        <v>367</v>
      </c>
      <c r="H57" s="199" t="s">
        <v>368</v>
      </c>
      <c r="I57" s="199"/>
      <c r="J57" s="199"/>
      <c r="K57" s="199">
        <v>222</v>
      </c>
      <c r="L57" s="199">
        <v>3</v>
      </c>
      <c r="M57" s="199">
        <v>3</v>
      </c>
      <c r="N57" s="199" t="s">
        <v>242</v>
      </c>
      <c r="O57" s="199">
        <v>2</v>
      </c>
      <c r="P57" s="199"/>
      <c r="Q57" s="199"/>
      <c r="R57" s="199"/>
      <c r="S57" s="199"/>
      <c r="T57" s="199"/>
      <c r="U57" s="199"/>
      <c r="V57" s="199"/>
      <c r="W57" s="199">
        <v>0</v>
      </c>
      <c r="X57" s="199">
        <v>1</v>
      </c>
      <c r="Y57" s="199">
        <v>0</v>
      </c>
      <c r="Z57" s="199"/>
      <c r="AA57" s="199"/>
      <c r="AB57" s="199"/>
    </row>
    <row r="58">
      <c r="A58" s="199">
        <v>50</v>
      </c>
      <c r="B58" s="199">
        <v>0</v>
      </c>
      <c r="C58" s="199">
        <v>0</v>
      </c>
      <c r="D58" s="199">
        <v>1</v>
      </c>
      <c r="E58" s="199">
        <v>225</v>
      </c>
      <c r="F58" s="199">
        <f>ROUND(Source!AV53,O58)</f>
        <v>9374.5599999999995</v>
      </c>
      <c r="G58" s="199" t="s">
        <v>369</v>
      </c>
      <c r="H58" s="199" t="s">
        <v>370</v>
      </c>
      <c r="I58" s="199"/>
      <c r="J58" s="199"/>
      <c r="K58" s="199">
        <v>225</v>
      </c>
      <c r="L58" s="199">
        <v>4</v>
      </c>
      <c r="M58" s="199">
        <v>3</v>
      </c>
      <c r="N58" s="199" t="s">
        <v>242</v>
      </c>
      <c r="O58" s="199">
        <v>2</v>
      </c>
      <c r="P58" s="199"/>
      <c r="Q58" s="199"/>
      <c r="R58" s="199"/>
      <c r="S58" s="199"/>
      <c r="T58" s="199"/>
      <c r="U58" s="199"/>
      <c r="V58" s="199"/>
      <c r="W58" s="199">
        <v>9374.5599999999995</v>
      </c>
      <c r="X58" s="199">
        <v>1</v>
      </c>
      <c r="Y58" s="199">
        <v>0</v>
      </c>
      <c r="Z58" s="199"/>
      <c r="AA58" s="199"/>
      <c r="AB58" s="199"/>
    </row>
    <row r="59">
      <c r="A59" s="199">
        <v>50</v>
      </c>
      <c r="B59" s="199">
        <v>1</v>
      </c>
      <c r="C59" s="199">
        <v>0</v>
      </c>
      <c r="D59" s="199">
        <v>1</v>
      </c>
      <c r="E59" s="199">
        <v>226</v>
      </c>
      <c r="F59" s="199">
        <f>ROUND(Source!AW53,O59)</f>
        <v>9374.5599999999995</v>
      </c>
      <c r="G59" s="199" t="s">
        <v>371</v>
      </c>
      <c r="H59" s="199" t="s">
        <v>372</v>
      </c>
      <c r="I59" s="199"/>
      <c r="J59" s="199"/>
      <c r="K59" s="199">
        <v>226</v>
      </c>
      <c r="L59" s="199">
        <v>5</v>
      </c>
      <c r="M59" s="199">
        <v>1</v>
      </c>
      <c r="N59" s="199" t="s">
        <v>242</v>
      </c>
      <c r="O59" s="199">
        <v>2</v>
      </c>
      <c r="P59" s="199"/>
      <c r="Q59" s="199"/>
      <c r="R59" s="199"/>
      <c r="S59" s="199"/>
      <c r="T59" s="199"/>
      <c r="U59" s="199"/>
      <c r="V59" s="199"/>
      <c r="W59" s="199">
        <v>9374.5599999999995</v>
      </c>
      <c r="X59" s="199">
        <v>1</v>
      </c>
      <c r="Y59" s="199">
        <v>89527.050000000003</v>
      </c>
      <c r="Z59" s="199"/>
      <c r="AA59" s="199"/>
      <c r="AB59" s="199"/>
    </row>
    <row r="60">
      <c r="A60" s="199">
        <v>50</v>
      </c>
      <c r="B60" s="199">
        <v>0</v>
      </c>
      <c r="C60" s="199">
        <v>0</v>
      </c>
      <c r="D60" s="199">
        <v>1</v>
      </c>
      <c r="E60" s="199">
        <v>227</v>
      </c>
      <c r="F60" s="199">
        <f>ROUND(Source!AX53,O60)</f>
        <v>0</v>
      </c>
      <c r="G60" s="199" t="s">
        <v>373</v>
      </c>
      <c r="H60" s="199" t="s">
        <v>374</v>
      </c>
      <c r="I60" s="199"/>
      <c r="J60" s="199"/>
      <c r="K60" s="199">
        <v>227</v>
      </c>
      <c r="L60" s="199">
        <v>6</v>
      </c>
      <c r="M60" s="199">
        <v>1</v>
      </c>
      <c r="N60" s="199" t="s">
        <v>242</v>
      </c>
      <c r="O60" s="199">
        <v>2</v>
      </c>
      <c r="P60" s="199"/>
      <c r="Q60" s="199"/>
      <c r="R60" s="199"/>
      <c r="S60" s="199"/>
      <c r="T60" s="199"/>
      <c r="U60" s="199"/>
      <c r="V60" s="199"/>
      <c r="W60" s="199">
        <v>0</v>
      </c>
      <c r="X60" s="199">
        <v>1</v>
      </c>
      <c r="Y60" s="199">
        <v>0</v>
      </c>
      <c r="Z60" s="199"/>
      <c r="AA60" s="199"/>
      <c r="AB60" s="199"/>
    </row>
    <row r="61">
      <c r="A61" s="199">
        <v>50</v>
      </c>
      <c r="B61" s="199">
        <v>0</v>
      </c>
      <c r="C61" s="199">
        <v>0</v>
      </c>
      <c r="D61" s="199">
        <v>1</v>
      </c>
      <c r="E61" s="199">
        <v>228</v>
      </c>
      <c r="F61" s="199">
        <f>ROUND(Source!AY53,O61)</f>
        <v>9374.5599999999995</v>
      </c>
      <c r="G61" s="199" t="s">
        <v>375</v>
      </c>
      <c r="H61" s="199" t="s">
        <v>376</v>
      </c>
      <c r="I61" s="199"/>
      <c r="J61" s="199"/>
      <c r="K61" s="199">
        <v>228</v>
      </c>
      <c r="L61" s="199">
        <v>7</v>
      </c>
      <c r="M61" s="199">
        <v>3</v>
      </c>
      <c r="N61" s="199" t="s">
        <v>242</v>
      </c>
      <c r="O61" s="199">
        <v>2</v>
      </c>
      <c r="P61" s="199"/>
      <c r="Q61" s="199"/>
      <c r="R61" s="199"/>
      <c r="S61" s="199"/>
      <c r="T61" s="199"/>
      <c r="U61" s="199"/>
      <c r="V61" s="199"/>
      <c r="W61" s="199">
        <v>9374.5599999999995</v>
      </c>
      <c r="X61" s="199">
        <v>1</v>
      </c>
      <c r="Y61" s="199">
        <v>89527.050000000003</v>
      </c>
      <c r="Z61" s="199"/>
      <c r="AA61" s="199"/>
      <c r="AB61" s="199"/>
    </row>
    <row r="62">
      <c r="A62" s="199">
        <v>50</v>
      </c>
      <c r="B62" s="199">
        <v>0</v>
      </c>
      <c r="C62" s="199">
        <v>0</v>
      </c>
      <c r="D62" s="199">
        <v>1</v>
      </c>
      <c r="E62" s="199">
        <v>216</v>
      </c>
      <c r="F62" s="199">
        <f>ROUND(Source!AP53,O62)</f>
        <v>0</v>
      </c>
      <c r="G62" s="199" t="s">
        <v>377</v>
      </c>
      <c r="H62" s="199" t="s">
        <v>378</v>
      </c>
      <c r="I62" s="199"/>
      <c r="J62" s="199"/>
      <c r="K62" s="199">
        <v>216</v>
      </c>
      <c r="L62" s="199">
        <v>8</v>
      </c>
      <c r="M62" s="199">
        <v>1</v>
      </c>
      <c r="N62" s="199" t="s">
        <v>242</v>
      </c>
      <c r="O62" s="199">
        <v>2</v>
      </c>
      <c r="P62" s="199"/>
      <c r="Q62" s="199"/>
      <c r="R62" s="199"/>
      <c r="S62" s="199"/>
      <c r="T62" s="199"/>
      <c r="U62" s="199"/>
      <c r="V62" s="199"/>
      <c r="W62" s="199">
        <v>0</v>
      </c>
      <c r="X62" s="199">
        <v>1</v>
      </c>
      <c r="Y62" s="199">
        <v>0</v>
      </c>
      <c r="Z62" s="199"/>
      <c r="AA62" s="199"/>
      <c r="AB62" s="199"/>
    </row>
    <row r="63">
      <c r="A63" s="199">
        <v>50</v>
      </c>
      <c r="B63" s="199">
        <v>0</v>
      </c>
      <c r="C63" s="199">
        <v>0</v>
      </c>
      <c r="D63" s="199">
        <v>1</v>
      </c>
      <c r="E63" s="199">
        <v>223</v>
      </c>
      <c r="F63" s="199">
        <f>ROUND(Source!AQ53,O63)</f>
        <v>0</v>
      </c>
      <c r="G63" s="199" t="s">
        <v>379</v>
      </c>
      <c r="H63" s="199" t="s">
        <v>380</v>
      </c>
      <c r="I63" s="199"/>
      <c r="J63" s="199"/>
      <c r="K63" s="199">
        <v>223</v>
      </c>
      <c r="L63" s="199">
        <v>9</v>
      </c>
      <c r="M63" s="199">
        <v>1</v>
      </c>
      <c r="N63" s="199" t="s">
        <v>242</v>
      </c>
      <c r="O63" s="199">
        <v>2</v>
      </c>
      <c r="P63" s="199"/>
      <c r="Q63" s="199"/>
      <c r="R63" s="199"/>
      <c r="S63" s="199"/>
      <c r="T63" s="199"/>
      <c r="U63" s="199"/>
      <c r="V63" s="199"/>
      <c r="W63" s="199">
        <v>0</v>
      </c>
      <c r="X63" s="199">
        <v>1</v>
      </c>
      <c r="Y63" s="199">
        <v>0</v>
      </c>
      <c r="Z63" s="199"/>
      <c r="AA63" s="199"/>
      <c r="AB63" s="199"/>
    </row>
    <row r="64">
      <c r="A64" s="199">
        <v>50</v>
      </c>
      <c r="B64" s="199">
        <v>0</v>
      </c>
      <c r="C64" s="199">
        <v>0</v>
      </c>
      <c r="D64" s="199">
        <v>1</v>
      </c>
      <c r="E64" s="199">
        <v>229</v>
      </c>
      <c r="F64" s="199">
        <f>ROUND(Source!AZ53,O64)</f>
        <v>0</v>
      </c>
      <c r="G64" s="199" t="s">
        <v>381</v>
      </c>
      <c r="H64" s="199" t="s">
        <v>382</v>
      </c>
      <c r="I64" s="199"/>
      <c r="J64" s="199"/>
      <c r="K64" s="199">
        <v>229</v>
      </c>
      <c r="L64" s="199">
        <v>10</v>
      </c>
      <c r="M64" s="199">
        <v>3</v>
      </c>
      <c r="N64" s="199" t="s">
        <v>242</v>
      </c>
      <c r="O64" s="199">
        <v>2</v>
      </c>
      <c r="P64" s="199"/>
      <c r="Q64" s="199"/>
      <c r="R64" s="199"/>
      <c r="S64" s="199"/>
      <c r="T64" s="199"/>
      <c r="U64" s="199"/>
      <c r="V64" s="199"/>
      <c r="W64" s="199">
        <v>0</v>
      </c>
      <c r="X64" s="199">
        <v>1</v>
      </c>
      <c r="Y64" s="199">
        <v>0</v>
      </c>
      <c r="Z64" s="199"/>
      <c r="AA64" s="199"/>
      <c r="AB64" s="199"/>
    </row>
    <row r="65">
      <c r="A65" s="199">
        <v>50</v>
      </c>
      <c r="B65" s="199">
        <v>1</v>
      </c>
      <c r="C65" s="199">
        <v>0</v>
      </c>
      <c r="D65" s="199">
        <v>1</v>
      </c>
      <c r="E65" s="199">
        <v>203</v>
      </c>
      <c r="F65" s="199">
        <f>ROUND(Source!Q53,O65)</f>
        <v>48.980000000000004</v>
      </c>
      <c r="G65" s="199" t="s">
        <v>383</v>
      </c>
      <c r="H65" s="199" t="s">
        <v>384</v>
      </c>
      <c r="I65" s="199"/>
      <c r="J65" s="199"/>
      <c r="K65" s="199">
        <v>203</v>
      </c>
      <c r="L65" s="199">
        <v>11</v>
      </c>
      <c r="M65" s="199">
        <v>0</v>
      </c>
      <c r="N65" s="199" t="s">
        <v>242</v>
      </c>
      <c r="O65" s="199">
        <v>2</v>
      </c>
      <c r="P65" s="199"/>
      <c r="Q65" s="199"/>
      <c r="R65" s="199"/>
      <c r="S65" s="199"/>
      <c r="T65" s="199"/>
      <c r="U65" s="199"/>
      <c r="V65" s="199"/>
      <c r="W65" s="199">
        <v>48.980000000000004</v>
      </c>
      <c r="X65" s="199">
        <v>1</v>
      </c>
      <c r="Y65" s="199">
        <v>803.26999999999998</v>
      </c>
      <c r="Z65" s="199"/>
      <c r="AA65" s="199"/>
      <c r="AB65" s="199"/>
    </row>
    <row r="66">
      <c r="A66" s="199">
        <v>50</v>
      </c>
      <c r="B66" s="199">
        <v>0</v>
      </c>
      <c r="C66" s="199">
        <v>0</v>
      </c>
      <c r="D66" s="199">
        <v>1</v>
      </c>
      <c r="E66" s="199">
        <v>231</v>
      </c>
      <c r="F66" s="199">
        <f>ROUND(Source!BB53,O66)</f>
        <v>0</v>
      </c>
      <c r="G66" s="199" t="s">
        <v>385</v>
      </c>
      <c r="H66" s="199" t="s">
        <v>386</v>
      </c>
      <c r="I66" s="199"/>
      <c r="J66" s="199"/>
      <c r="K66" s="199">
        <v>231</v>
      </c>
      <c r="L66" s="199">
        <v>12</v>
      </c>
      <c r="M66" s="199">
        <v>3</v>
      </c>
      <c r="N66" s="199" t="s">
        <v>242</v>
      </c>
      <c r="O66" s="199">
        <v>2</v>
      </c>
      <c r="P66" s="199"/>
      <c r="Q66" s="199"/>
      <c r="R66" s="199"/>
      <c r="S66" s="199"/>
      <c r="T66" s="199"/>
      <c r="U66" s="199"/>
      <c r="V66" s="199"/>
      <c r="W66" s="199">
        <v>0</v>
      </c>
      <c r="X66" s="199">
        <v>1</v>
      </c>
      <c r="Y66" s="199">
        <v>0</v>
      </c>
      <c r="Z66" s="199"/>
      <c r="AA66" s="199"/>
      <c r="AB66" s="199"/>
    </row>
    <row r="67">
      <c r="A67" s="199">
        <v>50</v>
      </c>
      <c r="B67" s="199">
        <v>1</v>
      </c>
      <c r="C67" s="199">
        <v>0</v>
      </c>
      <c r="D67" s="199">
        <v>1</v>
      </c>
      <c r="E67" s="199">
        <v>204</v>
      </c>
      <c r="F67" s="199">
        <f>ROUND(Source!R53,O67)</f>
        <v>8.9500000000000011</v>
      </c>
      <c r="G67" s="199" t="s">
        <v>387</v>
      </c>
      <c r="H67" s="199" t="s">
        <v>388</v>
      </c>
      <c r="I67" s="199"/>
      <c r="J67" s="199"/>
      <c r="K67" s="199">
        <v>204</v>
      </c>
      <c r="L67" s="199">
        <v>13</v>
      </c>
      <c r="M67" s="199">
        <v>0</v>
      </c>
      <c r="N67" s="199" t="s">
        <v>242</v>
      </c>
      <c r="O67" s="199">
        <v>2</v>
      </c>
      <c r="P67" s="199"/>
      <c r="Q67" s="199"/>
      <c r="R67" s="199"/>
      <c r="S67" s="199"/>
      <c r="T67" s="199"/>
      <c r="U67" s="199"/>
      <c r="V67" s="199"/>
      <c r="W67" s="199">
        <v>8.9500000000000011</v>
      </c>
      <c r="X67" s="199">
        <v>1</v>
      </c>
      <c r="Y67" s="199">
        <v>495.12000000000006</v>
      </c>
      <c r="Z67" s="199"/>
      <c r="AA67" s="199"/>
      <c r="AB67" s="199"/>
    </row>
    <row r="68">
      <c r="A68" s="199">
        <v>50</v>
      </c>
      <c r="B68" s="199">
        <v>1</v>
      </c>
      <c r="C68" s="199">
        <v>0</v>
      </c>
      <c r="D68" s="199">
        <v>1</v>
      </c>
      <c r="E68" s="199">
        <v>205</v>
      </c>
      <c r="F68" s="199">
        <f>ROUND(Source!S53,O68)</f>
        <v>486.44</v>
      </c>
      <c r="G68" s="199" t="s">
        <v>389</v>
      </c>
      <c r="H68" s="199" t="s">
        <v>390</v>
      </c>
      <c r="I68" s="199"/>
      <c r="J68" s="199"/>
      <c r="K68" s="199">
        <v>205</v>
      </c>
      <c r="L68" s="199">
        <v>14</v>
      </c>
      <c r="M68" s="199">
        <v>0</v>
      </c>
      <c r="N68" s="199" t="s">
        <v>242</v>
      </c>
      <c r="O68" s="199">
        <v>2</v>
      </c>
      <c r="P68" s="199"/>
      <c r="Q68" s="199"/>
      <c r="R68" s="199"/>
      <c r="S68" s="199"/>
      <c r="T68" s="199"/>
      <c r="U68" s="199"/>
      <c r="V68" s="199"/>
      <c r="W68" s="199">
        <v>486.44</v>
      </c>
      <c r="X68" s="199">
        <v>1</v>
      </c>
      <c r="Y68" s="199">
        <v>26909.869999999995</v>
      </c>
      <c r="Z68" s="199"/>
      <c r="AA68" s="199"/>
      <c r="AB68" s="199"/>
    </row>
    <row r="69">
      <c r="A69" s="199">
        <v>50</v>
      </c>
      <c r="B69" s="199">
        <v>0</v>
      </c>
      <c r="C69" s="199">
        <v>0</v>
      </c>
      <c r="D69" s="199">
        <v>1</v>
      </c>
      <c r="E69" s="199">
        <v>232</v>
      </c>
      <c r="F69" s="199">
        <f>ROUND(Source!BC53,O69)</f>
        <v>0</v>
      </c>
      <c r="G69" s="199" t="s">
        <v>391</v>
      </c>
      <c r="H69" s="199" t="s">
        <v>392</v>
      </c>
      <c r="I69" s="199"/>
      <c r="J69" s="199"/>
      <c r="K69" s="199">
        <v>232</v>
      </c>
      <c r="L69" s="199">
        <v>15</v>
      </c>
      <c r="M69" s="199">
        <v>3</v>
      </c>
      <c r="N69" s="199" t="s">
        <v>242</v>
      </c>
      <c r="O69" s="199">
        <v>2</v>
      </c>
      <c r="P69" s="199"/>
      <c r="Q69" s="199"/>
      <c r="R69" s="199"/>
      <c r="S69" s="199"/>
      <c r="T69" s="199"/>
      <c r="U69" s="199"/>
      <c r="V69" s="199"/>
      <c r="W69" s="199">
        <v>0</v>
      </c>
      <c r="X69" s="199">
        <v>1</v>
      </c>
      <c r="Y69" s="199">
        <v>0</v>
      </c>
      <c r="Z69" s="199"/>
      <c r="AA69" s="199"/>
      <c r="AB69" s="199"/>
    </row>
    <row r="70">
      <c r="A70" s="199">
        <v>50</v>
      </c>
      <c r="B70" s="199">
        <v>0</v>
      </c>
      <c r="C70" s="199">
        <v>0</v>
      </c>
      <c r="D70" s="199">
        <v>1</v>
      </c>
      <c r="E70" s="199">
        <v>214</v>
      </c>
      <c r="F70" s="199">
        <f>ROUND(Source!AS53,O70)</f>
        <v>10714.93</v>
      </c>
      <c r="G70" s="199" t="s">
        <v>393</v>
      </c>
      <c r="H70" s="199" t="s">
        <v>394</v>
      </c>
      <c r="I70" s="199"/>
      <c r="J70" s="199"/>
      <c r="K70" s="199">
        <v>214</v>
      </c>
      <c r="L70" s="199">
        <v>16</v>
      </c>
      <c r="M70" s="199">
        <v>3</v>
      </c>
      <c r="N70" s="199" t="s">
        <v>242</v>
      </c>
      <c r="O70" s="199">
        <v>2</v>
      </c>
      <c r="P70" s="199"/>
      <c r="Q70" s="199"/>
      <c r="R70" s="199"/>
      <c r="S70" s="199"/>
      <c r="T70" s="199"/>
      <c r="U70" s="199"/>
      <c r="V70" s="199"/>
      <c r="W70" s="199">
        <v>10714.93</v>
      </c>
      <c r="X70" s="199">
        <v>1</v>
      </c>
      <c r="Y70" s="199">
        <v>161770.14000000001</v>
      </c>
      <c r="Z70" s="199"/>
      <c r="AA70" s="199"/>
      <c r="AB70" s="199"/>
    </row>
    <row r="71">
      <c r="A71" s="199">
        <v>50</v>
      </c>
      <c r="B71" s="199">
        <v>0</v>
      </c>
      <c r="C71" s="199">
        <v>0</v>
      </c>
      <c r="D71" s="199">
        <v>1</v>
      </c>
      <c r="E71" s="199">
        <v>215</v>
      </c>
      <c r="F71" s="199">
        <f>ROUND(Source!AT53,O71)</f>
        <v>0</v>
      </c>
      <c r="G71" s="199" t="s">
        <v>395</v>
      </c>
      <c r="H71" s="199" t="s">
        <v>396</v>
      </c>
      <c r="I71" s="199"/>
      <c r="J71" s="199"/>
      <c r="K71" s="199">
        <v>215</v>
      </c>
      <c r="L71" s="199">
        <v>17</v>
      </c>
      <c r="M71" s="199">
        <v>3</v>
      </c>
      <c r="N71" s="199" t="s">
        <v>242</v>
      </c>
      <c r="O71" s="199">
        <v>2</v>
      </c>
      <c r="P71" s="199"/>
      <c r="Q71" s="199"/>
      <c r="R71" s="199"/>
      <c r="S71" s="199"/>
      <c r="T71" s="199"/>
      <c r="U71" s="199"/>
      <c r="V71" s="199"/>
      <c r="W71" s="199">
        <v>0</v>
      </c>
      <c r="X71" s="199">
        <v>1</v>
      </c>
      <c r="Y71" s="199">
        <v>0</v>
      </c>
      <c r="Z71" s="199"/>
      <c r="AA71" s="199"/>
      <c r="AB71" s="199"/>
    </row>
    <row r="72">
      <c r="A72" s="199">
        <v>50</v>
      </c>
      <c r="B72" s="199">
        <v>0</v>
      </c>
      <c r="C72" s="199">
        <v>0</v>
      </c>
      <c r="D72" s="199">
        <v>1</v>
      </c>
      <c r="E72" s="199">
        <v>217</v>
      </c>
      <c r="F72" s="199">
        <f>ROUND(Source!AU53,O72)</f>
        <v>0</v>
      </c>
      <c r="G72" s="199" t="s">
        <v>397</v>
      </c>
      <c r="H72" s="199" t="s">
        <v>398</v>
      </c>
      <c r="I72" s="199"/>
      <c r="J72" s="199"/>
      <c r="K72" s="199">
        <v>217</v>
      </c>
      <c r="L72" s="199">
        <v>18</v>
      </c>
      <c r="M72" s="199">
        <v>3</v>
      </c>
      <c r="N72" s="199" t="s">
        <v>242</v>
      </c>
      <c r="O72" s="199">
        <v>2</v>
      </c>
      <c r="P72" s="199"/>
      <c r="Q72" s="199"/>
      <c r="R72" s="199"/>
      <c r="S72" s="199"/>
      <c r="T72" s="199"/>
      <c r="U72" s="199"/>
      <c r="V72" s="199"/>
      <c r="W72" s="199">
        <v>0</v>
      </c>
      <c r="X72" s="199">
        <v>1</v>
      </c>
      <c r="Y72" s="199">
        <v>0</v>
      </c>
      <c r="Z72" s="199"/>
      <c r="AA72" s="199"/>
      <c r="AB72" s="199"/>
    </row>
    <row r="73">
      <c r="A73" s="199">
        <v>50</v>
      </c>
      <c r="B73" s="199">
        <v>0</v>
      </c>
      <c r="C73" s="199">
        <v>0</v>
      </c>
      <c r="D73" s="199">
        <v>1</v>
      </c>
      <c r="E73" s="199">
        <v>230</v>
      </c>
      <c r="F73" s="199">
        <f>ROUND(Source!BA53,O73)</f>
        <v>0</v>
      </c>
      <c r="G73" s="199" t="s">
        <v>399</v>
      </c>
      <c r="H73" s="199" t="s">
        <v>400</v>
      </c>
      <c r="I73" s="199"/>
      <c r="J73" s="199"/>
      <c r="K73" s="199">
        <v>230</v>
      </c>
      <c r="L73" s="199">
        <v>19</v>
      </c>
      <c r="M73" s="199">
        <v>3</v>
      </c>
      <c r="N73" s="199" t="s">
        <v>242</v>
      </c>
      <c r="O73" s="199">
        <v>2</v>
      </c>
      <c r="P73" s="199"/>
      <c r="Q73" s="199"/>
      <c r="R73" s="199"/>
      <c r="S73" s="199"/>
      <c r="T73" s="199"/>
      <c r="U73" s="199"/>
      <c r="V73" s="199"/>
      <c r="W73" s="199">
        <v>0</v>
      </c>
      <c r="X73" s="199">
        <v>1</v>
      </c>
      <c r="Y73" s="199">
        <v>0</v>
      </c>
      <c r="Z73" s="199"/>
      <c r="AA73" s="199"/>
      <c r="AB73" s="199"/>
    </row>
    <row r="74">
      <c r="A74" s="199">
        <v>50</v>
      </c>
      <c r="B74" s="199">
        <v>0</v>
      </c>
      <c r="C74" s="199">
        <v>0</v>
      </c>
      <c r="D74" s="199">
        <v>1</v>
      </c>
      <c r="E74" s="199">
        <v>206</v>
      </c>
      <c r="F74" s="199">
        <f>ROUND(Source!T53,O74)</f>
        <v>0</v>
      </c>
      <c r="G74" s="199" t="s">
        <v>401</v>
      </c>
      <c r="H74" s="199" t="s">
        <v>402</v>
      </c>
      <c r="I74" s="199"/>
      <c r="J74" s="199"/>
      <c r="K74" s="199">
        <v>206</v>
      </c>
      <c r="L74" s="199">
        <v>20</v>
      </c>
      <c r="M74" s="199">
        <v>1</v>
      </c>
      <c r="N74" s="199" t="s">
        <v>242</v>
      </c>
      <c r="O74" s="199">
        <v>2</v>
      </c>
      <c r="P74" s="199"/>
      <c r="Q74" s="199"/>
      <c r="R74" s="199"/>
      <c r="S74" s="199"/>
      <c r="T74" s="199"/>
      <c r="U74" s="199"/>
      <c r="V74" s="199"/>
      <c r="W74" s="199">
        <v>0</v>
      </c>
      <c r="X74" s="199">
        <v>1</v>
      </c>
      <c r="Y74" s="199">
        <v>0</v>
      </c>
      <c r="Z74" s="199"/>
      <c r="AA74" s="199"/>
      <c r="AB74" s="199"/>
    </row>
    <row r="75">
      <c r="A75" s="199">
        <v>50</v>
      </c>
      <c r="B75" s="199">
        <v>1</v>
      </c>
      <c r="C75" s="199">
        <v>0</v>
      </c>
      <c r="D75" s="199">
        <v>1</v>
      </c>
      <c r="E75" s="199">
        <v>207</v>
      </c>
      <c r="F75" s="199">
        <f>ROUND(Source!U53,O75)</f>
        <v>54.994399999999999</v>
      </c>
      <c r="G75" s="199" t="s">
        <v>403</v>
      </c>
      <c r="H75" s="199" t="s">
        <v>404</v>
      </c>
      <c r="I75" s="199"/>
      <c r="J75" s="199"/>
      <c r="K75" s="199">
        <v>207</v>
      </c>
      <c r="L75" s="199">
        <v>21</v>
      </c>
      <c r="M75" s="199">
        <v>0</v>
      </c>
      <c r="N75" s="199" t="s">
        <v>242</v>
      </c>
      <c r="O75" s="199">
        <v>7</v>
      </c>
      <c r="P75" s="199"/>
      <c r="Q75" s="199"/>
      <c r="R75" s="199"/>
      <c r="S75" s="199"/>
      <c r="T75" s="199"/>
      <c r="U75" s="199"/>
      <c r="V75" s="199"/>
      <c r="W75" s="199">
        <v>54.994399999999999</v>
      </c>
      <c r="X75" s="199">
        <v>1</v>
      </c>
      <c r="Y75" s="199">
        <v>54.994399999999999</v>
      </c>
      <c r="Z75" s="199"/>
      <c r="AA75" s="199"/>
      <c r="AB75" s="199"/>
    </row>
    <row r="76">
      <c r="A76" s="199">
        <v>50</v>
      </c>
      <c r="B76" s="199">
        <v>1</v>
      </c>
      <c r="C76" s="199">
        <v>0</v>
      </c>
      <c r="D76" s="199">
        <v>1</v>
      </c>
      <c r="E76" s="199">
        <v>208</v>
      </c>
      <c r="F76" s="199">
        <f>ROUND(Source!V53,O76)</f>
        <v>0.7137</v>
      </c>
      <c r="G76" s="199" t="s">
        <v>405</v>
      </c>
      <c r="H76" s="199" t="s">
        <v>406</v>
      </c>
      <c r="I76" s="199"/>
      <c r="J76" s="199"/>
      <c r="K76" s="199">
        <v>208</v>
      </c>
      <c r="L76" s="199">
        <v>22</v>
      </c>
      <c r="M76" s="199">
        <v>0</v>
      </c>
      <c r="N76" s="199" t="s">
        <v>242</v>
      </c>
      <c r="O76" s="199">
        <v>7</v>
      </c>
      <c r="P76" s="199"/>
      <c r="Q76" s="199"/>
      <c r="R76" s="199"/>
      <c r="S76" s="199"/>
      <c r="T76" s="199"/>
      <c r="U76" s="199"/>
      <c r="V76" s="199"/>
      <c r="W76" s="199">
        <v>0.7137</v>
      </c>
      <c r="X76" s="199">
        <v>1</v>
      </c>
      <c r="Y76" s="199">
        <v>0.7137</v>
      </c>
      <c r="Z76" s="199"/>
      <c r="AA76" s="199"/>
      <c r="AB76" s="199"/>
    </row>
    <row r="77">
      <c r="A77" s="199">
        <v>50</v>
      </c>
      <c r="B77" s="199">
        <v>0</v>
      </c>
      <c r="C77" s="199">
        <v>0</v>
      </c>
      <c r="D77" s="199">
        <v>1</v>
      </c>
      <c r="E77" s="199">
        <v>209</v>
      </c>
      <c r="F77" s="199">
        <f>ROUND(Source!W53,O77)</f>
        <v>0</v>
      </c>
      <c r="G77" s="199" t="s">
        <v>407</v>
      </c>
      <c r="H77" s="199" t="s">
        <v>408</v>
      </c>
      <c r="I77" s="199"/>
      <c r="J77" s="199"/>
      <c r="K77" s="199">
        <v>209</v>
      </c>
      <c r="L77" s="199">
        <v>23</v>
      </c>
      <c r="M77" s="199">
        <v>3</v>
      </c>
      <c r="N77" s="199" t="s">
        <v>242</v>
      </c>
      <c r="O77" s="199">
        <v>2</v>
      </c>
      <c r="P77" s="199"/>
      <c r="Q77" s="199"/>
      <c r="R77" s="199"/>
      <c r="S77" s="199"/>
      <c r="T77" s="199"/>
      <c r="U77" s="199"/>
      <c r="V77" s="199"/>
      <c r="W77" s="199">
        <v>0</v>
      </c>
      <c r="X77" s="199">
        <v>1</v>
      </c>
      <c r="Y77" s="199">
        <v>0</v>
      </c>
      <c r="Z77" s="199"/>
      <c r="AA77" s="199"/>
      <c r="AB77" s="199"/>
    </row>
    <row r="78">
      <c r="A78" s="199">
        <v>50</v>
      </c>
      <c r="B78" s="199">
        <v>0</v>
      </c>
      <c r="C78" s="199">
        <v>0</v>
      </c>
      <c r="D78" s="199">
        <v>1</v>
      </c>
      <c r="E78" s="199">
        <v>233</v>
      </c>
      <c r="F78" s="199">
        <f>ROUND(Source!BD53,O78)</f>
        <v>0</v>
      </c>
      <c r="G78" s="199" t="s">
        <v>409</v>
      </c>
      <c r="H78" s="199" t="s">
        <v>410</v>
      </c>
      <c r="I78" s="199"/>
      <c r="J78" s="199"/>
      <c r="K78" s="199">
        <v>233</v>
      </c>
      <c r="L78" s="199">
        <v>24</v>
      </c>
      <c r="M78" s="199">
        <v>1</v>
      </c>
      <c r="N78" s="199" t="s">
        <v>242</v>
      </c>
      <c r="O78" s="199">
        <v>2</v>
      </c>
      <c r="P78" s="199"/>
      <c r="Q78" s="199"/>
      <c r="R78" s="199"/>
      <c r="S78" s="199"/>
      <c r="T78" s="199"/>
      <c r="U78" s="199"/>
      <c r="V78" s="199"/>
      <c r="W78" s="199">
        <v>0</v>
      </c>
      <c r="X78" s="199">
        <v>1</v>
      </c>
      <c r="Y78" s="199">
        <v>0</v>
      </c>
      <c r="Z78" s="199"/>
      <c r="AA78" s="199"/>
      <c r="AB78" s="199"/>
    </row>
    <row r="79">
      <c r="A79" s="199">
        <v>50</v>
      </c>
      <c r="B79" s="199">
        <v>1</v>
      </c>
      <c r="C79" s="199">
        <v>0</v>
      </c>
      <c r="D79" s="199">
        <v>1</v>
      </c>
      <c r="E79" s="199">
        <v>210</v>
      </c>
      <c r="F79" s="199">
        <f>ROUND(Source!X53,O79)</f>
        <v>517.88999999999999</v>
      </c>
      <c r="G79" s="199" t="s">
        <v>411</v>
      </c>
      <c r="H79" s="199" t="s">
        <v>412</v>
      </c>
      <c r="I79" s="199"/>
      <c r="J79" s="199"/>
      <c r="K79" s="199">
        <v>210</v>
      </c>
      <c r="L79" s="199">
        <v>25</v>
      </c>
      <c r="M79" s="199">
        <v>0</v>
      </c>
      <c r="N79" s="199" t="s">
        <v>242</v>
      </c>
      <c r="O79" s="199">
        <v>2</v>
      </c>
      <c r="P79" s="199"/>
      <c r="Q79" s="199"/>
      <c r="R79" s="199"/>
      <c r="S79" s="199"/>
      <c r="T79" s="199"/>
      <c r="U79" s="199"/>
      <c r="V79" s="199"/>
      <c r="W79" s="199">
        <v>517.88999999999999</v>
      </c>
      <c r="X79" s="199">
        <v>1</v>
      </c>
      <c r="Y79" s="199">
        <v>28649.579999999998</v>
      </c>
      <c r="Z79" s="199"/>
      <c r="AA79" s="199"/>
      <c r="AB79" s="199"/>
    </row>
    <row r="80">
      <c r="A80" s="199">
        <v>50</v>
      </c>
      <c r="B80" s="199">
        <v>1</v>
      </c>
      <c r="C80" s="199">
        <v>0</v>
      </c>
      <c r="D80" s="199">
        <v>1</v>
      </c>
      <c r="E80" s="199">
        <v>211</v>
      </c>
      <c r="F80" s="199">
        <f>ROUND(Source!Y53,O80)</f>
        <v>287.06</v>
      </c>
      <c r="G80" s="199" t="s">
        <v>413</v>
      </c>
      <c r="H80" s="199" t="s">
        <v>414</v>
      </c>
      <c r="I80" s="199"/>
      <c r="J80" s="199"/>
      <c r="K80" s="199">
        <v>211</v>
      </c>
      <c r="L80" s="199">
        <v>26</v>
      </c>
      <c r="M80" s="199">
        <v>0</v>
      </c>
      <c r="N80" s="199" t="s">
        <v>242</v>
      </c>
      <c r="O80" s="199">
        <v>2</v>
      </c>
      <c r="P80" s="199"/>
      <c r="Q80" s="199"/>
      <c r="R80" s="199"/>
      <c r="S80" s="199"/>
      <c r="T80" s="199"/>
      <c r="U80" s="199"/>
      <c r="V80" s="199"/>
      <c r="W80" s="199">
        <v>287.06</v>
      </c>
      <c r="X80" s="199">
        <v>1</v>
      </c>
      <c r="Y80" s="199">
        <v>15880.369999999999</v>
      </c>
      <c r="Z80" s="199"/>
      <c r="AA80" s="199"/>
      <c r="AB80" s="199"/>
    </row>
    <row r="81">
      <c r="A81" s="199">
        <v>50</v>
      </c>
      <c r="B81" s="199">
        <v>1</v>
      </c>
      <c r="C81" s="199">
        <v>0</v>
      </c>
      <c r="D81" s="199">
        <v>1</v>
      </c>
      <c r="E81" s="199">
        <v>224</v>
      </c>
      <c r="F81" s="199">
        <f>ROUND(Source!AR53,O81)</f>
        <v>10714.93</v>
      </c>
      <c r="G81" s="199" t="s">
        <v>415</v>
      </c>
      <c r="H81" s="199" t="s">
        <v>416</v>
      </c>
      <c r="I81" s="199"/>
      <c r="J81" s="199"/>
      <c r="K81" s="199">
        <v>224</v>
      </c>
      <c r="L81" s="199">
        <v>27</v>
      </c>
      <c r="M81" s="199">
        <v>0</v>
      </c>
      <c r="N81" s="199" t="s">
        <v>242</v>
      </c>
      <c r="O81" s="199">
        <v>2</v>
      </c>
      <c r="P81" s="199"/>
      <c r="Q81" s="199"/>
      <c r="R81" s="199"/>
      <c r="S81" s="199"/>
      <c r="T81" s="199"/>
      <c r="U81" s="199"/>
      <c r="V81" s="199"/>
      <c r="W81" s="199">
        <v>10714.929999999998</v>
      </c>
      <c r="X81" s="199">
        <v>1</v>
      </c>
      <c r="Y81" s="199">
        <v>161770.13999999998</v>
      </c>
      <c r="Z81" s="199"/>
      <c r="AA81" s="199"/>
      <c r="AB81" s="199"/>
    </row>
    <row r="83">
      <c r="A83" s="197">
        <v>51</v>
      </c>
      <c r="B83" s="197">
        <f>B12</f>
        <v>139</v>
      </c>
      <c r="C83" s="197">
        <f>A12</f>
        <v>1</v>
      </c>
      <c r="D83" s="197">
        <f>ROW(A12)</f>
        <v>12</v>
      </c>
      <c r="E83" s="197"/>
      <c r="F83" s="197" t="str">
        <f>IF(F12&lt;&gt;"",F12,"")</f>
        <v xml:space="preserve">Новый объект</v>
      </c>
      <c r="G83" s="197" t="str">
        <f>IF(G12&lt;&gt;"",G12,"")</f>
        <v>Астрахань</v>
      </c>
      <c r="H83" s="197">
        <v>0</v>
      </c>
      <c r="I83" s="197"/>
      <c r="J83" s="197"/>
      <c r="K83" s="197"/>
      <c r="L83" s="197"/>
      <c r="M83" s="197"/>
      <c r="N83" s="197"/>
      <c r="O83" s="197">
        <f t="shared" ref="O83:T83" si="112">ROUND(O53,2)</f>
        <v>9909.9799999999996</v>
      </c>
      <c r="P83" s="197">
        <f t="shared" si="112"/>
        <v>9374.5599999999995</v>
      </c>
      <c r="Q83" s="197">
        <f t="shared" si="112"/>
        <v>48.980000000000004</v>
      </c>
      <c r="R83" s="197">
        <f t="shared" si="112"/>
        <v>8.9500000000000011</v>
      </c>
      <c r="S83" s="197">
        <f t="shared" si="112"/>
        <v>486.44</v>
      </c>
      <c r="T83" s="197">
        <f t="shared" si="112"/>
        <v>0</v>
      </c>
      <c r="U83" s="197">
        <f>U53</f>
        <v>54.994399999999985</v>
      </c>
      <c r="V83" s="197">
        <f>V53</f>
        <v>0.7137</v>
      </c>
      <c r="W83" s="197">
        <f>ROUND(W53,2)</f>
        <v>0</v>
      </c>
      <c r="X83" s="197">
        <f>ROUND(X53,2)</f>
        <v>517.88999999999999</v>
      </c>
      <c r="Y83" s="197">
        <f>ROUND(Y53,2)</f>
        <v>287.06</v>
      </c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>
        <f t="shared" ref="AO83:BD83" si="113">ROUND(AO53,2)</f>
        <v>0</v>
      </c>
      <c r="AP83" s="197">
        <f t="shared" si="113"/>
        <v>0</v>
      </c>
      <c r="AQ83" s="197">
        <f t="shared" si="113"/>
        <v>0</v>
      </c>
      <c r="AR83" s="197">
        <f t="shared" si="113"/>
        <v>10714.93</v>
      </c>
      <c r="AS83" s="197">
        <f t="shared" si="113"/>
        <v>10714.93</v>
      </c>
      <c r="AT83" s="197">
        <f t="shared" si="113"/>
        <v>0</v>
      </c>
      <c r="AU83" s="197">
        <f t="shared" si="113"/>
        <v>0</v>
      </c>
      <c r="AV83" s="197">
        <f t="shared" si="113"/>
        <v>9374.5599999999995</v>
      </c>
      <c r="AW83" s="197">
        <f t="shared" si="113"/>
        <v>9374.5599999999995</v>
      </c>
      <c r="AX83" s="197">
        <f t="shared" si="113"/>
        <v>0</v>
      </c>
      <c r="AY83" s="197">
        <f t="shared" si="113"/>
        <v>9374.5599999999995</v>
      </c>
      <c r="AZ83" s="197">
        <f t="shared" si="113"/>
        <v>0</v>
      </c>
      <c r="BA83" s="197">
        <f t="shared" si="113"/>
        <v>0</v>
      </c>
      <c r="BB83" s="197">
        <f t="shared" si="113"/>
        <v>0</v>
      </c>
      <c r="BC83" s="197">
        <f t="shared" si="113"/>
        <v>0</v>
      </c>
      <c r="BD83" s="197">
        <f t="shared" si="113"/>
        <v>0</v>
      </c>
      <c r="BE83" s="197"/>
      <c r="BF83" s="197"/>
      <c r="BG83" s="197"/>
      <c r="BH83" s="197"/>
      <c r="BI83" s="197"/>
      <c r="BJ83" s="197"/>
      <c r="BK83" s="197"/>
      <c r="BL83" s="197"/>
      <c r="BM83" s="197"/>
      <c r="BN83" s="197"/>
      <c r="BO83" s="197"/>
      <c r="BP83" s="197"/>
      <c r="BQ83" s="197"/>
      <c r="BR83" s="197"/>
      <c r="BS83" s="197"/>
      <c r="BT83" s="197"/>
      <c r="BU83" s="197"/>
      <c r="BV83" s="197"/>
      <c r="BW83" s="197"/>
      <c r="BX83" s="197"/>
      <c r="BY83" s="197"/>
      <c r="BZ83" s="197"/>
      <c r="CA83" s="197"/>
      <c r="CB83" s="197"/>
      <c r="CC83" s="197"/>
      <c r="CD83" s="197"/>
      <c r="CE83" s="197"/>
      <c r="CF83" s="197"/>
      <c r="CG83" s="197"/>
      <c r="CH83" s="197"/>
      <c r="CI83" s="197"/>
      <c r="CJ83" s="197"/>
      <c r="CK83" s="197"/>
      <c r="CL83" s="197"/>
      <c r="CM83" s="197"/>
      <c r="CN83" s="197"/>
      <c r="CO83" s="197"/>
      <c r="CP83" s="197"/>
      <c r="CQ83" s="197"/>
      <c r="CR83" s="197"/>
      <c r="CS83" s="197"/>
      <c r="CT83" s="197"/>
      <c r="CU83" s="197"/>
      <c r="CV83" s="197"/>
      <c r="CW83" s="197"/>
      <c r="CX83" s="197"/>
      <c r="CY83" s="197"/>
      <c r="CZ83" s="197"/>
      <c r="DA83" s="197"/>
      <c r="DB83" s="197"/>
      <c r="DC83" s="197"/>
      <c r="DD83" s="197"/>
      <c r="DE83" s="197"/>
      <c r="DF83" s="197"/>
      <c r="DG83" s="198"/>
      <c r="DH83" s="198"/>
      <c r="DI83" s="198"/>
      <c r="DJ83" s="198"/>
      <c r="DK83" s="198"/>
      <c r="DL83" s="198"/>
      <c r="DM83" s="198"/>
      <c r="DN83" s="198"/>
      <c r="DO83" s="198"/>
      <c r="DP83" s="198"/>
      <c r="DQ83" s="198"/>
      <c r="DR83" s="198"/>
      <c r="DS83" s="198"/>
      <c r="DT83" s="198"/>
      <c r="DU83" s="198"/>
      <c r="DV83" s="198"/>
      <c r="DW83" s="198"/>
      <c r="DX83" s="198"/>
      <c r="DY83" s="198"/>
      <c r="DZ83" s="198"/>
      <c r="EA83" s="198"/>
      <c r="EB83" s="198"/>
      <c r="EC83" s="198"/>
      <c r="ED83" s="198"/>
      <c r="EE83" s="198"/>
      <c r="EF83" s="198"/>
      <c r="EG83" s="198"/>
      <c r="EH83" s="198"/>
      <c r="EI83" s="198"/>
      <c r="EJ83" s="198"/>
      <c r="EK83" s="198"/>
      <c r="EL83" s="198"/>
      <c r="EM83" s="198"/>
      <c r="EN83" s="198"/>
      <c r="EO83" s="198"/>
      <c r="EP83" s="198"/>
      <c r="EQ83" s="198"/>
      <c r="ER83" s="198"/>
      <c r="ES83" s="198"/>
      <c r="ET83" s="198"/>
      <c r="EU83" s="198"/>
      <c r="EV83" s="198"/>
      <c r="EW83" s="198"/>
      <c r="EX83" s="198"/>
      <c r="EY83" s="198"/>
      <c r="EZ83" s="198"/>
      <c r="FA83" s="198"/>
      <c r="FB83" s="198"/>
      <c r="FC83" s="198"/>
      <c r="FD83" s="198"/>
      <c r="FE83" s="198"/>
      <c r="FF83" s="198"/>
      <c r="FG83" s="198"/>
      <c r="FH83" s="198"/>
      <c r="FI83" s="198"/>
      <c r="FJ83" s="198"/>
      <c r="FK83" s="198"/>
      <c r="FL83" s="198"/>
      <c r="FM83" s="198"/>
      <c r="FN83" s="198"/>
      <c r="FO83" s="198"/>
      <c r="FP83" s="198"/>
      <c r="FQ83" s="198"/>
      <c r="FR83" s="198"/>
      <c r="FS83" s="198"/>
      <c r="FT83" s="198"/>
      <c r="FU83" s="198"/>
      <c r="FV83" s="198"/>
      <c r="FW83" s="198"/>
      <c r="FX83" s="198"/>
      <c r="FY83" s="198"/>
      <c r="FZ83" s="198"/>
      <c r="GA83" s="198"/>
      <c r="GB83" s="198"/>
      <c r="GC83" s="198"/>
      <c r="GD83" s="198"/>
      <c r="GE83" s="198"/>
      <c r="GF83" s="198"/>
      <c r="GG83" s="198"/>
      <c r="GH83" s="198"/>
      <c r="GI83" s="198"/>
      <c r="GJ83" s="198"/>
      <c r="GK83" s="198"/>
      <c r="GL83" s="198"/>
      <c r="GM83" s="198"/>
      <c r="GN83" s="198"/>
      <c r="GO83" s="198"/>
      <c r="GP83" s="198"/>
      <c r="GQ83" s="198"/>
      <c r="GR83" s="198"/>
      <c r="GS83" s="198"/>
      <c r="GT83" s="198"/>
      <c r="GU83" s="198"/>
      <c r="GV83" s="198"/>
      <c r="GW83" s="198"/>
      <c r="GX83" s="198">
        <v>0</v>
      </c>
    </row>
    <row r="85">
      <c r="A85" s="199">
        <v>50</v>
      </c>
      <c r="B85" s="199">
        <v>1</v>
      </c>
      <c r="C85" s="199">
        <v>0</v>
      </c>
      <c r="D85" s="199">
        <v>1</v>
      </c>
      <c r="E85" s="199">
        <v>201</v>
      </c>
      <c r="F85" s="199">
        <f>ROUND(Source!O83,O85)</f>
        <v>9909.9799999999996</v>
      </c>
      <c r="G85" s="199" t="s">
        <v>363</v>
      </c>
      <c r="H85" s="199" t="s">
        <v>364</v>
      </c>
      <c r="I85" s="199"/>
      <c r="J85" s="199"/>
      <c r="K85" s="199">
        <v>201</v>
      </c>
      <c r="L85" s="199">
        <v>1</v>
      </c>
      <c r="M85" s="199">
        <v>0</v>
      </c>
      <c r="N85" s="199" t="s">
        <v>242</v>
      </c>
      <c r="O85" s="199">
        <v>2</v>
      </c>
      <c r="P85" s="199"/>
      <c r="Q85" s="199"/>
      <c r="R85" s="199"/>
      <c r="S85" s="199"/>
      <c r="T85" s="199"/>
      <c r="U85" s="199"/>
      <c r="V85" s="199"/>
      <c r="W85" s="199">
        <v>9909.9799999999996</v>
      </c>
      <c r="X85" s="199">
        <v>1</v>
      </c>
      <c r="Y85" s="199">
        <v>117240.19</v>
      </c>
      <c r="Z85" s="199"/>
      <c r="AA85" s="199"/>
      <c r="AB85" s="199"/>
    </row>
    <row r="86">
      <c r="A86" s="199">
        <v>50</v>
      </c>
      <c r="B86" s="199">
        <v>0</v>
      </c>
      <c r="C86" s="199">
        <v>0</v>
      </c>
      <c r="D86" s="199">
        <v>1</v>
      </c>
      <c r="E86" s="199">
        <v>202</v>
      </c>
      <c r="F86" s="199">
        <f>ROUND(Source!P83,O86)</f>
        <v>9374.5599999999995</v>
      </c>
      <c r="G86" s="199" t="s">
        <v>365</v>
      </c>
      <c r="H86" s="199" t="s">
        <v>366</v>
      </c>
      <c r="I86" s="199"/>
      <c r="J86" s="199"/>
      <c r="K86" s="199">
        <v>202</v>
      </c>
      <c r="L86" s="199">
        <v>2</v>
      </c>
      <c r="M86" s="199">
        <v>1</v>
      </c>
      <c r="N86" s="199" t="s">
        <v>242</v>
      </c>
      <c r="O86" s="199">
        <v>2</v>
      </c>
      <c r="P86" s="199"/>
      <c r="Q86" s="199"/>
      <c r="R86" s="199"/>
      <c r="S86" s="199"/>
      <c r="T86" s="199"/>
      <c r="U86" s="199"/>
      <c r="V86" s="199"/>
      <c r="W86" s="199">
        <v>9374.5599999999995</v>
      </c>
      <c r="X86" s="199">
        <v>1</v>
      </c>
      <c r="Y86" s="199">
        <v>89527.050000000003</v>
      </c>
      <c r="Z86" s="199"/>
      <c r="AA86" s="199"/>
      <c r="AB86" s="199"/>
    </row>
    <row r="87">
      <c r="A87" s="199">
        <v>50</v>
      </c>
      <c r="B87" s="199">
        <v>0</v>
      </c>
      <c r="C87" s="199">
        <v>0</v>
      </c>
      <c r="D87" s="199">
        <v>1</v>
      </c>
      <c r="E87" s="199">
        <v>222</v>
      </c>
      <c r="F87" s="199">
        <f>ROUND(Source!AO83,O87)</f>
        <v>0</v>
      </c>
      <c r="G87" s="199" t="s">
        <v>367</v>
      </c>
      <c r="H87" s="199" t="s">
        <v>368</v>
      </c>
      <c r="I87" s="199"/>
      <c r="J87" s="199"/>
      <c r="K87" s="199">
        <v>222</v>
      </c>
      <c r="L87" s="199">
        <v>3</v>
      </c>
      <c r="M87" s="199">
        <v>3</v>
      </c>
      <c r="N87" s="199" t="s">
        <v>242</v>
      </c>
      <c r="O87" s="199">
        <v>2</v>
      </c>
      <c r="P87" s="199"/>
      <c r="Q87" s="199"/>
      <c r="R87" s="199"/>
      <c r="S87" s="199"/>
      <c r="T87" s="199"/>
      <c r="U87" s="199"/>
      <c r="V87" s="199"/>
      <c r="W87" s="199">
        <v>0</v>
      </c>
      <c r="X87" s="199">
        <v>1</v>
      </c>
      <c r="Y87" s="199">
        <v>0</v>
      </c>
      <c r="Z87" s="199"/>
      <c r="AA87" s="199"/>
      <c r="AB87" s="199"/>
    </row>
    <row r="88">
      <c r="A88" s="199">
        <v>50</v>
      </c>
      <c r="B88" s="199">
        <v>0</v>
      </c>
      <c r="C88" s="199">
        <v>0</v>
      </c>
      <c r="D88" s="199">
        <v>1</v>
      </c>
      <c r="E88" s="199">
        <v>225</v>
      </c>
      <c r="F88" s="199">
        <f>ROUND(Source!AV83,O88)</f>
        <v>9374.5599999999995</v>
      </c>
      <c r="G88" s="199" t="s">
        <v>369</v>
      </c>
      <c r="H88" s="199" t="s">
        <v>370</v>
      </c>
      <c r="I88" s="199"/>
      <c r="J88" s="199"/>
      <c r="K88" s="199">
        <v>225</v>
      </c>
      <c r="L88" s="199">
        <v>4</v>
      </c>
      <c r="M88" s="199">
        <v>3</v>
      </c>
      <c r="N88" s="199" t="s">
        <v>242</v>
      </c>
      <c r="O88" s="199">
        <v>2</v>
      </c>
      <c r="P88" s="199"/>
      <c r="Q88" s="199"/>
      <c r="R88" s="199"/>
      <c r="S88" s="199"/>
      <c r="T88" s="199"/>
      <c r="U88" s="199"/>
      <c r="V88" s="199"/>
      <c r="W88" s="199">
        <v>9374.5599999999995</v>
      </c>
      <c r="X88" s="199">
        <v>1</v>
      </c>
      <c r="Y88" s="199">
        <v>0</v>
      </c>
      <c r="Z88" s="199"/>
      <c r="AA88" s="199"/>
      <c r="AB88" s="199"/>
    </row>
    <row r="89">
      <c r="A89" s="199">
        <v>50</v>
      </c>
      <c r="B89" s="199">
        <v>0</v>
      </c>
      <c r="C89" s="199">
        <v>0</v>
      </c>
      <c r="D89" s="199">
        <v>1</v>
      </c>
      <c r="E89" s="199">
        <v>226</v>
      </c>
      <c r="F89" s="199">
        <f>ROUND(Source!AW83,O89)</f>
        <v>9374.5599999999995</v>
      </c>
      <c r="G89" s="199" t="s">
        <v>371</v>
      </c>
      <c r="H89" s="199" t="s">
        <v>372</v>
      </c>
      <c r="I89" s="199"/>
      <c r="J89" s="199"/>
      <c r="K89" s="199">
        <v>226</v>
      </c>
      <c r="L89" s="199">
        <v>5</v>
      </c>
      <c r="M89" s="199">
        <v>1</v>
      </c>
      <c r="N89" s="199" t="s">
        <v>242</v>
      </c>
      <c r="O89" s="199">
        <v>2</v>
      </c>
      <c r="P89" s="199"/>
      <c r="Q89" s="199"/>
      <c r="R89" s="199"/>
      <c r="S89" s="199"/>
      <c r="T89" s="199"/>
      <c r="U89" s="199"/>
      <c r="V89" s="199"/>
      <c r="W89" s="199">
        <v>9374.5599999999995</v>
      </c>
      <c r="X89" s="199">
        <v>1</v>
      </c>
      <c r="Y89" s="199">
        <v>89527.050000000003</v>
      </c>
      <c r="Z89" s="199"/>
      <c r="AA89" s="199"/>
      <c r="AB89" s="199"/>
    </row>
    <row r="90">
      <c r="A90" s="199">
        <v>50</v>
      </c>
      <c r="B90" s="199">
        <v>0</v>
      </c>
      <c r="C90" s="199">
        <v>0</v>
      </c>
      <c r="D90" s="199">
        <v>1</v>
      </c>
      <c r="E90" s="199">
        <v>227</v>
      </c>
      <c r="F90" s="199">
        <f>ROUND(Source!AX83,O90)</f>
        <v>0</v>
      </c>
      <c r="G90" s="199" t="s">
        <v>373</v>
      </c>
      <c r="H90" s="199" t="s">
        <v>374</v>
      </c>
      <c r="I90" s="199"/>
      <c r="J90" s="199"/>
      <c r="K90" s="199">
        <v>227</v>
      </c>
      <c r="L90" s="199">
        <v>6</v>
      </c>
      <c r="M90" s="199">
        <v>1</v>
      </c>
      <c r="N90" s="199" t="s">
        <v>242</v>
      </c>
      <c r="O90" s="199">
        <v>2</v>
      </c>
      <c r="P90" s="199"/>
      <c r="Q90" s="199"/>
      <c r="R90" s="199"/>
      <c r="S90" s="199"/>
      <c r="T90" s="199"/>
      <c r="U90" s="199"/>
      <c r="V90" s="199"/>
      <c r="W90" s="199">
        <v>0</v>
      </c>
      <c r="X90" s="199">
        <v>1</v>
      </c>
      <c r="Y90" s="199">
        <v>0</v>
      </c>
      <c r="Z90" s="199"/>
      <c r="AA90" s="199"/>
      <c r="AB90" s="199"/>
    </row>
    <row r="91">
      <c r="A91" s="199">
        <v>50</v>
      </c>
      <c r="B91" s="199">
        <v>0</v>
      </c>
      <c r="C91" s="199">
        <v>0</v>
      </c>
      <c r="D91" s="199">
        <v>1</v>
      </c>
      <c r="E91" s="199">
        <v>228</v>
      </c>
      <c r="F91" s="199">
        <f>ROUND(Source!AY83,O91)</f>
        <v>9374.5599999999995</v>
      </c>
      <c r="G91" s="199" t="s">
        <v>375</v>
      </c>
      <c r="H91" s="199" t="s">
        <v>376</v>
      </c>
      <c r="I91" s="199"/>
      <c r="J91" s="199"/>
      <c r="K91" s="199">
        <v>228</v>
      </c>
      <c r="L91" s="199">
        <v>7</v>
      </c>
      <c r="M91" s="199">
        <v>3</v>
      </c>
      <c r="N91" s="199" t="s">
        <v>242</v>
      </c>
      <c r="O91" s="199">
        <v>2</v>
      </c>
      <c r="P91" s="199"/>
      <c r="Q91" s="199"/>
      <c r="R91" s="199"/>
      <c r="S91" s="199"/>
      <c r="T91" s="199"/>
      <c r="U91" s="199"/>
      <c r="V91" s="199"/>
      <c r="W91" s="199">
        <v>9374.5599999999995</v>
      </c>
      <c r="X91" s="199">
        <v>1</v>
      </c>
      <c r="Y91" s="199">
        <v>89527.050000000003</v>
      </c>
      <c r="Z91" s="199"/>
      <c r="AA91" s="199"/>
      <c r="AB91" s="199"/>
    </row>
    <row r="92">
      <c r="A92" s="199">
        <v>50</v>
      </c>
      <c r="B92" s="199">
        <v>0</v>
      </c>
      <c r="C92" s="199">
        <v>0</v>
      </c>
      <c r="D92" s="199">
        <v>1</v>
      </c>
      <c r="E92" s="199">
        <v>216</v>
      </c>
      <c r="F92" s="199">
        <f>ROUND(Source!AP83,O92)</f>
        <v>0</v>
      </c>
      <c r="G92" s="199" t="s">
        <v>377</v>
      </c>
      <c r="H92" s="199" t="s">
        <v>378</v>
      </c>
      <c r="I92" s="199"/>
      <c r="J92" s="199"/>
      <c r="K92" s="199">
        <v>216</v>
      </c>
      <c r="L92" s="199">
        <v>8</v>
      </c>
      <c r="M92" s="199">
        <v>1</v>
      </c>
      <c r="N92" s="199" t="s">
        <v>242</v>
      </c>
      <c r="O92" s="199">
        <v>2</v>
      </c>
      <c r="P92" s="199"/>
      <c r="Q92" s="199"/>
      <c r="R92" s="199"/>
      <c r="S92" s="199"/>
      <c r="T92" s="199"/>
      <c r="U92" s="199"/>
      <c r="V92" s="199"/>
      <c r="W92" s="199">
        <v>0</v>
      </c>
      <c r="X92" s="199">
        <v>1</v>
      </c>
      <c r="Y92" s="199">
        <v>0</v>
      </c>
      <c r="Z92" s="199"/>
      <c r="AA92" s="199"/>
      <c r="AB92" s="199"/>
    </row>
    <row r="93">
      <c r="A93" s="199">
        <v>50</v>
      </c>
      <c r="B93" s="199">
        <v>0</v>
      </c>
      <c r="C93" s="199">
        <v>0</v>
      </c>
      <c r="D93" s="199">
        <v>1</v>
      </c>
      <c r="E93" s="199">
        <v>223</v>
      </c>
      <c r="F93" s="199">
        <f>ROUND(Source!AQ83,O93)</f>
        <v>0</v>
      </c>
      <c r="G93" s="199" t="s">
        <v>379</v>
      </c>
      <c r="H93" s="199" t="s">
        <v>380</v>
      </c>
      <c r="I93" s="199"/>
      <c r="J93" s="199"/>
      <c r="K93" s="199">
        <v>223</v>
      </c>
      <c r="L93" s="199">
        <v>9</v>
      </c>
      <c r="M93" s="199">
        <v>1</v>
      </c>
      <c r="N93" s="199" t="s">
        <v>242</v>
      </c>
      <c r="O93" s="199">
        <v>2</v>
      </c>
      <c r="P93" s="199"/>
      <c r="Q93" s="199"/>
      <c r="R93" s="199"/>
      <c r="S93" s="199"/>
      <c r="T93" s="199"/>
      <c r="U93" s="199"/>
      <c r="V93" s="199"/>
      <c r="W93" s="199">
        <v>0</v>
      </c>
      <c r="X93" s="199">
        <v>1</v>
      </c>
      <c r="Y93" s="199">
        <v>0</v>
      </c>
      <c r="Z93" s="199"/>
      <c r="AA93" s="199"/>
      <c r="AB93" s="199"/>
    </row>
    <row r="94">
      <c r="A94" s="199">
        <v>50</v>
      </c>
      <c r="B94" s="199">
        <v>0</v>
      </c>
      <c r="C94" s="199">
        <v>0</v>
      </c>
      <c r="D94" s="199">
        <v>1</v>
      </c>
      <c r="E94" s="199">
        <v>229</v>
      </c>
      <c r="F94" s="199">
        <f>ROUND(Source!AZ83,O94)</f>
        <v>0</v>
      </c>
      <c r="G94" s="199" t="s">
        <v>381</v>
      </c>
      <c r="H94" s="199" t="s">
        <v>382</v>
      </c>
      <c r="I94" s="199"/>
      <c r="J94" s="199"/>
      <c r="K94" s="199">
        <v>229</v>
      </c>
      <c r="L94" s="199">
        <v>10</v>
      </c>
      <c r="M94" s="199">
        <v>3</v>
      </c>
      <c r="N94" s="199" t="s">
        <v>242</v>
      </c>
      <c r="O94" s="199">
        <v>2</v>
      </c>
      <c r="P94" s="199"/>
      <c r="Q94" s="199"/>
      <c r="R94" s="199"/>
      <c r="S94" s="199"/>
      <c r="T94" s="199"/>
      <c r="U94" s="199"/>
      <c r="V94" s="199"/>
      <c r="W94" s="199">
        <v>0</v>
      </c>
      <c r="X94" s="199">
        <v>1</v>
      </c>
      <c r="Y94" s="199">
        <v>0</v>
      </c>
      <c r="Z94" s="199"/>
      <c r="AA94" s="199"/>
      <c r="AB94" s="199"/>
    </row>
    <row r="95">
      <c r="A95" s="199">
        <v>50</v>
      </c>
      <c r="B95" s="199">
        <v>1</v>
      </c>
      <c r="C95" s="199">
        <v>0</v>
      </c>
      <c r="D95" s="199">
        <v>1</v>
      </c>
      <c r="E95" s="199">
        <v>203</v>
      </c>
      <c r="F95" s="199">
        <f>ROUND(Source!Q83,O95)</f>
        <v>48.980000000000004</v>
      </c>
      <c r="G95" s="199" t="s">
        <v>383</v>
      </c>
      <c r="H95" s="199" t="s">
        <v>384</v>
      </c>
      <c r="I95" s="199"/>
      <c r="J95" s="199"/>
      <c r="K95" s="199">
        <v>203</v>
      </c>
      <c r="L95" s="199">
        <v>11</v>
      </c>
      <c r="M95" s="199">
        <v>0</v>
      </c>
      <c r="N95" s="199" t="s">
        <v>242</v>
      </c>
      <c r="O95" s="199">
        <v>2</v>
      </c>
      <c r="P95" s="199"/>
      <c r="Q95" s="199"/>
      <c r="R95" s="199"/>
      <c r="S95" s="199"/>
      <c r="T95" s="199"/>
      <c r="U95" s="199"/>
      <c r="V95" s="199"/>
      <c r="W95" s="199">
        <v>48.980000000000004</v>
      </c>
      <c r="X95" s="199">
        <v>1</v>
      </c>
      <c r="Y95" s="199">
        <v>803.26999999999998</v>
      </c>
      <c r="Z95" s="199"/>
      <c r="AA95" s="199"/>
      <c r="AB95" s="199"/>
    </row>
    <row r="96">
      <c r="A96" s="199">
        <v>50</v>
      </c>
      <c r="B96" s="199">
        <v>0</v>
      </c>
      <c r="C96" s="199">
        <v>0</v>
      </c>
      <c r="D96" s="199">
        <v>1</v>
      </c>
      <c r="E96" s="199">
        <v>231</v>
      </c>
      <c r="F96" s="199">
        <f>ROUND(Source!BB83,O96)</f>
        <v>0</v>
      </c>
      <c r="G96" s="199" t="s">
        <v>385</v>
      </c>
      <c r="H96" s="199" t="s">
        <v>386</v>
      </c>
      <c r="I96" s="199"/>
      <c r="J96" s="199"/>
      <c r="K96" s="199">
        <v>231</v>
      </c>
      <c r="L96" s="199">
        <v>12</v>
      </c>
      <c r="M96" s="199">
        <v>3</v>
      </c>
      <c r="N96" s="199" t="s">
        <v>242</v>
      </c>
      <c r="O96" s="199">
        <v>2</v>
      </c>
      <c r="P96" s="199"/>
      <c r="Q96" s="199"/>
      <c r="R96" s="199"/>
      <c r="S96" s="199"/>
      <c r="T96" s="199"/>
      <c r="U96" s="199"/>
      <c r="V96" s="199"/>
      <c r="W96" s="199">
        <v>0</v>
      </c>
      <c r="X96" s="199">
        <v>1</v>
      </c>
      <c r="Y96" s="199">
        <v>0</v>
      </c>
      <c r="Z96" s="199"/>
      <c r="AA96" s="199"/>
      <c r="AB96" s="199"/>
    </row>
    <row r="97">
      <c r="A97" s="199">
        <v>50</v>
      </c>
      <c r="B97" s="199">
        <v>1</v>
      </c>
      <c r="C97" s="199">
        <v>0</v>
      </c>
      <c r="D97" s="199">
        <v>1</v>
      </c>
      <c r="E97" s="199">
        <v>204</v>
      </c>
      <c r="F97" s="199">
        <f>ROUND(Source!R83,O97)</f>
        <v>8.9500000000000011</v>
      </c>
      <c r="G97" s="199" t="s">
        <v>387</v>
      </c>
      <c r="H97" s="199" t="s">
        <v>388</v>
      </c>
      <c r="I97" s="199"/>
      <c r="J97" s="199"/>
      <c r="K97" s="199">
        <v>204</v>
      </c>
      <c r="L97" s="199">
        <v>13</v>
      </c>
      <c r="M97" s="199">
        <v>0</v>
      </c>
      <c r="N97" s="199" t="s">
        <v>242</v>
      </c>
      <c r="O97" s="199">
        <v>2</v>
      </c>
      <c r="P97" s="199"/>
      <c r="Q97" s="199"/>
      <c r="R97" s="199"/>
      <c r="S97" s="199"/>
      <c r="T97" s="199"/>
      <c r="U97" s="199"/>
      <c r="V97" s="199"/>
      <c r="W97" s="199">
        <v>8.9500000000000011</v>
      </c>
      <c r="X97" s="199">
        <v>1</v>
      </c>
      <c r="Y97" s="199">
        <v>495.12000000000006</v>
      </c>
      <c r="Z97" s="199"/>
      <c r="AA97" s="199"/>
      <c r="AB97" s="199"/>
    </row>
    <row r="98">
      <c r="A98" s="199">
        <v>50</v>
      </c>
      <c r="B98" s="199">
        <v>1</v>
      </c>
      <c r="C98" s="199">
        <v>0</v>
      </c>
      <c r="D98" s="199">
        <v>1</v>
      </c>
      <c r="E98" s="199">
        <v>205</v>
      </c>
      <c r="F98" s="199">
        <f>ROUND(Source!S83,O98)</f>
        <v>486.44</v>
      </c>
      <c r="G98" s="199" t="s">
        <v>389</v>
      </c>
      <c r="H98" s="199" t="s">
        <v>390</v>
      </c>
      <c r="I98" s="199"/>
      <c r="J98" s="199"/>
      <c r="K98" s="199">
        <v>205</v>
      </c>
      <c r="L98" s="199">
        <v>14</v>
      </c>
      <c r="M98" s="199">
        <v>0</v>
      </c>
      <c r="N98" s="199" t="s">
        <v>242</v>
      </c>
      <c r="O98" s="199">
        <v>2</v>
      </c>
      <c r="P98" s="199"/>
      <c r="Q98" s="199"/>
      <c r="R98" s="199"/>
      <c r="S98" s="199"/>
      <c r="T98" s="199"/>
      <c r="U98" s="199"/>
      <c r="V98" s="199"/>
      <c r="W98" s="199">
        <v>486.44</v>
      </c>
      <c r="X98" s="199">
        <v>1</v>
      </c>
      <c r="Y98" s="199">
        <v>26909.869999999995</v>
      </c>
      <c r="Z98" s="199"/>
      <c r="AA98" s="199"/>
      <c r="AB98" s="199"/>
    </row>
    <row r="99">
      <c r="A99" s="199">
        <v>50</v>
      </c>
      <c r="B99" s="199">
        <v>0</v>
      </c>
      <c r="C99" s="199">
        <v>0</v>
      </c>
      <c r="D99" s="199">
        <v>1</v>
      </c>
      <c r="E99" s="199">
        <v>232</v>
      </c>
      <c r="F99" s="199">
        <f>ROUND(Source!BC83,O99)</f>
        <v>0</v>
      </c>
      <c r="G99" s="199" t="s">
        <v>391</v>
      </c>
      <c r="H99" s="199" t="s">
        <v>392</v>
      </c>
      <c r="I99" s="199"/>
      <c r="J99" s="199"/>
      <c r="K99" s="199">
        <v>232</v>
      </c>
      <c r="L99" s="199">
        <v>15</v>
      </c>
      <c r="M99" s="199">
        <v>3</v>
      </c>
      <c r="N99" s="199" t="s">
        <v>242</v>
      </c>
      <c r="O99" s="199">
        <v>2</v>
      </c>
      <c r="P99" s="199"/>
      <c r="Q99" s="199"/>
      <c r="R99" s="199"/>
      <c r="S99" s="199"/>
      <c r="T99" s="199"/>
      <c r="U99" s="199"/>
      <c r="V99" s="199"/>
      <c r="W99" s="199">
        <v>0</v>
      </c>
      <c r="X99" s="199">
        <v>1</v>
      </c>
      <c r="Y99" s="199">
        <v>0</v>
      </c>
      <c r="Z99" s="199"/>
      <c r="AA99" s="199"/>
      <c r="AB99" s="199"/>
    </row>
    <row r="100">
      <c r="A100" s="199">
        <v>50</v>
      </c>
      <c r="B100" s="199">
        <v>0</v>
      </c>
      <c r="C100" s="199">
        <v>0</v>
      </c>
      <c r="D100" s="199">
        <v>1</v>
      </c>
      <c r="E100" s="199">
        <v>214</v>
      </c>
      <c r="F100" s="199">
        <f>ROUND(Source!AS83,O100)</f>
        <v>10714.93</v>
      </c>
      <c r="G100" s="199" t="s">
        <v>393</v>
      </c>
      <c r="H100" s="199" t="s">
        <v>394</v>
      </c>
      <c r="I100" s="199"/>
      <c r="J100" s="199"/>
      <c r="K100" s="199">
        <v>214</v>
      </c>
      <c r="L100" s="199">
        <v>16</v>
      </c>
      <c r="M100" s="199">
        <v>3</v>
      </c>
      <c r="N100" s="199" t="s">
        <v>242</v>
      </c>
      <c r="O100" s="199">
        <v>2</v>
      </c>
      <c r="P100" s="199"/>
      <c r="Q100" s="199"/>
      <c r="R100" s="199"/>
      <c r="S100" s="199"/>
      <c r="T100" s="199"/>
      <c r="U100" s="199"/>
      <c r="V100" s="199"/>
      <c r="W100" s="199">
        <v>10714.93</v>
      </c>
      <c r="X100" s="199">
        <v>1</v>
      </c>
      <c r="Y100" s="199">
        <v>161770.14000000001</v>
      </c>
      <c r="Z100" s="199"/>
      <c r="AA100" s="199"/>
      <c r="AB100" s="199"/>
    </row>
    <row r="101">
      <c r="A101" s="199">
        <v>50</v>
      </c>
      <c r="B101" s="199">
        <v>0</v>
      </c>
      <c r="C101" s="199">
        <v>0</v>
      </c>
      <c r="D101" s="199">
        <v>1</v>
      </c>
      <c r="E101" s="199">
        <v>215</v>
      </c>
      <c r="F101" s="199">
        <f>ROUND(Source!AT83,O101)</f>
        <v>0</v>
      </c>
      <c r="G101" s="199" t="s">
        <v>395</v>
      </c>
      <c r="H101" s="199" t="s">
        <v>396</v>
      </c>
      <c r="I101" s="199"/>
      <c r="J101" s="199"/>
      <c r="K101" s="199">
        <v>215</v>
      </c>
      <c r="L101" s="199">
        <v>17</v>
      </c>
      <c r="M101" s="199">
        <v>3</v>
      </c>
      <c r="N101" s="199" t="s">
        <v>242</v>
      </c>
      <c r="O101" s="199">
        <v>2</v>
      </c>
      <c r="P101" s="199"/>
      <c r="Q101" s="199"/>
      <c r="R101" s="199"/>
      <c r="S101" s="199"/>
      <c r="T101" s="199"/>
      <c r="U101" s="199"/>
      <c r="V101" s="199"/>
      <c r="W101" s="199">
        <v>0</v>
      </c>
      <c r="X101" s="199">
        <v>1</v>
      </c>
      <c r="Y101" s="199">
        <v>0</v>
      </c>
      <c r="Z101" s="199"/>
      <c r="AA101" s="199"/>
      <c r="AB101" s="199"/>
    </row>
    <row r="102">
      <c r="A102" s="199">
        <v>50</v>
      </c>
      <c r="B102" s="199">
        <v>0</v>
      </c>
      <c r="C102" s="199">
        <v>0</v>
      </c>
      <c r="D102" s="199">
        <v>1</v>
      </c>
      <c r="E102" s="199">
        <v>217</v>
      </c>
      <c r="F102" s="199">
        <f>ROUND(Source!AU83,O102)</f>
        <v>0</v>
      </c>
      <c r="G102" s="199" t="s">
        <v>397</v>
      </c>
      <c r="H102" s="199" t="s">
        <v>398</v>
      </c>
      <c r="I102" s="199"/>
      <c r="J102" s="199"/>
      <c r="K102" s="199">
        <v>217</v>
      </c>
      <c r="L102" s="199">
        <v>18</v>
      </c>
      <c r="M102" s="199">
        <v>3</v>
      </c>
      <c r="N102" s="199" t="s">
        <v>242</v>
      </c>
      <c r="O102" s="199">
        <v>2</v>
      </c>
      <c r="P102" s="199"/>
      <c r="Q102" s="199"/>
      <c r="R102" s="199"/>
      <c r="S102" s="199"/>
      <c r="T102" s="199"/>
      <c r="U102" s="199"/>
      <c r="V102" s="199"/>
      <c r="W102" s="199">
        <v>0</v>
      </c>
      <c r="X102" s="199">
        <v>1</v>
      </c>
      <c r="Y102" s="199">
        <v>0</v>
      </c>
      <c r="Z102" s="199"/>
      <c r="AA102" s="199"/>
      <c r="AB102" s="199"/>
    </row>
    <row r="103">
      <c r="A103" s="199">
        <v>50</v>
      </c>
      <c r="B103" s="199">
        <v>0</v>
      </c>
      <c r="C103" s="199">
        <v>0</v>
      </c>
      <c r="D103" s="199">
        <v>1</v>
      </c>
      <c r="E103" s="199">
        <v>230</v>
      </c>
      <c r="F103" s="199">
        <f>ROUND(Source!BA83,O103)</f>
        <v>0</v>
      </c>
      <c r="G103" s="199" t="s">
        <v>399</v>
      </c>
      <c r="H103" s="199" t="s">
        <v>400</v>
      </c>
      <c r="I103" s="199"/>
      <c r="J103" s="199"/>
      <c r="K103" s="199">
        <v>230</v>
      </c>
      <c r="L103" s="199">
        <v>19</v>
      </c>
      <c r="M103" s="199">
        <v>3</v>
      </c>
      <c r="N103" s="199" t="s">
        <v>242</v>
      </c>
      <c r="O103" s="199">
        <v>2</v>
      </c>
      <c r="P103" s="199"/>
      <c r="Q103" s="199"/>
      <c r="R103" s="199"/>
      <c r="S103" s="199"/>
      <c r="T103" s="199"/>
      <c r="U103" s="199"/>
      <c r="V103" s="199"/>
      <c r="W103" s="199">
        <v>0</v>
      </c>
      <c r="X103" s="199">
        <v>1</v>
      </c>
      <c r="Y103" s="199">
        <v>0</v>
      </c>
      <c r="Z103" s="199"/>
      <c r="AA103" s="199"/>
      <c r="AB103" s="199"/>
    </row>
    <row r="104">
      <c r="A104" s="199">
        <v>50</v>
      </c>
      <c r="B104" s="199">
        <v>0</v>
      </c>
      <c r="C104" s="199">
        <v>0</v>
      </c>
      <c r="D104" s="199">
        <v>1</v>
      </c>
      <c r="E104" s="199">
        <v>206</v>
      </c>
      <c r="F104" s="199">
        <f>ROUND(Source!T83,O104)</f>
        <v>0</v>
      </c>
      <c r="G104" s="199" t="s">
        <v>401</v>
      </c>
      <c r="H104" s="199" t="s">
        <v>402</v>
      </c>
      <c r="I104" s="199"/>
      <c r="J104" s="199"/>
      <c r="K104" s="199">
        <v>206</v>
      </c>
      <c r="L104" s="199">
        <v>20</v>
      </c>
      <c r="M104" s="199">
        <v>1</v>
      </c>
      <c r="N104" s="199" t="s">
        <v>242</v>
      </c>
      <c r="O104" s="199">
        <v>2</v>
      </c>
      <c r="P104" s="199"/>
      <c r="Q104" s="199"/>
      <c r="R104" s="199"/>
      <c r="S104" s="199"/>
      <c r="T104" s="199"/>
      <c r="U104" s="199"/>
      <c r="V104" s="199"/>
      <c r="W104" s="199">
        <v>0</v>
      </c>
      <c r="X104" s="199">
        <v>1</v>
      </c>
      <c r="Y104" s="199">
        <v>0</v>
      </c>
      <c r="Z104" s="199"/>
      <c r="AA104" s="199"/>
      <c r="AB104" s="199"/>
    </row>
    <row r="105">
      <c r="A105" s="199">
        <v>50</v>
      </c>
      <c r="B105" s="199">
        <v>1</v>
      </c>
      <c r="C105" s="199">
        <v>0</v>
      </c>
      <c r="D105" s="199">
        <v>1</v>
      </c>
      <c r="E105" s="199">
        <v>207</v>
      </c>
      <c r="F105" s="199">
        <f>ROUND(Source!U83,O105)</f>
        <v>54.994399999999999</v>
      </c>
      <c r="G105" s="199" t="s">
        <v>403</v>
      </c>
      <c r="H105" s="199" t="s">
        <v>404</v>
      </c>
      <c r="I105" s="199"/>
      <c r="J105" s="199"/>
      <c r="K105" s="199">
        <v>207</v>
      </c>
      <c r="L105" s="199">
        <v>21</v>
      </c>
      <c r="M105" s="199">
        <v>0</v>
      </c>
      <c r="N105" s="199" t="s">
        <v>242</v>
      </c>
      <c r="O105" s="199">
        <v>7</v>
      </c>
      <c r="P105" s="199"/>
      <c r="Q105" s="199"/>
      <c r="R105" s="199"/>
      <c r="S105" s="199"/>
      <c r="T105" s="199"/>
      <c r="U105" s="199"/>
      <c r="V105" s="199"/>
      <c r="W105" s="199">
        <v>54.994399999999999</v>
      </c>
      <c r="X105" s="199">
        <v>1</v>
      </c>
      <c r="Y105" s="199">
        <v>54.994399999999999</v>
      </c>
      <c r="Z105" s="199"/>
      <c r="AA105" s="199"/>
      <c r="AB105" s="199"/>
    </row>
    <row r="106">
      <c r="A106" s="199">
        <v>50</v>
      </c>
      <c r="B106" s="199">
        <v>1</v>
      </c>
      <c r="C106" s="199">
        <v>0</v>
      </c>
      <c r="D106" s="199">
        <v>1</v>
      </c>
      <c r="E106" s="199">
        <v>208</v>
      </c>
      <c r="F106" s="199">
        <f>ROUND(Source!V83,O106)</f>
        <v>0.7137</v>
      </c>
      <c r="G106" s="199" t="s">
        <v>405</v>
      </c>
      <c r="H106" s="199" t="s">
        <v>406</v>
      </c>
      <c r="I106" s="199"/>
      <c r="J106" s="199"/>
      <c r="K106" s="199">
        <v>208</v>
      </c>
      <c r="L106" s="199">
        <v>22</v>
      </c>
      <c r="M106" s="199">
        <v>0</v>
      </c>
      <c r="N106" s="199" t="s">
        <v>242</v>
      </c>
      <c r="O106" s="199">
        <v>7</v>
      </c>
      <c r="P106" s="199"/>
      <c r="Q106" s="199"/>
      <c r="R106" s="199"/>
      <c r="S106" s="199"/>
      <c r="T106" s="199"/>
      <c r="U106" s="199"/>
      <c r="V106" s="199"/>
      <c r="W106" s="199">
        <v>0.7137</v>
      </c>
      <c r="X106" s="199">
        <v>1</v>
      </c>
      <c r="Y106" s="199">
        <v>0.7137</v>
      </c>
      <c r="Z106" s="199"/>
      <c r="AA106" s="199"/>
      <c r="AB106" s="199"/>
    </row>
    <row r="107">
      <c r="A107" s="199">
        <v>50</v>
      </c>
      <c r="B107" s="199">
        <v>0</v>
      </c>
      <c r="C107" s="199">
        <v>0</v>
      </c>
      <c r="D107" s="199">
        <v>1</v>
      </c>
      <c r="E107" s="199">
        <v>209</v>
      </c>
      <c r="F107" s="199">
        <f>ROUND(Source!W83,O107)</f>
        <v>0</v>
      </c>
      <c r="G107" s="199" t="s">
        <v>407</v>
      </c>
      <c r="H107" s="199" t="s">
        <v>408</v>
      </c>
      <c r="I107" s="199"/>
      <c r="J107" s="199"/>
      <c r="K107" s="199">
        <v>209</v>
      </c>
      <c r="L107" s="199">
        <v>23</v>
      </c>
      <c r="M107" s="199">
        <v>3</v>
      </c>
      <c r="N107" s="199" t="s">
        <v>242</v>
      </c>
      <c r="O107" s="199">
        <v>2</v>
      </c>
      <c r="P107" s="199"/>
      <c r="Q107" s="199"/>
      <c r="R107" s="199"/>
      <c r="S107" s="199"/>
      <c r="T107" s="199"/>
      <c r="U107" s="199"/>
      <c r="V107" s="199"/>
      <c r="W107" s="199">
        <v>0</v>
      </c>
      <c r="X107" s="199">
        <v>1</v>
      </c>
      <c r="Y107" s="199">
        <v>0</v>
      </c>
      <c r="Z107" s="199"/>
      <c r="AA107" s="199"/>
      <c r="AB107" s="199"/>
    </row>
    <row r="108">
      <c r="A108" s="199">
        <v>50</v>
      </c>
      <c r="B108" s="199">
        <v>0</v>
      </c>
      <c r="C108" s="199">
        <v>0</v>
      </c>
      <c r="D108" s="199">
        <v>1</v>
      </c>
      <c r="E108" s="199">
        <v>233</v>
      </c>
      <c r="F108" s="199">
        <f>ROUND(Source!BD83,O108)</f>
        <v>0</v>
      </c>
      <c r="G108" s="199" t="s">
        <v>409</v>
      </c>
      <c r="H108" s="199" t="s">
        <v>410</v>
      </c>
      <c r="I108" s="199"/>
      <c r="J108" s="199"/>
      <c r="K108" s="199">
        <v>233</v>
      </c>
      <c r="L108" s="199">
        <v>24</v>
      </c>
      <c r="M108" s="199">
        <v>1</v>
      </c>
      <c r="N108" s="199" t="s">
        <v>242</v>
      </c>
      <c r="O108" s="199">
        <v>2</v>
      </c>
      <c r="P108" s="199"/>
      <c r="Q108" s="199"/>
      <c r="R108" s="199"/>
      <c r="S108" s="199"/>
      <c r="T108" s="199"/>
      <c r="U108" s="199"/>
      <c r="V108" s="199"/>
      <c r="W108" s="199">
        <v>0</v>
      </c>
      <c r="X108" s="199">
        <v>1</v>
      </c>
      <c r="Y108" s="199">
        <v>0</v>
      </c>
      <c r="Z108" s="199"/>
      <c r="AA108" s="199"/>
      <c r="AB108" s="199"/>
    </row>
    <row r="109">
      <c r="A109" s="199">
        <v>50</v>
      </c>
      <c r="B109" s="199">
        <v>1</v>
      </c>
      <c r="C109" s="199">
        <v>0</v>
      </c>
      <c r="D109" s="199">
        <v>1</v>
      </c>
      <c r="E109" s="199">
        <v>210</v>
      </c>
      <c r="F109" s="199">
        <f>ROUND(Source!X83,O109)</f>
        <v>517.88999999999999</v>
      </c>
      <c r="G109" s="199" t="s">
        <v>411</v>
      </c>
      <c r="H109" s="199" t="s">
        <v>412</v>
      </c>
      <c r="I109" s="199"/>
      <c r="J109" s="199"/>
      <c r="K109" s="199">
        <v>210</v>
      </c>
      <c r="L109" s="199">
        <v>25</v>
      </c>
      <c r="M109" s="199">
        <v>0</v>
      </c>
      <c r="N109" s="199" t="s">
        <v>242</v>
      </c>
      <c r="O109" s="199">
        <v>2</v>
      </c>
      <c r="P109" s="199"/>
      <c r="Q109" s="199"/>
      <c r="R109" s="199"/>
      <c r="S109" s="199"/>
      <c r="T109" s="199"/>
      <c r="U109" s="199"/>
      <c r="V109" s="199"/>
      <c r="W109" s="199">
        <v>517.88999999999999</v>
      </c>
      <c r="X109" s="199">
        <v>1</v>
      </c>
      <c r="Y109" s="199">
        <v>28649.579999999998</v>
      </c>
      <c r="Z109" s="199"/>
      <c r="AA109" s="199"/>
      <c r="AB109" s="199"/>
    </row>
    <row r="110">
      <c r="A110" s="199">
        <v>50</v>
      </c>
      <c r="B110" s="199">
        <v>1</v>
      </c>
      <c r="C110" s="199">
        <v>0</v>
      </c>
      <c r="D110" s="199">
        <v>1</v>
      </c>
      <c r="E110" s="199">
        <v>211</v>
      </c>
      <c r="F110" s="199">
        <f>ROUND(Source!Y83,O110)</f>
        <v>287.06</v>
      </c>
      <c r="G110" s="199" t="s">
        <v>413</v>
      </c>
      <c r="H110" s="199" t="s">
        <v>414</v>
      </c>
      <c r="I110" s="199"/>
      <c r="J110" s="199"/>
      <c r="K110" s="199">
        <v>211</v>
      </c>
      <c r="L110" s="199">
        <v>26</v>
      </c>
      <c r="M110" s="199">
        <v>0</v>
      </c>
      <c r="N110" s="199" t="s">
        <v>242</v>
      </c>
      <c r="O110" s="199">
        <v>2</v>
      </c>
      <c r="P110" s="199"/>
      <c r="Q110" s="199"/>
      <c r="R110" s="199"/>
      <c r="S110" s="199"/>
      <c r="T110" s="199"/>
      <c r="U110" s="199"/>
      <c r="V110" s="199"/>
      <c r="W110" s="199">
        <v>287.06</v>
      </c>
      <c r="X110" s="199">
        <v>1</v>
      </c>
      <c r="Y110" s="199">
        <v>15880.369999999999</v>
      </c>
      <c r="Z110" s="199"/>
      <c r="AA110" s="199"/>
      <c r="AB110" s="199"/>
    </row>
    <row r="111">
      <c r="A111" s="199">
        <v>50</v>
      </c>
      <c r="B111" s="199">
        <v>1</v>
      </c>
      <c r="C111" s="199">
        <v>0</v>
      </c>
      <c r="D111" s="199">
        <v>1</v>
      </c>
      <c r="E111" s="199">
        <v>224</v>
      </c>
      <c r="F111" s="199">
        <f>ROUND(Source!AR83,O111)</f>
        <v>10714.93</v>
      </c>
      <c r="G111" s="199" t="s">
        <v>415</v>
      </c>
      <c r="H111" s="199" t="s">
        <v>416</v>
      </c>
      <c r="I111" s="199"/>
      <c r="J111" s="199"/>
      <c r="K111" s="199">
        <v>224</v>
      </c>
      <c r="L111" s="199">
        <v>27</v>
      </c>
      <c r="M111" s="199">
        <v>0</v>
      </c>
      <c r="N111" s="199" t="s">
        <v>242</v>
      </c>
      <c r="O111" s="199">
        <v>2</v>
      </c>
      <c r="P111" s="199"/>
      <c r="Q111" s="199"/>
      <c r="R111" s="199"/>
      <c r="S111" s="199"/>
      <c r="T111" s="199"/>
      <c r="U111" s="199"/>
      <c r="V111" s="199"/>
      <c r="W111" s="199">
        <v>10714.929999999998</v>
      </c>
      <c r="X111" s="199">
        <v>1</v>
      </c>
      <c r="Y111" s="199">
        <v>161770.13999999998</v>
      </c>
      <c r="Z111" s="199"/>
      <c r="AA111" s="199"/>
      <c r="AB111" s="199"/>
    </row>
    <row r="114">
      <c r="A114">
        <v>70</v>
      </c>
      <c r="B114">
        <v>1</v>
      </c>
      <c r="D114">
        <v>1</v>
      </c>
      <c r="E114" t="s">
        <v>417</v>
      </c>
      <c r="F114" t="s">
        <v>418</v>
      </c>
      <c r="G114">
        <v>0</v>
      </c>
      <c r="H114">
        <v>0</v>
      </c>
      <c r="I114" t="s">
        <v>242</v>
      </c>
      <c r="J114">
        <v>1</v>
      </c>
      <c r="K114">
        <v>0</v>
      </c>
      <c r="L114" t="s">
        <v>242</v>
      </c>
      <c r="M114" t="s">
        <v>242</v>
      </c>
      <c r="N114">
        <v>0</v>
      </c>
      <c r="P114" t="s">
        <v>419</v>
      </c>
    </row>
    <row r="115">
      <c r="A115">
        <v>70</v>
      </c>
      <c r="B115">
        <v>1</v>
      </c>
      <c r="D115">
        <v>2</v>
      </c>
      <c r="E115" t="s">
        <v>420</v>
      </c>
      <c r="F115" t="s">
        <v>421</v>
      </c>
      <c r="G115">
        <v>1</v>
      </c>
      <c r="H115">
        <v>0</v>
      </c>
      <c r="I115" t="s">
        <v>242</v>
      </c>
      <c r="J115">
        <v>1</v>
      </c>
      <c r="K115">
        <v>0</v>
      </c>
      <c r="L115" t="s">
        <v>242</v>
      </c>
      <c r="M115" t="s">
        <v>242</v>
      </c>
      <c r="N115">
        <v>0</v>
      </c>
      <c r="P115" t="s">
        <v>422</v>
      </c>
    </row>
    <row r="116">
      <c r="A116">
        <v>70</v>
      </c>
      <c r="B116">
        <v>1</v>
      </c>
      <c r="D116">
        <v>3</v>
      </c>
      <c r="E116" t="s">
        <v>423</v>
      </c>
      <c r="F116" t="s">
        <v>424</v>
      </c>
      <c r="G116">
        <v>0</v>
      </c>
      <c r="H116">
        <v>0</v>
      </c>
      <c r="I116" t="s">
        <v>242</v>
      </c>
      <c r="J116">
        <v>1</v>
      </c>
      <c r="K116">
        <v>0</v>
      </c>
      <c r="L116" t="s">
        <v>242</v>
      </c>
      <c r="M116" t="s">
        <v>242</v>
      </c>
      <c r="N116">
        <v>0</v>
      </c>
      <c r="P116" t="s">
        <v>425</v>
      </c>
    </row>
    <row r="117">
      <c r="A117">
        <v>70</v>
      </c>
      <c r="B117">
        <v>1</v>
      </c>
      <c r="D117">
        <v>4</v>
      </c>
      <c r="E117" t="s">
        <v>426</v>
      </c>
      <c r="F117" t="s">
        <v>427</v>
      </c>
      <c r="G117">
        <v>1</v>
      </c>
      <c r="H117">
        <v>0</v>
      </c>
      <c r="I117" t="s">
        <v>242</v>
      </c>
      <c r="J117">
        <v>2</v>
      </c>
      <c r="K117">
        <v>0</v>
      </c>
      <c r="L117" t="s">
        <v>242</v>
      </c>
      <c r="M117" t="s">
        <v>242</v>
      </c>
      <c r="N117">
        <v>0</v>
      </c>
      <c r="P117" t="s">
        <v>242</v>
      </c>
    </row>
    <row r="118">
      <c r="A118">
        <v>70</v>
      </c>
      <c r="B118">
        <v>1</v>
      </c>
      <c r="D118">
        <v>5</v>
      </c>
      <c r="E118" t="s">
        <v>428</v>
      </c>
      <c r="F118" t="s">
        <v>429</v>
      </c>
      <c r="G118">
        <v>0</v>
      </c>
      <c r="H118">
        <v>0</v>
      </c>
      <c r="I118" t="s">
        <v>242</v>
      </c>
      <c r="J118">
        <v>2</v>
      </c>
      <c r="K118">
        <v>0</v>
      </c>
      <c r="L118" t="s">
        <v>242</v>
      </c>
      <c r="M118" t="s">
        <v>242</v>
      </c>
      <c r="N118">
        <v>0</v>
      </c>
      <c r="P118" t="s">
        <v>242</v>
      </c>
    </row>
    <row r="119">
      <c r="A119">
        <v>70</v>
      </c>
      <c r="B119">
        <v>1</v>
      </c>
      <c r="D119">
        <v>6</v>
      </c>
      <c r="E119" t="s">
        <v>430</v>
      </c>
      <c r="F119" t="s">
        <v>431</v>
      </c>
      <c r="G119">
        <v>0</v>
      </c>
      <c r="H119">
        <v>0</v>
      </c>
      <c r="I119" t="s">
        <v>242</v>
      </c>
      <c r="J119">
        <v>2</v>
      </c>
      <c r="K119">
        <v>0</v>
      </c>
      <c r="L119" t="s">
        <v>242</v>
      </c>
      <c r="M119" t="s">
        <v>242</v>
      </c>
      <c r="N119">
        <v>0</v>
      </c>
      <c r="P119" t="s">
        <v>242</v>
      </c>
    </row>
    <row r="120">
      <c r="A120">
        <v>70</v>
      </c>
      <c r="B120">
        <v>1</v>
      </c>
      <c r="D120">
        <v>7</v>
      </c>
      <c r="E120" t="s">
        <v>432</v>
      </c>
      <c r="F120" t="s">
        <v>433</v>
      </c>
      <c r="G120">
        <v>0</v>
      </c>
      <c r="H120">
        <v>0</v>
      </c>
      <c r="I120" t="s">
        <v>434</v>
      </c>
      <c r="J120">
        <v>0</v>
      </c>
      <c r="K120">
        <v>0</v>
      </c>
      <c r="L120" t="s">
        <v>242</v>
      </c>
      <c r="M120" t="s">
        <v>242</v>
      </c>
      <c r="N120">
        <v>0</v>
      </c>
      <c r="P120" t="s">
        <v>435</v>
      </c>
    </row>
    <row r="121">
      <c r="A121">
        <v>70</v>
      </c>
      <c r="B121">
        <v>1</v>
      </c>
      <c r="D121">
        <v>8</v>
      </c>
      <c r="E121" t="s">
        <v>436</v>
      </c>
      <c r="F121" t="s">
        <v>437</v>
      </c>
      <c r="G121">
        <v>1</v>
      </c>
      <c r="H121">
        <v>0</v>
      </c>
      <c r="I121" t="s">
        <v>242</v>
      </c>
      <c r="J121">
        <v>5</v>
      </c>
      <c r="K121">
        <v>0</v>
      </c>
      <c r="L121" t="s">
        <v>242</v>
      </c>
      <c r="M121" t="s">
        <v>242</v>
      </c>
      <c r="N121">
        <v>0</v>
      </c>
      <c r="P121" t="s">
        <v>242</v>
      </c>
    </row>
    <row r="122">
      <c r="A122">
        <v>70</v>
      </c>
      <c r="B122">
        <v>1</v>
      </c>
      <c r="D122">
        <v>9</v>
      </c>
      <c r="E122" t="s">
        <v>438</v>
      </c>
      <c r="F122" t="s">
        <v>439</v>
      </c>
      <c r="G122">
        <v>0</v>
      </c>
      <c r="H122">
        <v>0</v>
      </c>
      <c r="I122" t="s">
        <v>242</v>
      </c>
      <c r="J122">
        <v>5</v>
      </c>
      <c r="K122">
        <v>0</v>
      </c>
      <c r="L122" t="s">
        <v>242</v>
      </c>
      <c r="M122" t="s">
        <v>242</v>
      </c>
      <c r="N122">
        <v>0</v>
      </c>
      <c r="P122" t="s">
        <v>242</v>
      </c>
    </row>
    <row r="123">
      <c r="A123">
        <v>70</v>
      </c>
      <c r="B123">
        <v>1</v>
      </c>
      <c r="D123">
        <v>10</v>
      </c>
      <c r="E123" t="s">
        <v>440</v>
      </c>
      <c r="F123" t="s">
        <v>441</v>
      </c>
      <c r="G123">
        <v>0</v>
      </c>
      <c r="H123">
        <v>0</v>
      </c>
      <c r="I123" t="s">
        <v>442</v>
      </c>
      <c r="J123">
        <v>5</v>
      </c>
      <c r="K123">
        <v>0</v>
      </c>
      <c r="L123" t="s">
        <v>242</v>
      </c>
      <c r="M123" t="s">
        <v>242</v>
      </c>
      <c r="N123">
        <v>0</v>
      </c>
      <c r="P123" t="s">
        <v>443</v>
      </c>
    </row>
    <row r="124">
      <c r="A124">
        <v>70</v>
      </c>
      <c r="B124">
        <v>1</v>
      </c>
      <c r="D124">
        <v>11</v>
      </c>
      <c r="E124" t="s">
        <v>444</v>
      </c>
      <c r="F124" t="s">
        <v>445</v>
      </c>
      <c r="G124">
        <v>0</v>
      </c>
      <c r="H124">
        <v>0</v>
      </c>
      <c r="I124" t="s">
        <v>446</v>
      </c>
      <c r="J124">
        <v>0</v>
      </c>
      <c r="K124">
        <v>0</v>
      </c>
      <c r="L124" t="s">
        <v>242</v>
      </c>
      <c r="M124" t="s">
        <v>242</v>
      </c>
      <c r="N124">
        <v>0</v>
      </c>
      <c r="P124" t="s">
        <v>447</v>
      </c>
    </row>
    <row r="125">
      <c r="A125">
        <v>70</v>
      </c>
      <c r="B125">
        <v>1</v>
      </c>
      <c r="D125">
        <v>12</v>
      </c>
      <c r="E125" t="s">
        <v>448</v>
      </c>
      <c r="F125" t="s">
        <v>449</v>
      </c>
      <c r="G125">
        <v>0</v>
      </c>
      <c r="H125">
        <v>0</v>
      </c>
      <c r="I125" t="s">
        <v>450</v>
      </c>
      <c r="J125">
        <v>0</v>
      </c>
      <c r="K125">
        <v>0</v>
      </c>
      <c r="L125" t="s">
        <v>242</v>
      </c>
      <c r="M125" t="s">
        <v>242</v>
      </c>
      <c r="N125">
        <v>0</v>
      </c>
      <c r="P125" t="s">
        <v>451</v>
      </c>
    </row>
    <row r="126">
      <c r="A126">
        <v>70</v>
      </c>
      <c r="B126">
        <v>1</v>
      </c>
      <c r="D126">
        <v>13</v>
      </c>
      <c r="E126" t="s">
        <v>452</v>
      </c>
      <c r="F126" t="s">
        <v>453</v>
      </c>
      <c r="G126">
        <v>0</v>
      </c>
      <c r="H126">
        <v>0</v>
      </c>
      <c r="I126" t="s">
        <v>454</v>
      </c>
      <c r="J126">
        <v>0</v>
      </c>
      <c r="K126">
        <v>0</v>
      </c>
      <c r="L126" t="s">
        <v>242</v>
      </c>
      <c r="M126" t="s">
        <v>242</v>
      </c>
      <c r="N126">
        <v>0</v>
      </c>
      <c r="P126" t="s">
        <v>455</v>
      </c>
    </row>
    <row r="127">
      <c r="A127">
        <v>70</v>
      </c>
      <c r="B127">
        <v>1</v>
      </c>
      <c r="D127">
        <v>14</v>
      </c>
      <c r="E127" t="s">
        <v>456</v>
      </c>
      <c r="F127" t="s">
        <v>457</v>
      </c>
      <c r="G127">
        <v>0</v>
      </c>
      <c r="H127">
        <v>0</v>
      </c>
      <c r="I127" t="s">
        <v>242</v>
      </c>
      <c r="J127">
        <v>0</v>
      </c>
      <c r="K127">
        <v>0</v>
      </c>
      <c r="L127" t="s">
        <v>242</v>
      </c>
      <c r="M127" t="s">
        <v>242</v>
      </c>
      <c r="N127">
        <v>0</v>
      </c>
      <c r="P127" t="s">
        <v>458</v>
      </c>
    </row>
    <row r="128">
      <c r="A128">
        <v>70</v>
      </c>
      <c r="B128">
        <v>1</v>
      </c>
      <c r="D128">
        <v>15</v>
      </c>
      <c r="E128" t="s">
        <v>459</v>
      </c>
      <c r="F128" t="s">
        <v>460</v>
      </c>
      <c r="G128">
        <v>0</v>
      </c>
      <c r="H128">
        <v>0</v>
      </c>
      <c r="I128" t="s">
        <v>242</v>
      </c>
      <c r="J128">
        <v>3</v>
      </c>
      <c r="K128">
        <v>0</v>
      </c>
      <c r="L128" t="s">
        <v>242</v>
      </c>
      <c r="M128" t="s">
        <v>242</v>
      </c>
      <c r="N128">
        <v>0</v>
      </c>
      <c r="P128" t="s">
        <v>242</v>
      </c>
    </row>
    <row r="129">
      <c r="A129">
        <v>70</v>
      </c>
      <c r="B129">
        <v>1</v>
      </c>
      <c r="D129">
        <v>16</v>
      </c>
      <c r="E129" t="s">
        <v>461</v>
      </c>
      <c r="F129" t="s">
        <v>462</v>
      </c>
      <c r="G129">
        <v>1</v>
      </c>
      <c r="H129">
        <v>0</v>
      </c>
      <c r="I129" t="s">
        <v>242</v>
      </c>
      <c r="J129">
        <v>3</v>
      </c>
      <c r="K129">
        <v>0</v>
      </c>
      <c r="L129" t="s">
        <v>242</v>
      </c>
      <c r="M129" t="s">
        <v>242</v>
      </c>
      <c r="N129">
        <v>0</v>
      </c>
      <c r="P129" t="s">
        <v>242</v>
      </c>
    </row>
    <row r="130">
      <c r="A130">
        <v>70</v>
      </c>
      <c r="B130">
        <v>1</v>
      </c>
      <c r="D130">
        <v>1</v>
      </c>
      <c r="E130" t="s">
        <v>463</v>
      </c>
      <c r="F130" t="s">
        <v>464</v>
      </c>
      <c r="G130">
        <v>0.90000000000000002</v>
      </c>
      <c r="H130">
        <v>1</v>
      </c>
      <c r="I130" t="s">
        <v>465</v>
      </c>
      <c r="J130">
        <v>0</v>
      </c>
      <c r="K130">
        <v>0</v>
      </c>
      <c r="L130" t="s">
        <v>242</v>
      </c>
      <c r="M130" t="s">
        <v>242</v>
      </c>
      <c r="N130">
        <v>0</v>
      </c>
      <c r="P130" t="s">
        <v>466</v>
      </c>
    </row>
    <row r="131">
      <c r="A131">
        <v>70</v>
      </c>
      <c r="B131">
        <v>1</v>
      </c>
      <c r="D131">
        <v>2</v>
      </c>
      <c r="E131" t="s">
        <v>467</v>
      </c>
      <c r="F131" t="s">
        <v>468</v>
      </c>
      <c r="G131">
        <v>0.84999999999999998</v>
      </c>
      <c r="H131">
        <v>1</v>
      </c>
      <c r="I131" t="s">
        <v>469</v>
      </c>
      <c r="J131">
        <v>0</v>
      </c>
      <c r="K131">
        <v>0</v>
      </c>
      <c r="L131" t="s">
        <v>242</v>
      </c>
      <c r="M131" t="s">
        <v>242</v>
      </c>
      <c r="N131">
        <v>0</v>
      </c>
      <c r="P131" t="s">
        <v>470</v>
      </c>
    </row>
    <row r="132">
      <c r="A132">
        <v>70</v>
      </c>
      <c r="B132">
        <v>1</v>
      </c>
      <c r="D132">
        <v>3</v>
      </c>
      <c r="E132" t="s">
        <v>471</v>
      </c>
      <c r="F132" t="s">
        <v>472</v>
      </c>
      <c r="G132">
        <v>1.03</v>
      </c>
      <c r="H132">
        <v>0</v>
      </c>
      <c r="I132" t="s">
        <v>242</v>
      </c>
      <c r="J132">
        <v>0</v>
      </c>
      <c r="K132">
        <v>0</v>
      </c>
      <c r="L132" t="s">
        <v>242</v>
      </c>
      <c r="M132" t="s">
        <v>242</v>
      </c>
      <c r="N132">
        <v>0</v>
      </c>
      <c r="P132" t="s">
        <v>473</v>
      </c>
    </row>
    <row r="133">
      <c r="A133">
        <v>70</v>
      </c>
      <c r="B133">
        <v>1</v>
      </c>
      <c r="D133">
        <v>4</v>
      </c>
      <c r="E133" t="s">
        <v>474</v>
      </c>
      <c r="F133" t="s">
        <v>475</v>
      </c>
      <c r="G133">
        <v>1.1499999999999999</v>
      </c>
      <c r="H133">
        <v>0</v>
      </c>
      <c r="I133" t="s">
        <v>242</v>
      </c>
      <c r="J133">
        <v>0</v>
      </c>
      <c r="K133">
        <v>0</v>
      </c>
      <c r="L133" t="s">
        <v>242</v>
      </c>
      <c r="M133" t="s">
        <v>242</v>
      </c>
      <c r="N133">
        <v>0</v>
      </c>
      <c r="P133" t="s">
        <v>476</v>
      </c>
    </row>
    <row r="134">
      <c r="A134">
        <v>70</v>
      </c>
      <c r="B134">
        <v>1</v>
      </c>
      <c r="D134">
        <v>5</v>
      </c>
      <c r="E134" t="s">
        <v>477</v>
      </c>
      <c r="F134" t="s">
        <v>478</v>
      </c>
      <c r="G134">
        <v>7</v>
      </c>
      <c r="H134">
        <v>0</v>
      </c>
      <c r="I134" t="s">
        <v>242</v>
      </c>
      <c r="J134">
        <v>0</v>
      </c>
      <c r="K134">
        <v>0</v>
      </c>
      <c r="L134" t="s">
        <v>242</v>
      </c>
      <c r="M134" t="s">
        <v>242</v>
      </c>
      <c r="N134">
        <v>0</v>
      </c>
      <c r="P134" t="s">
        <v>242</v>
      </c>
    </row>
    <row r="135">
      <c r="A135">
        <v>70</v>
      </c>
      <c r="B135">
        <v>1</v>
      </c>
      <c r="D135">
        <v>6</v>
      </c>
      <c r="E135" t="s">
        <v>479</v>
      </c>
      <c r="F135" t="s">
        <v>242</v>
      </c>
      <c r="G135">
        <v>2</v>
      </c>
      <c r="H135">
        <v>0</v>
      </c>
      <c r="I135" t="s">
        <v>242</v>
      </c>
      <c r="J135">
        <v>0</v>
      </c>
      <c r="K135">
        <v>0</v>
      </c>
      <c r="L135" t="s">
        <v>242</v>
      </c>
      <c r="M135" t="s">
        <v>242</v>
      </c>
      <c r="N135">
        <v>0</v>
      </c>
      <c r="P135" t="s">
        <v>242</v>
      </c>
    </row>
    <row r="137">
      <c r="A137">
        <v>-1</v>
      </c>
    </row>
    <row r="139">
      <c r="A139" s="198">
        <v>75</v>
      </c>
      <c r="B139" s="198" t="s">
        <v>480</v>
      </c>
      <c r="C139" s="198">
        <v>2026</v>
      </c>
      <c r="D139" s="198">
        <v>1</v>
      </c>
      <c r="E139" s="198">
        <v>0</v>
      </c>
      <c r="F139" s="198">
        <v>0</v>
      </c>
      <c r="G139" s="198">
        <v>0</v>
      </c>
      <c r="H139" s="198">
        <v>1</v>
      </c>
      <c r="I139" s="198">
        <v>0</v>
      </c>
      <c r="J139" s="198">
        <v>1</v>
      </c>
      <c r="K139" s="198">
        <v>0</v>
      </c>
      <c r="L139" s="198">
        <v>0</v>
      </c>
      <c r="M139" s="198">
        <v>0</v>
      </c>
      <c r="N139" s="198">
        <v>65099320</v>
      </c>
      <c r="O139" s="198">
        <v>1</v>
      </c>
    </row>
    <row r="140">
      <c r="A140" s="200">
        <v>3</v>
      </c>
      <c r="B140" s="200" t="s">
        <v>481</v>
      </c>
      <c r="C140" s="200">
        <v>1</v>
      </c>
      <c r="D140" s="200">
        <v>9.5500000000000007</v>
      </c>
      <c r="E140" s="200">
        <v>16.399999999999999</v>
      </c>
      <c r="F140" s="200">
        <v>55.32</v>
      </c>
      <c r="G140" s="200">
        <v>55.32</v>
      </c>
      <c r="H140" s="200">
        <v>1</v>
      </c>
      <c r="I140" s="200">
        <v>1</v>
      </c>
      <c r="J140" s="200">
        <v>2</v>
      </c>
      <c r="K140" s="200">
        <v>1</v>
      </c>
      <c r="L140" s="200">
        <v>1</v>
      </c>
      <c r="M140" s="200">
        <v>1</v>
      </c>
      <c r="N140" s="200">
        <v>9.5500000000000007</v>
      </c>
      <c r="O140" s="200">
        <v>1</v>
      </c>
      <c r="P140" s="200">
        <v>1</v>
      </c>
      <c r="Q140" s="200">
        <v>1</v>
      </c>
      <c r="R140" s="200">
        <v>1</v>
      </c>
      <c r="S140" s="200" t="s">
        <v>242</v>
      </c>
      <c r="T140" s="200" t="s">
        <v>242</v>
      </c>
      <c r="U140" s="200" t="s">
        <v>242</v>
      </c>
      <c r="V140" s="200" t="s">
        <v>242</v>
      </c>
      <c r="W140" s="200" t="s">
        <v>242</v>
      </c>
      <c r="X140" s="200" t="s">
        <v>8</v>
      </c>
      <c r="Y140" s="200" t="s">
        <v>242</v>
      </c>
      <c r="Z140" s="200" t="s">
        <v>242</v>
      </c>
      <c r="AA140" s="200" t="s">
        <v>242</v>
      </c>
      <c r="AB140" s="200" t="s">
        <v>242</v>
      </c>
      <c r="AC140" s="200" t="s">
        <v>242</v>
      </c>
      <c r="AD140" s="200" t="s">
        <v>242</v>
      </c>
      <c r="AE140" s="200" t="s">
        <v>242</v>
      </c>
      <c r="AF140" s="200" t="s">
        <v>242</v>
      </c>
      <c r="AG140" s="200" t="s">
        <v>242</v>
      </c>
      <c r="AH140" s="200" t="s">
        <v>242</v>
      </c>
      <c r="AI140" s="200"/>
      <c r="AJ140" s="200"/>
      <c r="AK140" s="200"/>
      <c r="AL140" s="200"/>
      <c r="AM140" s="200"/>
      <c r="AN140" s="200">
        <v>65099321</v>
      </c>
    </row>
    <row r="144">
      <c r="A144">
        <v>65</v>
      </c>
      <c r="C144">
        <v>1</v>
      </c>
      <c r="D144">
        <v>0</v>
      </c>
      <c r="E144">
        <v>245</v>
      </c>
    </row>
  </sheetData>
  <printOptions headings="0" gridLines="1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ColWidth="9.140625" defaultRowHeight="12.75"/>
  <cols>
    <col customWidth="1" min="1" max="256" width="9.140625"/>
  </cols>
  <sheetData>
    <row r="1">
      <c r="A1">
        <v>0</v>
      </c>
      <c r="B1" t="s">
        <v>239</v>
      </c>
      <c r="D1" t="s">
        <v>482</v>
      </c>
      <c r="F1">
        <v>0</v>
      </c>
      <c r="G1">
        <v>0</v>
      </c>
      <c r="H1">
        <v>0</v>
      </c>
      <c r="I1" t="s">
        <v>241</v>
      </c>
      <c r="J1" t="s">
        <v>242</v>
      </c>
      <c r="K1">
        <v>1</v>
      </c>
      <c r="L1">
        <v>72631</v>
      </c>
      <c r="M1">
        <v>10</v>
      </c>
      <c r="N1">
        <v>11</v>
      </c>
      <c r="O1">
        <v>11</v>
      </c>
      <c r="P1">
        <v>0</v>
      </c>
      <c r="Q1">
        <v>0</v>
      </c>
    </row>
    <row r="12">
      <c r="A12" s="196">
        <v>1</v>
      </c>
      <c r="B12" s="196">
        <v>51</v>
      </c>
      <c r="C12" s="196">
        <v>0</v>
      </c>
      <c r="D12" s="196"/>
      <c r="E12" s="196">
        <v>0</v>
      </c>
      <c r="F12" s="196" t="s">
        <v>243</v>
      </c>
      <c r="G12" s="196" t="s">
        <v>164</v>
      </c>
      <c r="H12" s="196" t="s">
        <v>242</v>
      </c>
      <c r="I12" s="196">
        <v>0</v>
      </c>
      <c r="J12" s="196" t="s">
        <v>242</v>
      </c>
      <c r="K12" s="196">
        <v>0</v>
      </c>
      <c r="L12" s="196">
        <v>0</v>
      </c>
      <c r="M12" s="196">
        <v>131078</v>
      </c>
      <c r="N12" s="196"/>
      <c r="O12" s="196">
        <v>0</v>
      </c>
      <c r="P12" s="196">
        <v>0</v>
      </c>
      <c r="Q12" s="196">
        <v>0</v>
      </c>
      <c r="R12" s="196">
        <v>0</v>
      </c>
      <c r="S12" s="196"/>
      <c r="T12" s="196">
        <v>3</v>
      </c>
      <c r="U12" s="196" t="s">
        <v>242</v>
      </c>
      <c r="V12" s="196">
        <v>0</v>
      </c>
      <c r="W12" s="196" t="s">
        <v>242</v>
      </c>
      <c r="X12" s="196" t="s">
        <v>242</v>
      </c>
      <c r="Y12" s="196" t="s">
        <v>242</v>
      </c>
      <c r="Z12" s="196" t="s">
        <v>242</v>
      </c>
      <c r="AA12" s="196" t="s">
        <v>242</v>
      </c>
      <c r="AB12" s="196" t="s">
        <v>242</v>
      </c>
      <c r="AC12" s="196" t="s">
        <v>242</v>
      </c>
      <c r="AD12" s="196" t="s">
        <v>242</v>
      </c>
      <c r="AE12" s="196" t="s">
        <v>242</v>
      </c>
      <c r="AF12" s="196" t="s">
        <v>242</v>
      </c>
      <c r="AG12" s="196" t="s">
        <v>242</v>
      </c>
      <c r="AH12" s="196" t="s">
        <v>242</v>
      </c>
      <c r="AI12" s="196" t="s">
        <v>242</v>
      </c>
      <c r="AJ12" s="196" t="s">
        <v>242</v>
      </c>
      <c r="AK12" s="196"/>
      <c r="AL12" s="196" t="s">
        <v>242</v>
      </c>
      <c r="AM12" s="196" t="s">
        <v>242</v>
      </c>
      <c r="AN12" s="196" t="s">
        <v>242</v>
      </c>
      <c r="AO12" s="196"/>
      <c r="AP12" s="196" t="s">
        <v>242</v>
      </c>
      <c r="AQ12" s="196" t="s">
        <v>242</v>
      </c>
      <c r="AR12" s="196" t="s">
        <v>242</v>
      </c>
      <c r="AS12" s="196"/>
      <c r="AT12" s="196"/>
      <c r="AU12" s="196"/>
      <c r="AV12" s="196"/>
      <c r="AW12" s="196"/>
      <c r="AX12" s="196" t="s">
        <v>242</v>
      </c>
      <c r="AY12" s="196" t="s">
        <v>242</v>
      </c>
      <c r="AZ12" s="196" t="s">
        <v>242</v>
      </c>
      <c r="BA12" s="196"/>
      <c r="BB12" s="196">
        <v>2</v>
      </c>
      <c r="BC12" s="196"/>
      <c r="BD12" s="196"/>
      <c r="BE12" s="196"/>
      <c r="BF12" s="196"/>
      <c r="BG12" s="196"/>
      <c r="BH12" s="196" t="s">
        <v>244</v>
      </c>
      <c r="BI12" s="196" t="s">
        <v>245</v>
      </c>
      <c r="BJ12" s="196">
        <v>1</v>
      </c>
      <c r="BK12" s="196">
        <v>1</v>
      </c>
      <c r="BL12" s="196">
        <v>0</v>
      </c>
      <c r="BM12" s="196">
        <v>0</v>
      </c>
      <c r="BN12" s="196">
        <v>1</v>
      </c>
      <c r="BO12" s="196">
        <v>0</v>
      </c>
      <c r="BP12" s="196">
        <v>2</v>
      </c>
      <c r="BQ12" s="196">
        <v>2</v>
      </c>
      <c r="BR12" s="196">
        <v>1</v>
      </c>
      <c r="BS12" s="196">
        <v>1</v>
      </c>
      <c r="BT12" s="196">
        <v>0</v>
      </c>
      <c r="BU12" s="196">
        <v>0</v>
      </c>
      <c r="BV12" s="196">
        <v>1</v>
      </c>
      <c r="BW12" s="196">
        <v>0</v>
      </c>
      <c r="BX12" s="196">
        <v>0</v>
      </c>
      <c r="BY12" s="196" t="s">
        <v>246</v>
      </c>
      <c r="BZ12" s="196" t="s">
        <v>247</v>
      </c>
      <c r="CA12" s="196" t="s">
        <v>248</v>
      </c>
      <c r="CB12" s="196" t="s">
        <v>248</v>
      </c>
      <c r="CC12" s="196" t="s">
        <v>248</v>
      </c>
      <c r="CD12" s="196" t="s">
        <v>248</v>
      </c>
      <c r="CE12" s="196" t="s">
        <v>249</v>
      </c>
      <c r="CF12" s="196">
        <v>0</v>
      </c>
      <c r="CG12" s="196">
        <v>0</v>
      </c>
      <c r="CH12" s="196">
        <v>403177480</v>
      </c>
      <c r="CI12" s="196" t="s">
        <v>242</v>
      </c>
      <c r="CJ12" s="196" t="s">
        <v>242</v>
      </c>
      <c r="CK12" s="196">
        <v>9</v>
      </c>
      <c r="CL12" s="196"/>
      <c r="CM12" s="196"/>
      <c r="CN12" s="196"/>
      <c r="CO12" s="196"/>
      <c r="CP12" s="196"/>
      <c r="CQ12" s="196" t="s">
        <v>250</v>
      </c>
      <c r="CR12" s="196" t="s">
        <v>251</v>
      </c>
      <c r="CS12" s="196">
        <v>44551</v>
      </c>
      <c r="CT12" s="196">
        <v>395</v>
      </c>
      <c r="CU12" s="196"/>
      <c r="CV12" s="196"/>
      <c r="CW12" s="196"/>
      <c r="CX12" s="196"/>
      <c r="CY12" s="196">
        <v>0</v>
      </c>
      <c r="CZ12" s="196" t="s">
        <v>242</v>
      </c>
      <c r="DA12" s="196" t="s">
        <v>242</v>
      </c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>
        <v>0</v>
      </c>
    </row>
    <row r="14">
      <c r="A14" s="196">
        <v>22</v>
      </c>
      <c r="B14" s="196">
        <v>1</v>
      </c>
      <c r="C14" s="196">
        <v>0</v>
      </c>
      <c r="D14" s="196">
        <v>65099320</v>
      </c>
      <c r="E14" s="196">
        <v>0</v>
      </c>
      <c r="F14" s="196">
        <v>2</v>
      </c>
      <c r="G14" s="196">
        <v>1</v>
      </c>
      <c r="H14" s="196"/>
      <c r="I14" s="196"/>
      <c r="J14" s="196"/>
      <c r="K14" s="196"/>
      <c r="L14" s="196"/>
      <c r="M14" s="196"/>
      <c r="N14" s="196"/>
      <c r="O14" s="196"/>
    </row>
    <row r="16">
      <c r="A16" s="201">
        <v>3</v>
      </c>
      <c r="B16" s="201">
        <v>0</v>
      </c>
      <c r="C16" s="201" t="s">
        <v>252</v>
      </c>
      <c r="D16" s="201" t="s">
        <v>252</v>
      </c>
      <c r="E16" s="202">
        <v>161.77000000000001</v>
      </c>
      <c r="F16" s="202">
        <v>0</v>
      </c>
      <c r="G16" s="202">
        <v>0</v>
      </c>
      <c r="H16" s="202">
        <v>0</v>
      </c>
      <c r="I16" s="202">
        <v>161.77000000000001</v>
      </c>
      <c r="J16" s="202">
        <v>27.41</v>
      </c>
      <c r="AI16" s="201">
        <v>0</v>
      </c>
      <c r="AJ16" s="201">
        <v>0</v>
      </c>
      <c r="AK16" s="201" t="s">
        <v>242</v>
      </c>
      <c r="AL16" s="201" t="s">
        <v>242</v>
      </c>
      <c r="AM16" s="201" t="s">
        <v>242</v>
      </c>
      <c r="AN16" s="201">
        <v>0</v>
      </c>
      <c r="AO16" s="201" t="s">
        <v>242</v>
      </c>
      <c r="AP16" s="201" t="s">
        <v>242</v>
      </c>
      <c r="AT16" s="202">
        <v>117240.19</v>
      </c>
      <c r="AU16" s="202">
        <v>89527.050000000003</v>
      </c>
      <c r="AV16" s="202">
        <v>0</v>
      </c>
      <c r="AW16" s="202">
        <v>0</v>
      </c>
      <c r="AX16" s="202">
        <v>0</v>
      </c>
      <c r="AY16" s="202">
        <v>803.26999999999998</v>
      </c>
      <c r="AZ16" s="202">
        <v>495.12000000000006</v>
      </c>
      <c r="BA16" s="202">
        <v>26909.869999999995</v>
      </c>
      <c r="BB16" s="202">
        <v>161770.14000000001</v>
      </c>
      <c r="BC16" s="202">
        <v>0</v>
      </c>
      <c r="BD16" s="202">
        <v>0</v>
      </c>
      <c r="BE16" s="202">
        <v>0</v>
      </c>
      <c r="BF16" s="202">
        <v>54.994399999999999</v>
      </c>
      <c r="BG16" s="202">
        <v>0.7137</v>
      </c>
      <c r="BH16" s="202">
        <v>0</v>
      </c>
      <c r="BI16" s="202">
        <v>28649.579999999998</v>
      </c>
      <c r="BJ16" s="202">
        <v>15880.369999999999</v>
      </c>
      <c r="BK16" s="202">
        <v>161770.13999999998</v>
      </c>
    </row>
    <row r="18">
      <c r="A18">
        <v>51</v>
      </c>
      <c r="E18" s="203">
        <f>SUMIF(A16:A17,3,E16:E17)</f>
        <v>161.77000000000001</v>
      </c>
      <c r="F18" s="203">
        <f>SUMIF(A16:A17,3,F16:F17)</f>
        <v>0</v>
      </c>
      <c r="G18" s="203">
        <f>SUMIF(A16:A17,3,G16:G17)</f>
        <v>0</v>
      </c>
      <c r="H18" s="203">
        <f>SUMIF(A16:A17,3,H16:H17)</f>
        <v>0</v>
      </c>
      <c r="I18" s="203">
        <f>SUMIF(A16:A17,3,I16:I17)</f>
        <v>161.77000000000001</v>
      </c>
      <c r="J18" s="203">
        <f>SUMIF(A16:A17,3,J16:J17)</f>
        <v>27.41</v>
      </c>
      <c r="K18" s="203"/>
      <c r="L18" s="203"/>
      <c r="M18" s="203"/>
      <c r="N18" s="203"/>
      <c r="O18" s="203"/>
      <c r="P18" s="203"/>
      <c r="Q18" s="203"/>
      <c r="R18" s="203"/>
      <c r="S18" s="203"/>
    </row>
    <row r="20">
      <c r="A20" s="199">
        <v>50</v>
      </c>
      <c r="B20" s="199">
        <v>1</v>
      </c>
      <c r="C20" s="199">
        <v>0</v>
      </c>
      <c r="D20" s="199">
        <v>1</v>
      </c>
      <c r="E20" s="199">
        <v>201</v>
      </c>
      <c r="F20" s="199">
        <v>117240.19</v>
      </c>
      <c r="G20" s="199" t="s">
        <v>363</v>
      </c>
      <c r="H20" s="199" t="s">
        <v>364</v>
      </c>
      <c r="I20" s="199"/>
      <c r="J20" s="199"/>
      <c r="K20" s="199">
        <v>201</v>
      </c>
      <c r="L20" s="199">
        <v>1</v>
      </c>
      <c r="M20" s="199">
        <v>0</v>
      </c>
      <c r="N20" s="199" t="s">
        <v>242</v>
      </c>
      <c r="O20" s="199">
        <v>2</v>
      </c>
      <c r="P20" s="199"/>
    </row>
    <row r="21">
      <c r="A21" s="199">
        <v>50</v>
      </c>
      <c r="B21" s="199">
        <f>IF(SourceObSm!F21&lt;&gt;0,1,0)</f>
        <v>1</v>
      </c>
      <c r="C21" s="199">
        <v>0</v>
      </c>
      <c r="D21" s="199">
        <v>1</v>
      </c>
      <c r="E21" s="199">
        <v>202</v>
      </c>
      <c r="F21" s="199">
        <v>89527.050000000003</v>
      </c>
      <c r="G21" s="199" t="s">
        <v>365</v>
      </c>
      <c r="H21" s="199" t="s">
        <v>366</v>
      </c>
      <c r="I21" s="199"/>
      <c r="J21" s="199"/>
      <c r="K21" s="199">
        <v>202</v>
      </c>
      <c r="L21" s="199">
        <v>2</v>
      </c>
      <c r="M21" s="199">
        <v>1</v>
      </c>
      <c r="N21" s="199" t="s">
        <v>242</v>
      </c>
      <c r="O21" s="199">
        <v>2</v>
      </c>
      <c r="P21" s="199"/>
    </row>
    <row r="22">
      <c r="A22" s="199">
        <v>50</v>
      </c>
      <c r="B22" s="199">
        <v>0</v>
      </c>
      <c r="C22" s="199">
        <v>0</v>
      </c>
      <c r="D22" s="199">
        <v>1</v>
      </c>
      <c r="E22" s="199">
        <v>222</v>
      </c>
      <c r="F22" s="199">
        <v>0</v>
      </c>
      <c r="G22" s="199" t="s">
        <v>367</v>
      </c>
      <c r="H22" s="199" t="s">
        <v>368</v>
      </c>
      <c r="I22" s="199"/>
      <c r="J22" s="199"/>
      <c r="K22" s="199">
        <v>222</v>
      </c>
      <c r="L22" s="199">
        <v>3</v>
      </c>
      <c r="M22" s="199">
        <v>3</v>
      </c>
      <c r="N22" s="199" t="s">
        <v>242</v>
      </c>
      <c r="O22" s="199">
        <v>2</v>
      </c>
      <c r="P22" s="199"/>
    </row>
    <row r="23">
      <c r="A23" s="199">
        <v>50</v>
      </c>
      <c r="B23" s="199">
        <v>0</v>
      </c>
      <c r="C23" s="199">
        <v>0</v>
      </c>
      <c r="D23" s="199">
        <v>1</v>
      </c>
      <c r="E23" s="199">
        <v>225</v>
      </c>
      <c r="F23" s="199">
        <v>0</v>
      </c>
      <c r="G23" s="199" t="s">
        <v>369</v>
      </c>
      <c r="H23" s="199" t="s">
        <v>370</v>
      </c>
      <c r="I23" s="199"/>
      <c r="J23" s="199"/>
      <c r="K23" s="199">
        <v>225</v>
      </c>
      <c r="L23" s="199">
        <v>4</v>
      </c>
      <c r="M23" s="199">
        <v>3</v>
      </c>
      <c r="N23" s="199" t="s">
        <v>242</v>
      </c>
      <c r="O23" s="199">
        <v>2</v>
      </c>
      <c r="P23" s="199"/>
    </row>
    <row r="24">
      <c r="A24" s="199">
        <v>50</v>
      </c>
      <c r="B24" s="199">
        <f>IF(SourceObSm!F24&lt;&gt;0,1,0)</f>
        <v>1</v>
      </c>
      <c r="C24" s="199">
        <v>0</v>
      </c>
      <c r="D24" s="199">
        <v>1</v>
      </c>
      <c r="E24" s="199">
        <v>226</v>
      </c>
      <c r="F24" s="199">
        <v>89527.050000000003</v>
      </c>
      <c r="G24" s="199" t="s">
        <v>371</v>
      </c>
      <c r="H24" s="199" t="s">
        <v>372</v>
      </c>
      <c r="I24" s="199"/>
      <c r="J24" s="199"/>
      <c r="K24" s="199">
        <v>226</v>
      </c>
      <c r="L24" s="199">
        <v>5</v>
      </c>
      <c r="M24" s="199">
        <v>1</v>
      </c>
      <c r="N24" s="199" t="s">
        <v>242</v>
      </c>
      <c r="O24" s="199">
        <v>2</v>
      </c>
      <c r="P24" s="199"/>
    </row>
    <row r="25">
      <c r="A25" s="199">
        <v>50</v>
      </c>
      <c r="B25" s="199">
        <f>IF(SourceObSm!F25&lt;&gt;0,1,0)</f>
        <v>0</v>
      </c>
      <c r="C25" s="199">
        <v>0</v>
      </c>
      <c r="D25" s="199">
        <v>1</v>
      </c>
      <c r="E25" s="199">
        <v>227</v>
      </c>
      <c r="F25" s="199">
        <v>0</v>
      </c>
      <c r="G25" s="199" t="s">
        <v>373</v>
      </c>
      <c r="H25" s="199" t="s">
        <v>374</v>
      </c>
      <c r="I25" s="199"/>
      <c r="J25" s="199"/>
      <c r="K25" s="199">
        <v>227</v>
      </c>
      <c r="L25" s="199">
        <v>6</v>
      </c>
      <c r="M25" s="199">
        <v>1</v>
      </c>
      <c r="N25" s="199" t="s">
        <v>242</v>
      </c>
      <c r="O25" s="199">
        <v>2</v>
      </c>
      <c r="P25" s="199"/>
    </row>
    <row r="26">
      <c r="A26" s="199">
        <v>50</v>
      </c>
      <c r="B26" s="199">
        <v>0</v>
      </c>
      <c r="C26" s="199">
        <v>0</v>
      </c>
      <c r="D26" s="199">
        <v>1</v>
      </c>
      <c r="E26" s="199">
        <v>228</v>
      </c>
      <c r="F26" s="199">
        <v>89527.050000000003</v>
      </c>
      <c r="G26" s="199" t="s">
        <v>375</v>
      </c>
      <c r="H26" s="199" t="s">
        <v>376</v>
      </c>
      <c r="I26" s="199"/>
      <c r="J26" s="199"/>
      <c r="K26" s="199">
        <v>228</v>
      </c>
      <c r="L26" s="199">
        <v>7</v>
      </c>
      <c r="M26" s="199">
        <v>3</v>
      </c>
      <c r="N26" s="199" t="s">
        <v>242</v>
      </c>
      <c r="O26" s="199">
        <v>2</v>
      </c>
      <c r="P26" s="199"/>
    </row>
    <row r="27">
      <c r="A27" s="199">
        <v>50</v>
      </c>
      <c r="B27" s="199">
        <f>IF(SourceObSm!F27&lt;&gt;0,1,0)</f>
        <v>0</v>
      </c>
      <c r="C27" s="199">
        <v>0</v>
      </c>
      <c r="D27" s="199">
        <v>1</v>
      </c>
      <c r="E27" s="199">
        <v>216</v>
      </c>
      <c r="F27" s="199">
        <v>0</v>
      </c>
      <c r="G27" s="199" t="s">
        <v>377</v>
      </c>
      <c r="H27" s="199" t="s">
        <v>378</v>
      </c>
      <c r="I27" s="199"/>
      <c r="J27" s="199"/>
      <c r="K27" s="199">
        <v>216</v>
      </c>
      <c r="L27" s="199">
        <v>8</v>
      </c>
      <c r="M27" s="199">
        <v>1</v>
      </c>
      <c r="N27" s="199" t="s">
        <v>242</v>
      </c>
      <c r="O27" s="199">
        <v>2</v>
      </c>
      <c r="P27" s="199"/>
    </row>
    <row r="28">
      <c r="A28" s="199">
        <v>50</v>
      </c>
      <c r="B28" s="199">
        <f>IF(SourceObSm!F28&lt;&gt;0,1,0)</f>
        <v>0</v>
      </c>
      <c r="C28" s="199">
        <v>0</v>
      </c>
      <c r="D28" s="199">
        <v>1</v>
      </c>
      <c r="E28" s="199">
        <v>223</v>
      </c>
      <c r="F28" s="199">
        <v>0</v>
      </c>
      <c r="G28" s="199" t="s">
        <v>379</v>
      </c>
      <c r="H28" s="199" t="s">
        <v>380</v>
      </c>
      <c r="I28" s="199"/>
      <c r="J28" s="199"/>
      <c r="K28" s="199">
        <v>223</v>
      </c>
      <c r="L28" s="199">
        <v>9</v>
      </c>
      <c r="M28" s="199">
        <v>1</v>
      </c>
      <c r="N28" s="199" t="s">
        <v>242</v>
      </c>
      <c r="O28" s="199">
        <v>2</v>
      </c>
      <c r="P28" s="199"/>
    </row>
    <row r="29">
      <c r="A29" s="199">
        <v>50</v>
      </c>
      <c r="B29" s="199">
        <v>0</v>
      </c>
      <c r="C29" s="199">
        <v>0</v>
      </c>
      <c r="D29" s="199">
        <v>1</v>
      </c>
      <c r="E29" s="199">
        <v>229</v>
      </c>
      <c r="F29" s="199">
        <v>0</v>
      </c>
      <c r="G29" s="199" t="s">
        <v>381</v>
      </c>
      <c r="H29" s="199" t="s">
        <v>382</v>
      </c>
      <c r="I29" s="199"/>
      <c r="J29" s="199"/>
      <c r="K29" s="199">
        <v>229</v>
      </c>
      <c r="L29" s="199">
        <v>10</v>
      </c>
      <c r="M29" s="199">
        <v>3</v>
      </c>
      <c r="N29" s="199" t="s">
        <v>242</v>
      </c>
      <c r="O29" s="199">
        <v>2</v>
      </c>
      <c r="P29" s="199"/>
    </row>
    <row r="30">
      <c r="A30" s="199">
        <v>50</v>
      </c>
      <c r="B30" s="199">
        <v>1</v>
      </c>
      <c r="C30" s="199">
        <v>0</v>
      </c>
      <c r="D30" s="199">
        <v>1</v>
      </c>
      <c r="E30" s="199">
        <v>203</v>
      </c>
      <c r="F30" s="199">
        <v>803.26999999999998</v>
      </c>
      <c r="G30" s="199" t="s">
        <v>383</v>
      </c>
      <c r="H30" s="199" t="s">
        <v>384</v>
      </c>
      <c r="I30" s="199"/>
      <c r="J30" s="199"/>
      <c r="K30" s="199">
        <v>203</v>
      </c>
      <c r="L30" s="199">
        <v>11</v>
      </c>
      <c r="M30" s="199">
        <v>0</v>
      </c>
      <c r="N30" s="199" t="s">
        <v>242</v>
      </c>
      <c r="O30" s="199">
        <v>2</v>
      </c>
      <c r="P30" s="199"/>
    </row>
    <row r="31">
      <c r="A31" s="199">
        <v>50</v>
      </c>
      <c r="B31" s="199">
        <v>0</v>
      </c>
      <c r="C31" s="199">
        <v>0</v>
      </c>
      <c r="D31" s="199">
        <v>1</v>
      </c>
      <c r="E31" s="199">
        <v>231</v>
      </c>
      <c r="F31" s="199">
        <v>0</v>
      </c>
      <c r="G31" s="199" t="s">
        <v>385</v>
      </c>
      <c r="H31" s="199" t="s">
        <v>386</v>
      </c>
      <c r="I31" s="199"/>
      <c r="J31" s="199"/>
      <c r="K31" s="199">
        <v>231</v>
      </c>
      <c r="L31" s="199">
        <v>12</v>
      </c>
      <c r="M31" s="199">
        <v>3</v>
      </c>
      <c r="N31" s="199" t="s">
        <v>242</v>
      </c>
      <c r="O31" s="199">
        <v>2</v>
      </c>
      <c r="P31" s="199"/>
    </row>
    <row r="32">
      <c r="A32" s="199">
        <v>50</v>
      </c>
      <c r="B32" s="199">
        <v>1</v>
      </c>
      <c r="C32" s="199">
        <v>0</v>
      </c>
      <c r="D32" s="199">
        <v>1</v>
      </c>
      <c r="E32" s="199">
        <v>204</v>
      </c>
      <c r="F32" s="199">
        <v>495.12000000000006</v>
      </c>
      <c r="G32" s="199" t="s">
        <v>387</v>
      </c>
      <c r="H32" s="199" t="s">
        <v>388</v>
      </c>
      <c r="I32" s="199"/>
      <c r="J32" s="199"/>
      <c r="K32" s="199">
        <v>204</v>
      </c>
      <c r="L32" s="199">
        <v>13</v>
      </c>
      <c r="M32" s="199">
        <v>0</v>
      </c>
      <c r="N32" s="199" t="s">
        <v>242</v>
      </c>
      <c r="O32" s="199">
        <v>2</v>
      </c>
      <c r="P32" s="199"/>
    </row>
    <row r="33">
      <c r="A33" s="199">
        <v>50</v>
      </c>
      <c r="B33" s="199">
        <v>1</v>
      </c>
      <c r="C33" s="199">
        <v>0</v>
      </c>
      <c r="D33" s="199">
        <v>1</v>
      </c>
      <c r="E33" s="199">
        <v>205</v>
      </c>
      <c r="F33" s="199">
        <v>26909.869999999995</v>
      </c>
      <c r="G33" s="199" t="s">
        <v>389</v>
      </c>
      <c r="H33" s="199" t="s">
        <v>390</v>
      </c>
      <c r="I33" s="199"/>
      <c r="J33" s="199"/>
      <c r="K33" s="199">
        <v>205</v>
      </c>
      <c r="L33" s="199">
        <v>14</v>
      </c>
      <c r="M33" s="199">
        <v>0</v>
      </c>
      <c r="N33" s="199" t="s">
        <v>242</v>
      </c>
      <c r="O33" s="199">
        <v>2</v>
      </c>
      <c r="P33" s="199"/>
    </row>
    <row r="34">
      <c r="A34" s="199">
        <v>50</v>
      </c>
      <c r="B34" s="199">
        <v>0</v>
      </c>
      <c r="C34" s="199">
        <v>0</v>
      </c>
      <c r="D34" s="199">
        <v>1</v>
      </c>
      <c r="E34" s="199">
        <v>232</v>
      </c>
      <c r="F34" s="199">
        <v>0</v>
      </c>
      <c r="G34" s="199" t="s">
        <v>391</v>
      </c>
      <c r="H34" s="199" t="s">
        <v>392</v>
      </c>
      <c r="I34" s="199"/>
      <c r="J34" s="199"/>
      <c r="K34" s="199">
        <v>232</v>
      </c>
      <c r="L34" s="199">
        <v>15</v>
      </c>
      <c r="M34" s="199">
        <v>3</v>
      </c>
      <c r="N34" s="199" t="s">
        <v>242</v>
      </c>
      <c r="O34" s="199">
        <v>2</v>
      </c>
      <c r="P34" s="199"/>
    </row>
    <row r="35">
      <c r="A35" s="199">
        <v>50</v>
      </c>
      <c r="B35" s="199">
        <v>0</v>
      </c>
      <c r="C35" s="199">
        <v>0</v>
      </c>
      <c r="D35" s="199">
        <v>1</v>
      </c>
      <c r="E35" s="199">
        <v>214</v>
      </c>
      <c r="F35" s="199">
        <v>161770.14000000001</v>
      </c>
      <c r="G35" s="199" t="s">
        <v>393</v>
      </c>
      <c r="H35" s="199" t="s">
        <v>394</v>
      </c>
      <c r="I35" s="199"/>
      <c r="J35" s="199"/>
      <c r="K35" s="199">
        <v>214</v>
      </c>
      <c r="L35" s="199">
        <v>16</v>
      </c>
      <c r="M35" s="199">
        <v>3</v>
      </c>
      <c r="N35" s="199" t="s">
        <v>242</v>
      </c>
      <c r="O35" s="199">
        <v>2</v>
      </c>
      <c r="P35" s="199"/>
    </row>
    <row r="36">
      <c r="A36" s="199">
        <v>50</v>
      </c>
      <c r="B36" s="199">
        <v>0</v>
      </c>
      <c r="C36" s="199">
        <v>0</v>
      </c>
      <c r="D36" s="199">
        <v>1</v>
      </c>
      <c r="E36" s="199">
        <v>215</v>
      </c>
      <c r="F36" s="199">
        <v>0</v>
      </c>
      <c r="G36" s="199" t="s">
        <v>395</v>
      </c>
      <c r="H36" s="199" t="s">
        <v>396</v>
      </c>
      <c r="I36" s="199"/>
      <c r="J36" s="199"/>
      <c r="K36" s="199">
        <v>215</v>
      </c>
      <c r="L36" s="199">
        <v>17</v>
      </c>
      <c r="M36" s="199">
        <v>3</v>
      </c>
      <c r="N36" s="199" t="s">
        <v>242</v>
      </c>
      <c r="O36" s="199">
        <v>2</v>
      </c>
      <c r="P36" s="199"/>
    </row>
    <row r="37">
      <c r="A37" s="199">
        <v>50</v>
      </c>
      <c r="B37" s="199">
        <v>0</v>
      </c>
      <c r="C37" s="199">
        <v>0</v>
      </c>
      <c r="D37" s="199">
        <v>1</v>
      </c>
      <c r="E37" s="199">
        <v>217</v>
      </c>
      <c r="F37" s="199">
        <v>0</v>
      </c>
      <c r="G37" s="199" t="s">
        <v>397</v>
      </c>
      <c r="H37" s="199" t="s">
        <v>398</v>
      </c>
      <c r="I37" s="199"/>
      <c r="J37" s="199"/>
      <c r="K37" s="199">
        <v>217</v>
      </c>
      <c r="L37" s="199">
        <v>18</v>
      </c>
      <c r="M37" s="199">
        <v>3</v>
      </c>
      <c r="N37" s="199" t="s">
        <v>242</v>
      </c>
      <c r="O37" s="199">
        <v>2</v>
      </c>
      <c r="P37" s="199"/>
    </row>
    <row r="38">
      <c r="A38" s="199">
        <v>50</v>
      </c>
      <c r="B38" s="199">
        <v>0</v>
      </c>
      <c r="C38" s="199">
        <v>0</v>
      </c>
      <c r="D38" s="199">
        <v>1</v>
      </c>
      <c r="E38" s="199">
        <v>230</v>
      </c>
      <c r="F38" s="199">
        <v>0</v>
      </c>
      <c r="G38" s="199" t="s">
        <v>399</v>
      </c>
      <c r="H38" s="199" t="s">
        <v>400</v>
      </c>
      <c r="I38" s="199"/>
      <c r="J38" s="199"/>
      <c r="K38" s="199">
        <v>230</v>
      </c>
      <c r="L38" s="199">
        <v>19</v>
      </c>
      <c r="M38" s="199">
        <v>3</v>
      </c>
      <c r="N38" s="199" t="s">
        <v>242</v>
      </c>
      <c r="O38" s="199">
        <v>2</v>
      </c>
      <c r="P38" s="199"/>
    </row>
    <row r="39">
      <c r="A39" s="199">
        <v>50</v>
      </c>
      <c r="B39" s="199">
        <f>IF(SourceObSm!F39&lt;&gt;0,1,0)</f>
        <v>0</v>
      </c>
      <c r="C39" s="199">
        <v>0</v>
      </c>
      <c r="D39" s="199">
        <v>1</v>
      </c>
      <c r="E39" s="199">
        <v>206</v>
      </c>
      <c r="F39" s="199">
        <v>0</v>
      </c>
      <c r="G39" s="199" t="s">
        <v>401</v>
      </c>
      <c r="H39" s="199" t="s">
        <v>402</v>
      </c>
      <c r="I39" s="199"/>
      <c r="J39" s="199"/>
      <c r="K39" s="199">
        <v>206</v>
      </c>
      <c r="L39" s="199">
        <v>20</v>
      </c>
      <c r="M39" s="199">
        <v>1</v>
      </c>
      <c r="N39" s="199" t="s">
        <v>242</v>
      </c>
      <c r="O39" s="199">
        <v>2</v>
      </c>
      <c r="P39" s="199"/>
    </row>
    <row r="40">
      <c r="A40" s="199">
        <v>50</v>
      </c>
      <c r="B40" s="199">
        <v>1</v>
      </c>
      <c r="C40" s="199">
        <v>0</v>
      </c>
      <c r="D40" s="199">
        <v>1</v>
      </c>
      <c r="E40" s="199">
        <v>207</v>
      </c>
      <c r="F40" s="199">
        <v>54.994399999999999</v>
      </c>
      <c r="G40" s="199" t="s">
        <v>403</v>
      </c>
      <c r="H40" s="199" t="s">
        <v>404</v>
      </c>
      <c r="I40" s="199"/>
      <c r="J40" s="199"/>
      <c r="K40" s="199">
        <v>207</v>
      </c>
      <c r="L40" s="199">
        <v>21</v>
      </c>
      <c r="M40" s="199">
        <v>0</v>
      </c>
      <c r="N40" s="199" t="s">
        <v>242</v>
      </c>
      <c r="O40" s="199">
        <v>-1</v>
      </c>
      <c r="P40" s="199"/>
    </row>
    <row r="41">
      <c r="A41" s="199">
        <v>50</v>
      </c>
      <c r="B41" s="199">
        <v>1</v>
      </c>
      <c r="C41" s="199">
        <v>0</v>
      </c>
      <c r="D41" s="199">
        <v>1</v>
      </c>
      <c r="E41" s="199">
        <v>208</v>
      </c>
      <c r="F41" s="199">
        <v>0.7137</v>
      </c>
      <c r="G41" s="199" t="s">
        <v>405</v>
      </c>
      <c r="H41" s="199" t="s">
        <v>406</v>
      </c>
      <c r="I41" s="199"/>
      <c r="J41" s="199"/>
      <c r="K41" s="199">
        <v>208</v>
      </c>
      <c r="L41" s="199">
        <v>22</v>
      </c>
      <c r="M41" s="199">
        <v>0</v>
      </c>
      <c r="N41" s="199" t="s">
        <v>242</v>
      </c>
      <c r="O41" s="199">
        <v>-1</v>
      </c>
      <c r="P41" s="199"/>
    </row>
    <row r="42">
      <c r="A42" s="199">
        <v>50</v>
      </c>
      <c r="B42" s="199">
        <v>0</v>
      </c>
      <c r="C42" s="199">
        <v>0</v>
      </c>
      <c r="D42" s="199">
        <v>1</v>
      </c>
      <c r="E42" s="199">
        <v>209</v>
      </c>
      <c r="F42" s="199">
        <v>0</v>
      </c>
      <c r="G42" s="199" t="s">
        <v>407</v>
      </c>
      <c r="H42" s="199" t="s">
        <v>408</v>
      </c>
      <c r="I42" s="199"/>
      <c r="J42" s="199"/>
      <c r="K42" s="199">
        <v>209</v>
      </c>
      <c r="L42" s="199">
        <v>23</v>
      </c>
      <c r="M42" s="199">
        <v>3</v>
      </c>
      <c r="N42" s="199" t="s">
        <v>242</v>
      </c>
      <c r="O42" s="199">
        <v>2</v>
      </c>
      <c r="P42" s="199"/>
    </row>
    <row r="43">
      <c r="A43" s="199">
        <v>50</v>
      </c>
      <c r="B43" s="199">
        <f>IF(SourceObSm!F43&lt;&gt;0,1,0)</f>
        <v>0</v>
      </c>
      <c r="C43" s="199">
        <v>0</v>
      </c>
      <c r="D43" s="199">
        <v>1</v>
      </c>
      <c r="E43" s="199">
        <v>233</v>
      </c>
      <c r="F43" s="199">
        <v>0</v>
      </c>
      <c r="G43" s="199" t="s">
        <v>409</v>
      </c>
      <c r="H43" s="199" t="s">
        <v>410</v>
      </c>
      <c r="I43" s="199"/>
      <c r="J43" s="199"/>
      <c r="K43" s="199">
        <v>233</v>
      </c>
      <c r="L43" s="199">
        <v>24</v>
      </c>
      <c r="M43" s="199">
        <v>1</v>
      </c>
      <c r="N43" s="199" t="s">
        <v>242</v>
      </c>
      <c r="O43" s="199">
        <v>2</v>
      </c>
      <c r="P43" s="199"/>
    </row>
    <row r="44">
      <c r="A44" s="199">
        <v>50</v>
      </c>
      <c r="B44" s="199">
        <v>1</v>
      </c>
      <c r="C44" s="199">
        <v>0</v>
      </c>
      <c r="D44" s="199">
        <v>1</v>
      </c>
      <c r="E44" s="199">
        <v>210</v>
      </c>
      <c r="F44" s="199">
        <v>28649.579999999998</v>
      </c>
      <c r="G44" s="199" t="s">
        <v>411</v>
      </c>
      <c r="H44" s="199" t="s">
        <v>412</v>
      </c>
      <c r="I44" s="199"/>
      <c r="J44" s="199"/>
      <c r="K44" s="199">
        <v>210</v>
      </c>
      <c r="L44" s="199">
        <v>25</v>
      </c>
      <c r="M44" s="199">
        <v>0</v>
      </c>
      <c r="N44" s="199" t="s">
        <v>242</v>
      </c>
      <c r="O44" s="199">
        <v>2</v>
      </c>
      <c r="P44" s="199"/>
    </row>
    <row r="45">
      <c r="A45" s="199">
        <v>50</v>
      </c>
      <c r="B45" s="199">
        <v>1</v>
      </c>
      <c r="C45" s="199">
        <v>0</v>
      </c>
      <c r="D45" s="199">
        <v>1</v>
      </c>
      <c r="E45" s="199">
        <v>211</v>
      </c>
      <c r="F45" s="199">
        <v>15880.369999999999</v>
      </c>
      <c r="G45" s="199" t="s">
        <v>413</v>
      </c>
      <c r="H45" s="199" t="s">
        <v>414</v>
      </c>
      <c r="I45" s="199"/>
      <c r="J45" s="199"/>
      <c r="K45" s="199">
        <v>211</v>
      </c>
      <c r="L45" s="199">
        <v>26</v>
      </c>
      <c r="M45" s="199">
        <v>0</v>
      </c>
      <c r="N45" s="199" t="s">
        <v>242</v>
      </c>
      <c r="O45" s="199">
        <v>2</v>
      </c>
      <c r="P45" s="199"/>
    </row>
    <row r="46">
      <c r="A46" s="199">
        <v>50</v>
      </c>
      <c r="B46" s="199">
        <v>1</v>
      </c>
      <c r="C46" s="199">
        <v>0</v>
      </c>
      <c r="D46" s="199">
        <v>1</v>
      </c>
      <c r="E46" s="199">
        <v>224</v>
      </c>
      <c r="F46" s="199">
        <v>161770.13999999998</v>
      </c>
      <c r="G46" s="199" t="s">
        <v>415</v>
      </c>
      <c r="H46" s="199" t="s">
        <v>416</v>
      </c>
      <c r="I46" s="199"/>
      <c r="J46" s="199"/>
      <c r="K46" s="199">
        <v>224</v>
      </c>
      <c r="L46" s="199">
        <v>27</v>
      </c>
      <c r="M46" s="199">
        <v>0</v>
      </c>
      <c r="N46" s="199" t="s">
        <v>242</v>
      </c>
      <c r="O46" s="199">
        <v>2</v>
      </c>
      <c r="P46" s="199"/>
    </row>
    <row r="48">
      <c r="A48">
        <v>-1</v>
      </c>
    </row>
    <row r="51">
      <c r="A51" s="198">
        <v>75</v>
      </c>
      <c r="B51" s="198" t="s">
        <v>480</v>
      </c>
      <c r="C51" s="198">
        <v>2026</v>
      </c>
      <c r="D51" s="198">
        <v>1</v>
      </c>
      <c r="E51" s="198">
        <v>0</v>
      </c>
      <c r="F51" s="198">
        <v>0</v>
      </c>
      <c r="G51" s="198">
        <v>0</v>
      </c>
      <c r="H51" s="198">
        <v>1</v>
      </c>
      <c r="I51" s="198">
        <v>0</v>
      </c>
      <c r="J51" s="198">
        <v>1</v>
      </c>
      <c r="K51" s="198">
        <v>0</v>
      </c>
      <c r="L51" s="198">
        <v>0</v>
      </c>
      <c r="M51" s="198">
        <v>0</v>
      </c>
      <c r="N51" s="198">
        <v>65099320</v>
      </c>
      <c r="O51" s="198">
        <v>1</v>
      </c>
    </row>
    <row r="52">
      <c r="A52" s="200">
        <v>3</v>
      </c>
      <c r="B52" s="200" t="s">
        <v>481</v>
      </c>
      <c r="C52" s="200">
        <v>1</v>
      </c>
      <c r="D52" s="200">
        <v>9.5500000000000007</v>
      </c>
      <c r="E52" s="200">
        <v>16.399999999999999</v>
      </c>
      <c r="F52" s="200">
        <v>55.32</v>
      </c>
      <c r="G52" s="200">
        <v>55.32</v>
      </c>
      <c r="H52" s="200">
        <v>1</v>
      </c>
      <c r="I52" s="200">
        <v>1</v>
      </c>
      <c r="J52" s="200">
        <v>2</v>
      </c>
      <c r="K52" s="200">
        <v>1</v>
      </c>
      <c r="L52" s="200">
        <v>1</v>
      </c>
      <c r="M52" s="200">
        <v>1</v>
      </c>
      <c r="N52" s="200">
        <v>9.5500000000000007</v>
      </c>
      <c r="O52" s="200">
        <v>1</v>
      </c>
      <c r="P52" s="200">
        <v>1</v>
      </c>
      <c r="Q52" s="200">
        <v>1</v>
      </c>
      <c r="R52" s="200">
        <v>1</v>
      </c>
      <c r="S52" s="200" t="s">
        <v>242</v>
      </c>
      <c r="T52" s="200" t="s">
        <v>242</v>
      </c>
      <c r="U52" s="200" t="s">
        <v>242</v>
      </c>
      <c r="V52" s="200" t="s">
        <v>242</v>
      </c>
      <c r="W52" s="200" t="s">
        <v>242</v>
      </c>
      <c r="X52" s="200" t="s">
        <v>8</v>
      </c>
      <c r="Y52" s="200" t="s">
        <v>242</v>
      </c>
      <c r="Z52" s="200" t="s">
        <v>242</v>
      </c>
      <c r="AA52" s="200" t="s">
        <v>242</v>
      </c>
      <c r="AB52" s="200" t="s">
        <v>242</v>
      </c>
      <c r="AC52" s="200" t="s">
        <v>242</v>
      </c>
      <c r="AD52" s="200" t="s">
        <v>242</v>
      </c>
      <c r="AE52" s="200" t="s">
        <v>242</v>
      </c>
      <c r="AF52" s="200" t="s">
        <v>242</v>
      </c>
      <c r="AG52" s="200" t="s">
        <v>242</v>
      </c>
      <c r="AH52" s="200" t="s">
        <v>242</v>
      </c>
      <c r="AI52" s="200"/>
      <c r="AJ52" s="200"/>
      <c r="AK52" s="200"/>
      <c r="AL52" s="200"/>
      <c r="AM52" s="200"/>
      <c r="AN52" s="200">
        <v>65099321</v>
      </c>
    </row>
  </sheetData>
  <printOptions headings="0" gridLines="1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ColWidth="9.140625" defaultRowHeight="12.75"/>
  <cols>
    <col customWidth="1" min="1" max="256" width="9.140625"/>
  </cols>
  <sheetData>
    <row r="1">
      <c r="A1">
        <f>ROW(Source!A24)</f>
        <v>24</v>
      </c>
      <c r="B1">
        <v>65099320</v>
      </c>
      <c r="C1">
        <v>65099332</v>
      </c>
      <c r="D1">
        <v>55684301</v>
      </c>
      <c r="E1">
        <v>70</v>
      </c>
      <c r="F1">
        <v>1</v>
      </c>
      <c r="G1">
        <v>1</v>
      </c>
      <c r="H1">
        <v>1</v>
      </c>
      <c r="I1" t="s">
        <v>483</v>
      </c>
      <c r="J1" t="s">
        <v>242</v>
      </c>
      <c r="K1" t="s">
        <v>484</v>
      </c>
      <c r="L1">
        <v>1191</v>
      </c>
      <c r="N1">
        <v>1013</v>
      </c>
      <c r="O1" t="s">
        <v>30</v>
      </c>
      <c r="P1" t="s">
        <v>30</v>
      </c>
      <c r="Q1">
        <v>1</v>
      </c>
      <c r="W1">
        <v>0</v>
      </c>
      <c r="X1">
        <v>1049124552</v>
      </c>
      <c r="Y1">
        <f t="shared" ref="Y1:Y6" si="114">AT1</f>
        <v>51.299999999999997</v>
      </c>
      <c r="AA1">
        <v>0</v>
      </c>
      <c r="AB1">
        <v>0</v>
      </c>
      <c r="AC1">
        <v>0</v>
      </c>
      <c r="AD1">
        <v>471.88</v>
      </c>
      <c r="AE1">
        <v>0</v>
      </c>
      <c r="AF1">
        <v>0</v>
      </c>
      <c r="AG1">
        <v>0</v>
      </c>
      <c r="AH1">
        <v>8.5299999999999994</v>
      </c>
      <c r="AI1">
        <v>1</v>
      </c>
      <c r="AJ1">
        <v>1</v>
      </c>
      <c r="AK1">
        <v>1</v>
      </c>
      <c r="AL1">
        <v>55.32</v>
      </c>
      <c r="AM1">
        <v>4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242</v>
      </c>
      <c r="AT1">
        <v>51.299999999999997</v>
      </c>
      <c r="AU1" t="s">
        <v>242</v>
      </c>
      <c r="AV1">
        <v>1</v>
      </c>
      <c r="AW1">
        <v>2</v>
      </c>
      <c r="AX1">
        <v>65099333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U1">
        <f>ROUND(AT1*Source!I24*AH1*AL1,2)</f>
        <v>1210.3700000000001</v>
      </c>
      <c r="CV1">
        <f>ROUND(Y1*Source!I24,7)</f>
        <v>2.5649999999999999</v>
      </c>
      <c r="CW1">
        <v>0</v>
      </c>
      <c r="CX1">
        <f>ROUND(Y1*Source!I24,7)</f>
        <v>2.5649999999999999</v>
      </c>
      <c r="CY1">
        <f t="shared" ref="CY1:CY2" si="115">AD1</f>
        <v>471.88</v>
      </c>
      <c r="CZ1">
        <f t="shared" ref="CZ1:CZ2" si="116">AH1</f>
        <v>8.5299999999999994</v>
      </c>
      <c r="DA1">
        <f t="shared" ref="DA1:DA2" si="117">AL1</f>
        <v>55.32</v>
      </c>
      <c r="DB1">
        <f t="shared" ref="DB1:DB6" si="118">ROUND(ROUND(AT1*CZ1,2),2)</f>
        <v>437.59000000000003</v>
      </c>
      <c r="DC1">
        <f t="shared" ref="DC1:DC6" si="119">ROUND(ROUND(AT1*AG1,2),2)</f>
        <v>0</v>
      </c>
      <c r="DD1" t="s">
        <v>242</v>
      </c>
      <c r="DE1" t="s">
        <v>242</v>
      </c>
      <c r="DF1">
        <f t="shared" ref="DF1:DF10" si="120">ROUND(ROUND(AE1,2)*CX1,2)</f>
        <v>0</v>
      </c>
      <c r="DG1">
        <f t="shared" ref="DG1:DG2" si="121">ROUND(ROUND(AF1,2)*CX1,2)</f>
        <v>0</v>
      </c>
      <c r="DH1">
        <f>ROUND(ROUND(AG1,2)*CX1,2)</f>
        <v>0</v>
      </c>
      <c r="DI1">
        <f>ROUND(ROUND(AH1*AL1,2)*CX1,2)</f>
        <v>1210.3700000000001</v>
      </c>
      <c r="DJ1">
        <f t="shared" ref="DJ1:DJ2" si="122">DI1</f>
        <v>1210.3700000000001</v>
      </c>
      <c r="DK1">
        <v>0</v>
      </c>
      <c r="DL1" t="s">
        <v>242</v>
      </c>
      <c r="DM1">
        <v>0</v>
      </c>
      <c r="DN1" t="s">
        <v>242</v>
      </c>
      <c r="DO1">
        <v>0</v>
      </c>
    </row>
    <row r="2">
      <c r="A2">
        <f>ROW(Source!A24)</f>
        <v>24</v>
      </c>
      <c r="B2">
        <v>65099320</v>
      </c>
      <c r="C2">
        <v>65099332</v>
      </c>
      <c r="D2">
        <v>55684491</v>
      </c>
      <c r="E2">
        <v>70</v>
      </c>
      <c r="F2">
        <v>1</v>
      </c>
      <c r="G2">
        <v>1</v>
      </c>
      <c r="H2">
        <v>1</v>
      </c>
      <c r="I2" t="s">
        <v>485</v>
      </c>
      <c r="J2" t="s">
        <v>242</v>
      </c>
      <c r="K2" t="s">
        <v>486</v>
      </c>
      <c r="L2">
        <v>1191</v>
      </c>
      <c r="N2">
        <v>1013</v>
      </c>
      <c r="O2" t="s">
        <v>30</v>
      </c>
      <c r="P2" t="s">
        <v>30</v>
      </c>
      <c r="Q2">
        <v>1</v>
      </c>
      <c r="W2">
        <v>0</v>
      </c>
      <c r="X2">
        <v>-1417349443</v>
      </c>
      <c r="Y2">
        <f t="shared" si="114"/>
        <v>0.26000000000000001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55.32</v>
      </c>
      <c r="AL2">
        <v>1</v>
      </c>
      <c r="AM2">
        <v>4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242</v>
      </c>
      <c r="AT2">
        <v>0.26000000000000001</v>
      </c>
      <c r="AU2" t="s">
        <v>242</v>
      </c>
      <c r="AV2">
        <v>2</v>
      </c>
      <c r="AW2">
        <v>2</v>
      </c>
      <c r="AX2">
        <v>65099334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ROUND(Y2*Source!I24,7)</f>
        <v>0.012999999999999999</v>
      </c>
      <c r="CY2">
        <f t="shared" si="115"/>
        <v>0</v>
      </c>
      <c r="CZ2">
        <f t="shared" si="116"/>
        <v>0</v>
      </c>
      <c r="DA2">
        <f t="shared" si="117"/>
        <v>1</v>
      </c>
      <c r="DB2">
        <f t="shared" si="118"/>
        <v>0</v>
      </c>
      <c r="DC2">
        <f t="shared" si="119"/>
        <v>0</v>
      </c>
      <c r="DD2" t="s">
        <v>242</v>
      </c>
      <c r="DE2" t="s">
        <v>242</v>
      </c>
      <c r="DF2">
        <f t="shared" si="120"/>
        <v>0</v>
      </c>
      <c r="DG2">
        <f t="shared" si="121"/>
        <v>0</v>
      </c>
      <c r="DH2">
        <f t="shared" ref="DH2:DH3" si="123">ROUND(ROUND(AG2*AK2,2)*CX2,2)</f>
        <v>0</v>
      </c>
      <c r="DI2">
        <f t="shared" ref="DI2:DI3" si="124">ROUND(ROUND(AH2,2)*CX2,2)</f>
        <v>0</v>
      </c>
      <c r="DJ2">
        <f t="shared" si="122"/>
        <v>0</v>
      </c>
      <c r="DK2">
        <v>0</v>
      </c>
      <c r="DL2" t="s">
        <v>242</v>
      </c>
      <c r="DM2">
        <v>0</v>
      </c>
      <c r="DN2" t="s">
        <v>242</v>
      </c>
      <c r="DO2">
        <v>0</v>
      </c>
    </row>
    <row r="3">
      <c r="A3">
        <f>ROW(Source!A24)</f>
        <v>24</v>
      </c>
      <c r="B3">
        <v>65099320</v>
      </c>
      <c r="C3">
        <v>65099332</v>
      </c>
      <c r="D3">
        <v>55846353</v>
      </c>
      <c r="E3">
        <v>1</v>
      </c>
      <c r="F3">
        <v>1</v>
      </c>
      <c r="G3">
        <v>1</v>
      </c>
      <c r="H3">
        <v>2</v>
      </c>
      <c r="I3" t="s">
        <v>487</v>
      </c>
      <c r="J3" t="s">
        <v>488</v>
      </c>
      <c r="K3" t="s">
        <v>489</v>
      </c>
      <c r="L3">
        <v>1367</v>
      </c>
      <c r="N3">
        <v>1011</v>
      </c>
      <c r="O3" t="s">
        <v>490</v>
      </c>
      <c r="P3" t="s">
        <v>490</v>
      </c>
      <c r="Q3">
        <v>1</v>
      </c>
      <c r="W3">
        <v>0</v>
      </c>
      <c r="X3">
        <v>1232162608</v>
      </c>
      <c r="Y3">
        <f t="shared" si="114"/>
        <v>0.26000000000000001</v>
      </c>
      <c r="AA3">
        <v>0</v>
      </c>
      <c r="AB3">
        <v>512.65999999999997</v>
      </c>
      <c r="AC3">
        <v>746.82000000000005</v>
      </c>
      <c r="AD3">
        <v>0</v>
      </c>
      <c r="AE3">
        <v>0</v>
      </c>
      <c r="AF3">
        <v>31.260000000000002</v>
      </c>
      <c r="AG3">
        <v>13.5</v>
      </c>
      <c r="AH3">
        <v>0</v>
      </c>
      <c r="AI3">
        <v>1</v>
      </c>
      <c r="AJ3">
        <v>16.399999999999999</v>
      </c>
      <c r="AK3">
        <v>55.32</v>
      </c>
      <c r="AL3">
        <v>1</v>
      </c>
      <c r="AM3">
        <v>4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242</v>
      </c>
      <c r="AT3">
        <v>0.26000000000000001</v>
      </c>
      <c r="AU3" t="s">
        <v>242</v>
      </c>
      <c r="AV3">
        <v>0</v>
      </c>
      <c r="AW3">
        <v>2</v>
      </c>
      <c r="AX3">
        <v>65099335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f>ROUND(Y3*Source!I24*DO3,7)</f>
        <v>0</v>
      </c>
      <c r="CX3">
        <f>ROUND(Y3*Source!I24,7)</f>
        <v>0.012999999999999999</v>
      </c>
      <c r="CY3">
        <f>AB3</f>
        <v>512.65999999999997</v>
      </c>
      <c r="CZ3">
        <f>AF3</f>
        <v>31.260000000000002</v>
      </c>
      <c r="DA3">
        <f>AJ3</f>
        <v>16.399999999999999</v>
      </c>
      <c r="DB3">
        <f t="shared" si="118"/>
        <v>8.1300000000000008</v>
      </c>
      <c r="DC3">
        <f t="shared" si="119"/>
        <v>3.5100000000000002</v>
      </c>
      <c r="DD3" t="s">
        <v>242</v>
      </c>
      <c r="DE3" t="s">
        <v>242</v>
      </c>
      <c r="DF3">
        <f t="shared" si="120"/>
        <v>0</v>
      </c>
      <c r="DG3">
        <f>ROUND(ROUND(AF3*AJ3,2)*CX3,2)</f>
        <v>6.6600000000000001</v>
      </c>
      <c r="DH3">
        <f t="shared" si="123"/>
        <v>9.7100000000000009</v>
      </c>
      <c r="DI3">
        <f t="shared" si="124"/>
        <v>0</v>
      </c>
      <c r="DJ3">
        <f>DG3</f>
        <v>6.6600000000000001</v>
      </c>
      <c r="DK3">
        <v>0</v>
      </c>
      <c r="DL3" t="s">
        <v>242</v>
      </c>
      <c r="DM3">
        <v>0</v>
      </c>
      <c r="DN3" t="s">
        <v>242</v>
      </c>
      <c r="DO3">
        <v>0</v>
      </c>
    </row>
    <row r="4">
      <c r="A4">
        <f>ROW(Source!A25)</f>
        <v>25</v>
      </c>
      <c r="B4">
        <v>65099320</v>
      </c>
      <c r="C4">
        <v>65099338</v>
      </c>
      <c r="D4">
        <v>55684301</v>
      </c>
      <c r="E4">
        <v>70</v>
      </c>
      <c r="F4">
        <v>1</v>
      </c>
      <c r="G4">
        <v>1</v>
      </c>
      <c r="H4">
        <v>1</v>
      </c>
      <c r="I4" t="s">
        <v>483</v>
      </c>
      <c r="J4" t="s">
        <v>242</v>
      </c>
      <c r="K4" t="s">
        <v>484</v>
      </c>
      <c r="L4">
        <v>1191</v>
      </c>
      <c r="N4">
        <v>1013</v>
      </c>
      <c r="O4" t="s">
        <v>30</v>
      </c>
      <c r="P4" t="s">
        <v>30</v>
      </c>
      <c r="Q4">
        <v>1</v>
      </c>
      <c r="W4">
        <v>0</v>
      </c>
      <c r="X4">
        <v>1049124552</v>
      </c>
      <c r="Y4">
        <f t="shared" si="114"/>
        <v>63.840000000000003</v>
      </c>
      <c r="AA4">
        <v>0</v>
      </c>
      <c r="AB4">
        <v>0</v>
      </c>
      <c r="AC4">
        <v>0</v>
      </c>
      <c r="AD4">
        <v>471.88</v>
      </c>
      <c r="AE4">
        <v>0</v>
      </c>
      <c r="AF4">
        <v>0</v>
      </c>
      <c r="AG4">
        <v>0</v>
      </c>
      <c r="AH4">
        <v>8.5299999999999994</v>
      </c>
      <c r="AI4">
        <v>1</v>
      </c>
      <c r="AJ4">
        <v>1</v>
      </c>
      <c r="AK4">
        <v>1</v>
      </c>
      <c r="AL4">
        <v>55.32</v>
      </c>
      <c r="AM4">
        <v>4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242</v>
      </c>
      <c r="AT4">
        <v>63.840000000000003</v>
      </c>
      <c r="AU4" t="s">
        <v>242</v>
      </c>
      <c r="AV4">
        <v>1</v>
      </c>
      <c r="AW4">
        <v>2</v>
      </c>
      <c r="AX4">
        <v>65099339</v>
      </c>
      <c r="AY4">
        <v>1</v>
      </c>
      <c r="AZ4">
        <v>0</v>
      </c>
      <c r="BA4">
        <v>5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U4">
        <f>ROUND(AT4*Source!I25*AH4*AL4,2)</f>
        <v>903.74000000000001</v>
      </c>
      <c r="CV4">
        <f>ROUND(Y4*Source!I25,7)</f>
        <v>1.9152</v>
      </c>
      <c r="CW4">
        <v>0</v>
      </c>
      <c r="CX4">
        <f>ROUND(Y4*Source!I25,7)</f>
        <v>1.9152</v>
      </c>
      <c r="CY4">
        <f t="shared" ref="CY4:CY5" si="125">AD4</f>
        <v>471.88</v>
      </c>
      <c r="CZ4">
        <f t="shared" ref="CZ4:CZ5" si="126">AH4</f>
        <v>8.5299999999999994</v>
      </c>
      <c r="DA4">
        <f t="shared" ref="DA4:DA5" si="127">AL4</f>
        <v>55.32</v>
      </c>
      <c r="DB4">
        <f t="shared" si="118"/>
        <v>544.56000000000006</v>
      </c>
      <c r="DC4">
        <f t="shared" si="119"/>
        <v>0</v>
      </c>
      <c r="DD4" t="s">
        <v>242</v>
      </c>
      <c r="DE4" t="s">
        <v>242</v>
      </c>
      <c r="DF4">
        <f t="shared" si="120"/>
        <v>0</v>
      </c>
      <c r="DG4">
        <f t="shared" ref="DG4:DG5" si="128">ROUND(ROUND(AF4,2)*CX4,2)</f>
        <v>0</v>
      </c>
      <c r="DH4">
        <f>ROUND(ROUND(AG4,2)*CX4,2)</f>
        <v>0</v>
      </c>
      <c r="DI4">
        <f>ROUND(ROUND(AH4*AL4,2)*CX4,2)</f>
        <v>903.74000000000001</v>
      </c>
      <c r="DJ4">
        <f t="shared" ref="DJ4:DJ5" si="129">DI4</f>
        <v>903.74000000000001</v>
      </c>
      <c r="DK4">
        <v>0</v>
      </c>
      <c r="DL4" t="s">
        <v>242</v>
      </c>
      <c r="DM4">
        <v>0</v>
      </c>
      <c r="DN4" t="s">
        <v>242</v>
      </c>
      <c r="DO4">
        <v>0</v>
      </c>
    </row>
    <row r="5">
      <c r="A5">
        <f>ROW(Source!A25)</f>
        <v>25</v>
      </c>
      <c r="B5">
        <v>65099320</v>
      </c>
      <c r="C5">
        <v>65099338</v>
      </c>
      <c r="D5">
        <v>55684491</v>
      </c>
      <c r="E5">
        <v>70</v>
      </c>
      <c r="F5">
        <v>1</v>
      </c>
      <c r="G5">
        <v>1</v>
      </c>
      <c r="H5">
        <v>1</v>
      </c>
      <c r="I5" t="s">
        <v>485</v>
      </c>
      <c r="J5" t="s">
        <v>242</v>
      </c>
      <c r="K5" t="s">
        <v>486</v>
      </c>
      <c r="L5">
        <v>1191</v>
      </c>
      <c r="N5">
        <v>1013</v>
      </c>
      <c r="O5" t="s">
        <v>30</v>
      </c>
      <c r="P5" t="s">
        <v>30</v>
      </c>
      <c r="Q5">
        <v>1</v>
      </c>
      <c r="W5">
        <v>0</v>
      </c>
      <c r="X5">
        <v>-1417349443</v>
      </c>
      <c r="Y5">
        <f t="shared" si="114"/>
        <v>0.28999999999999998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55.32</v>
      </c>
      <c r="AL5">
        <v>1</v>
      </c>
      <c r="AM5">
        <v>4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242</v>
      </c>
      <c r="AT5">
        <v>0.28999999999999998</v>
      </c>
      <c r="AU5" t="s">
        <v>242</v>
      </c>
      <c r="AV5">
        <v>2</v>
      </c>
      <c r="AW5">
        <v>2</v>
      </c>
      <c r="AX5">
        <v>65099340</v>
      </c>
      <c r="AY5">
        <v>1</v>
      </c>
      <c r="AZ5">
        <v>0</v>
      </c>
      <c r="BA5">
        <v>6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V5">
        <v>0</v>
      </c>
      <c r="CW5">
        <v>0</v>
      </c>
      <c r="CX5">
        <f>ROUND(Y5*Source!I25,7)</f>
        <v>0.0086999999999999994</v>
      </c>
      <c r="CY5">
        <f t="shared" si="125"/>
        <v>0</v>
      </c>
      <c r="CZ5">
        <f t="shared" si="126"/>
        <v>0</v>
      </c>
      <c r="DA5">
        <f t="shared" si="127"/>
        <v>1</v>
      </c>
      <c r="DB5">
        <f t="shared" si="118"/>
        <v>0</v>
      </c>
      <c r="DC5">
        <f t="shared" si="119"/>
        <v>0</v>
      </c>
      <c r="DD5" t="s">
        <v>242</v>
      </c>
      <c r="DE5" t="s">
        <v>242</v>
      </c>
      <c r="DF5">
        <f t="shared" si="120"/>
        <v>0</v>
      </c>
      <c r="DG5">
        <f t="shared" si="128"/>
        <v>0</v>
      </c>
      <c r="DH5">
        <f t="shared" ref="DH5:DH6" si="130">ROUND(ROUND(AG5*AK5,2)*CX5,2)</f>
        <v>0</v>
      </c>
      <c r="DI5">
        <f t="shared" ref="DI5:DI6" si="131">ROUND(ROUND(AH5,2)*CX5,2)</f>
        <v>0</v>
      </c>
      <c r="DJ5">
        <f t="shared" si="129"/>
        <v>0</v>
      </c>
      <c r="DK5">
        <v>0</v>
      </c>
      <c r="DL5" t="s">
        <v>242</v>
      </c>
      <c r="DM5">
        <v>0</v>
      </c>
      <c r="DN5" t="s">
        <v>242</v>
      </c>
      <c r="DO5">
        <v>0</v>
      </c>
    </row>
    <row r="6">
      <c r="A6">
        <f>ROW(Source!A25)</f>
        <v>25</v>
      </c>
      <c r="B6">
        <v>65099320</v>
      </c>
      <c r="C6">
        <v>65099338</v>
      </c>
      <c r="D6">
        <v>55846353</v>
      </c>
      <c r="E6">
        <v>1</v>
      </c>
      <c r="F6">
        <v>1</v>
      </c>
      <c r="G6">
        <v>1</v>
      </c>
      <c r="H6">
        <v>2</v>
      </c>
      <c r="I6" t="s">
        <v>487</v>
      </c>
      <c r="J6" t="s">
        <v>488</v>
      </c>
      <c r="K6" t="s">
        <v>489</v>
      </c>
      <c r="L6">
        <v>1367</v>
      </c>
      <c r="N6">
        <v>1011</v>
      </c>
      <c r="O6" t="s">
        <v>490</v>
      </c>
      <c r="P6" t="s">
        <v>490</v>
      </c>
      <c r="Q6">
        <v>1</v>
      </c>
      <c r="W6">
        <v>0</v>
      </c>
      <c r="X6">
        <v>1232162608</v>
      </c>
      <c r="Y6">
        <f t="shared" si="114"/>
        <v>0.28999999999999998</v>
      </c>
      <c r="AA6">
        <v>0</v>
      </c>
      <c r="AB6">
        <v>512.65999999999997</v>
      </c>
      <c r="AC6">
        <v>746.82000000000005</v>
      </c>
      <c r="AD6">
        <v>0</v>
      </c>
      <c r="AE6">
        <v>0</v>
      </c>
      <c r="AF6">
        <v>31.260000000000002</v>
      </c>
      <c r="AG6">
        <v>13.5</v>
      </c>
      <c r="AH6">
        <v>0</v>
      </c>
      <c r="AI6">
        <v>1</v>
      </c>
      <c r="AJ6">
        <v>16.399999999999999</v>
      </c>
      <c r="AK6">
        <v>55.32</v>
      </c>
      <c r="AL6">
        <v>1</v>
      </c>
      <c r="AM6">
        <v>4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242</v>
      </c>
      <c r="AT6">
        <v>0.28999999999999998</v>
      </c>
      <c r="AU6" t="s">
        <v>242</v>
      </c>
      <c r="AV6">
        <v>0</v>
      </c>
      <c r="AW6">
        <v>2</v>
      </c>
      <c r="AX6">
        <v>65099341</v>
      </c>
      <c r="AY6">
        <v>1</v>
      </c>
      <c r="AZ6">
        <v>0</v>
      </c>
      <c r="BA6">
        <v>7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f>ROUND(Y6*Source!I25*DO6,7)</f>
        <v>0</v>
      </c>
      <c r="CX6">
        <f>ROUND(Y6*Source!I25,7)</f>
        <v>0.0086999999999999994</v>
      </c>
      <c r="CY6">
        <f>AB6</f>
        <v>512.65999999999997</v>
      </c>
      <c r="CZ6">
        <f>AF6</f>
        <v>31.260000000000002</v>
      </c>
      <c r="DA6">
        <f>AJ6</f>
        <v>16.399999999999999</v>
      </c>
      <c r="DB6">
        <f t="shared" si="118"/>
        <v>9.0700000000000003</v>
      </c>
      <c r="DC6">
        <f t="shared" si="119"/>
        <v>3.9199999999999999</v>
      </c>
      <c r="DD6" t="s">
        <v>242</v>
      </c>
      <c r="DE6" t="s">
        <v>242</v>
      </c>
      <c r="DF6">
        <f t="shared" si="120"/>
        <v>0</v>
      </c>
      <c r="DG6">
        <f>ROUND(ROUND(AF6*AJ6,2)*CX6,2)</f>
        <v>4.46</v>
      </c>
      <c r="DH6">
        <f t="shared" si="130"/>
        <v>6.5</v>
      </c>
      <c r="DI6">
        <f t="shared" si="131"/>
        <v>0</v>
      </c>
      <c r="DJ6">
        <f>DG6</f>
        <v>4.46</v>
      </c>
      <c r="DK6">
        <v>0</v>
      </c>
      <c r="DL6" t="s">
        <v>242</v>
      </c>
      <c r="DM6">
        <v>0</v>
      </c>
      <c r="DN6" t="s">
        <v>242</v>
      </c>
      <c r="DO6">
        <v>0</v>
      </c>
    </row>
    <row r="7">
      <c r="A7">
        <f>ROW(Source!A26)</f>
        <v>26</v>
      </c>
      <c r="B7">
        <v>65099320</v>
      </c>
      <c r="C7">
        <v>65099344</v>
      </c>
      <c r="D7">
        <v>55684279</v>
      </c>
      <c r="E7">
        <v>70</v>
      </c>
      <c r="F7">
        <v>1</v>
      </c>
      <c r="G7">
        <v>1</v>
      </c>
      <c r="H7">
        <v>1</v>
      </c>
      <c r="I7" t="s">
        <v>491</v>
      </c>
      <c r="J7" t="s">
        <v>242</v>
      </c>
      <c r="K7" t="s">
        <v>492</v>
      </c>
      <c r="L7">
        <v>1191</v>
      </c>
      <c r="N7">
        <v>1013</v>
      </c>
      <c r="O7" t="s">
        <v>30</v>
      </c>
      <c r="P7" t="s">
        <v>30</v>
      </c>
      <c r="Q7">
        <v>1</v>
      </c>
      <c r="W7">
        <v>0</v>
      </c>
      <c r="X7">
        <v>1903864200</v>
      </c>
      <c r="Y7">
        <f t="shared" ref="Y7:Y9" si="132">(AT7*ROUND(0.8,7))</f>
        <v>54.159999999999997</v>
      </c>
      <c r="AA7">
        <v>0</v>
      </c>
      <c r="AB7">
        <v>0</v>
      </c>
      <c r="AC7">
        <v>0</v>
      </c>
      <c r="AD7">
        <v>443.67000000000002</v>
      </c>
      <c r="AE7">
        <v>0</v>
      </c>
      <c r="AF7">
        <v>0</v>
      </c>
      <c r="AG7">
        <v>0</v>
      </c>
      <c r="AH7">
        <v>8.0199999999999996</v>
      </c>
      <c r="AI7">
        <v>1</v>
      </c>
      <c r="AJ7">
        <v>1</v>
      </c>
      <c r="AK7">
        <v>1</v>
      </c>
      <c r="AL7">
        <v>55.32</v>
      </c>
      <c r="AM7">
        <v>4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242</v>
      </c>
      <c r="AT7">
        <v>67.700000000000003</v>
      </c>
      <c r="AU7" t="s">
        <v>270</v>
      </c>
      <c r="AV7">
        <v>1</v>
      </c>
      <c r="AW7">
        <v>2</v>
      </c>
      <c r="AX7">
        <v>65099345</v>
      </c>
      <c r="AY7">
        <v>1</v>
      </c>
      <c r="AZ7">
        <v>0</v>
      </c>
      <c r="BA7">
        <v>9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U7">
        <f>ROUND(AT7*Source!I26*AH7*AL7,2)</f>
        <v>600.72000000000003</v>
      </c>
      <c r="CV7">
        <f>ROUND(Y7*Source!I26,7)</f>
        <v>1.0831999999999999</v>
      </c>
      <c r="CW7">
        <v>0</v>
      </c>
      <c r="CX7">
        <f>ROUND(Y7*Source!I26,7)</f>
        <v>1.0831999999999999</v>
      </c>
      <c r="CY7">
        <f t="shared" ref="CY7:CY8" si="133">AD7</f>
        <v>443.67000000000002</v>
      </c>
      <c r="CZ7">
        <f t="shared" ref="CZ7:CZ8" si="134">AH7</f>
        <v>8.0199999999999996</v>
      </c>
      <c r="DA7">
        <f t="shared" ref="DA7:DA8" si="135">AL7</f>
        <v>55.32</v>
      </c>
      <c r="DB7">
        <f t="shared" ref="DB7:DB9" si="136">ROUND((ROUND(AT7*CZ7,2)*ROUND(0.8,7)),2)</f>
        <v>434.36000000000001</v>
      </c>
      <c r="DC7">
        <f t="shared" ref="DC7:DC9" si="137">ROUND((ROUND(AT7*AG7,2)*ROUND(0.8,7)),2)</f>
        <v>0</v>
      </c>
      <c r="DD7" t="s">
        <v>242</v>
      </c>
      <c r="DE7" t="s">
        <v>242</v>
      </c>
      <c r="DF7">
        <f t="shared" si="120"/>
        <v>0</v>
      </c>
      <c r="DG7">
        <f t="shared" ref="DG7:DG8" si="138">ROUND(ROUND(AF7,2)*CX7,2)</f>
        <v>0</v>
      </c>
      <c r="DH7">
        <f>ROUND(ROUND(AG7,2)*CX7,2)</f>
        <v>0</v>
      </c>
      <c r="DI7">
        <f>ROUND(ROUND(AH7*AL7,2)*CX7,2)</f>
        <v>480.57999999999998</v>
      </c>
      <c r="DJ7">
        <f t="shared" ref="DJ7:DJ8" si="139">DI7</f>
        <v>480.57999999999998</v>
      </c>
      <c r="DK7">
        <v>0</v>
      </c>
      <c r="DL7" t="s">
        <v>242</v>
      </c>
      <c r="DM7">
        <v>0</v>
      </c>
      <c r="DN7" t="s">
        <v>242</v>
      </c>
      <c r="DO7">
        <v>0</v>
      </c>
    </row>
    <row r="8">
      <c r="A8">
        <f>ROW(Source!A26)</f>
        <v>26</v>
      </c>
      <c r="B8">
        <v>65099320</v>
      </c>
      <c r="C8">
        <v>65099344</v>
      </c>
      <c r="D8">
        <v>55684491</v>
      </c>
      <c r="E8">
        <v>70</v>
      </c>
      <c r="F8">
        <v>1</v>
      </c>
      <c r="G8">
        <v>1</v>
      </c>
      <c r="H8">
        <v>1</v>
      </c>
      <c r="I8" t="s">
        <v>485</v>
      </c>
      <c r="J8" t="s">
        <v>242</v>
      </c>
      <c r="K8" t="s">
        <v>486</v>
      </c>
      <c r="L8">
        <v>1191</v>
      </c>
      <c r="N8">
        <v>1013</v>
      </c>
      <c r="O8" t="s">
        <v>30</v>
      </c>
      <c r="P8" t="s">
        <v>30</v>
      </c>
      <c r="Q8">
        <v>1</v>
      </c>
      <c r="W8">
        <v>0</v>
      </c>
      <c r="X8">
        <v>-1417349443</v>
      </c>
      <c r="Y8">
        <f t="shared" si="132"/>
        <v>3.3599999999999999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55.32</v>
      </c>
      <c r="AL8">
        <v>1</v>
      </c>
      <c r="AM8">
        <v>4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242</v>
      </c>
      <c r="AT8">
        <v>4.2000000000000002</v>
      </c>
      <c r="AU8" t="s">
        <v>270</v>
      </c>
      <c r="AV8">
        <v>2</v>
      </c>
      <c r="AW8">
        <v>2</v>
      </c>
      <c r="AX8">
        <v>65099346</v>
      </c>
      <c r="AY8">
        <v>1</v>
      </c>
      <c r="AZ8">
        <v>0</v>
      </c>
      <c r="BA8">
        <v>10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v>0</v>
      </c>
      <c r="CX8">
        <f>ROUND(Y8*Source!I26,7)</f>
        <v>0.067199999999999996</v>
      </c>
      <c r="CY8">
        <f t="shared" si="133"/>
        <v>0</v>
      </c>
      <c r="CZ8">
        <f t="shared" si="134"/>
        <v>0</v>
      </c>
      <c r="DA8">
        <f t="shared" si="135"/>
        <v>1</v>
      </c>
      <c r="DB8">
        <f t="shared" si="136"/>
        <v>0</v>
      </c>
      <c r="DC8">
        <f t="shared" si="137"/>
        <v>0</v>
      </c>
      <c r="DD8" t="s">
        <v>242</v>
      </c>
      <c r="DE8" t="s">
        <v>242</v>
      </c>
      <c r="DF8">
        <f t="shared" si="120"/>
        <v>0</v>
      </c>
      <c r="DG8">
        <f t="shared" si="138"/>
        <v>0</v>
      </c>
      <c r="DH8">
        <f t="shared" ref="DH8:DH9" si="140">ROUND(ROUND(AG8*AK8,2)*CX8,2)</f>
        <v>0</v>
      </c>
      <c r="DI8">
        <f t="shared" ref="DI8:DI13" si="141">ROUND(ROUND(AH8,2)*CX8,2)</f>
        <v>0</v>
      </c>
      <c r="DJ8">
        <f t="shared" si="139"/>
        <v>0</v>
      </c>
      <c r="DK8">
        <v>0</v>
      </c>
      <c r="DL8" t="s">
        <v>242</v>
      </c>
      <c r="DM8">
        <v>0</v>
      </c>
      <c r="DN8" t="s">
        <v>242</v>
      </c>
      <c r="DO8">
        <v>0</v>
      </c>
    </row>
    <row r="9">
      <c r="A9">
        <f>ROW(Source!A26)</f>
        <v>26</v>
      </c>
      <c r="B9">
        <v>65099320</v>
      </c>
      <c r="C9">
        <v>65099344</v>
      </c>
      <c r="D9">
        <v>55846353</v>
      </c>
      <c r="E9">
        <v>1</v>
      </c>
      <c r="F9">
        <v>1</v>
      </c>
      <c r="G9">
        <v>1</v>
      </c>
      <c r="H9">
        <v>2</v>
      </c>
      <c r="I9" t="s">
        <v>487</v>
      </c>
      <c r="J9" t="s">
        <v>488</v>
      </c>
      <c r="K9" t="s">
        <v>489</v>
      </c>
      <c r="L9">
        <v>1367</v>
      </c>
      <c r="N9">
        <v>1011</v>
      </c>
      <c r="O9" t="s">
        <v>490</v>
      </c>
      <c r="P9" t="s">
        <v>490</v>
      </c>
      <c r="Q9">
        <v>1</v>
      </c>
      <c r="W9">
        <v>0</v>
      </c>
      <c r="X9">
        <v>1232162608</v>
      </c>
      <c r="Y9">
        <f t="shared" si="132"/>
        <v>1.3839999999999999</v>
      </c>
      <c r="AA9">
        <v>0</v>
      </c>
      <c r="AB9">
        <v>512.65999999999997</v>
      </c>
      <c r="AC9">
        <v>746.82000000000005</v>
      </c>
      <c r="AD9">
        <v>0</v>
      </c>
      <c r="AE9">
        <v>0</v>
      </c>
      <c r="AF9">
        <v>31.260000000000002</v>
      </c>
      <c r="AG9">
        <v>13.5</v>
      </c>
      <c r="AH9">
        <v>0</v>
      </c>
      <c r="AI9">
        <v>1</v>
      </c>
      <c r="AJ9">
        <v>16.399999999999999</v>
      </c>
      <c r="AK9">
        <v>55.32</v>
      </c>
      <c r="AL9">
        <v>1</v>
      </c>
      <c r="AM9">
        <v>4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242</v>
      </c>
      <c r="AT9">
        <v>1.73</v>
      </c>
      <c r="AU9" t="s">
        <v>493</v>
      </c>
      <c r="AV9">
        <v>0</v>
      </c>
      <c r="AW9">
        <v>2</v>
      </c>
      <c r="AX9">
        <v>65099347</v>
      </c>
      <c r="AY9">
        <v>1</v>
      </c>
      <c r="AZ9">
        <v>0</v>
      </c>
      <c r="BA9">
        <v>11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V9">
        <v>0</v>
      </c>
      <c r="CW9">
        <f>ROUND(Y9*Source!I26*DO9,7)</f>
        <v>0</v>
      </c>
      <c r="CX9">
        <f>ROUND(Y9*Source!I26,7)</f>
        <v>0.02768</v>
      </c>
      <c r="CY9">
        <f>AB9</f>
        <v>512.65999999999997</v>
      </c>
      <c r="CZ9">
        <f>AF9</f>
        <v>31.260000000000002</v>
      </c>
      <c r="DA9">
        <f>AJ9</f>
        <v>16.399999999999999</v>
      </c>
      <c r="DB9">
        <f t="shared" si="136"/>
        <v>43.259999999999998</v>
      </c>
      <c r="DC9">
        <f t="shared" si="137"/>
        <v>18.690000000000001</v>
      </c>
      <c r="DD9" t="s">
        <v>242</v>
      </c>
      <c r="DE9" t="s">
        <v>242</v>
      </c>
      <c r="DF9">
        <f t="shared" si="120"/>
        <v>0</v>
      </c>
      <c r="DG9">
        <f>ROUND(ROUND(AF9*AJ9,2)*CX9,2)</f>
        <v>14.19</v>
      </c>
      <c r="DH9">
        <f t="shared" si="140"/>
        <v>20.670000000000002</v>
      </c>
      <c r="DI9">
        <f t="shared" si="141"/>
        <v>0</v>
      </c>
      <c r="DJ9">
        <f>DG9</f>
        <v>14.19</v>
      </c>
      <c r="DK9">
        <v>0</v>
      </c>
      <c r="DL9" t="s">
        <v>242</v>
      </c>
      <c r="DM9">
        <v>0</v>
      </c>
      <c r="DN9" t="s">
        <v>242</v>
      </c>
      <c r="DO9">
        <v>0</v>
      </c>
    </row>
    <row r="10">
      <c r="A10">
        <f>ROW(Source!A26)</f>
        <v>26</v>
      </c>
      <c r="B10">
        <v>65099320</v>
      </c>
      <c r="C10">
        <v>65099344</v>
      </c>
      <c r="D10">
        <v>55847089</v>
      </c>
      <c r="E10">
        <v>1</v>
      </c>
      <c r="F10">
        <v>1</v>
      </c>
      <c r="G10">
        <v>1</v>
      </c>
      <c r="H10">
        <v>2</v>
      </c>
      <c r="I10" t="s">
        <v>494</v>
      </c>
      <c r="J10" t="s">
        <v>495</v>
      </c>
      <c r="K10" t="s">
        <v>496</v>
      </c>
      <c r="L10">
        <v>1367</v>
      </c>
      <c r="N10">
        <v>1011</v>
      </c>
      <c r="O10" t="s">
        <v>490</v>
      </c>
      <c r="P10" t="s">
        <v>490</v>
      </c>
      <c r="Q10">
        <v>1</v>
      </c>
      <c r="W10">
        <v>0</v>
      </c>
      <c r="X10">
        <v>509054691</v>
      </c>
      <c r="Y10">
        <f>(AT10*ROUND(0.8,7))</f>
        <v>1.976</v>
      </c>
      <c r="AA10">
        <v>0</v>
      </c>
      <c r="AB10">
        <v>1077.6400000000001</v>
      </c>
      <c r="AC10">
        <v>641.71000000000004</v>
      </c>
      <c r="AD10">
        <v>0</v>
      </c>
      <c r="AE10">
        <v>0</v>
      </c>
      <c r="AF10">
        <v>65.709999999999994</v>
      </c>
      <c r="AG10">
        <v>11.6</v>
      </c>
      <c r="AH10">
        <v>0</v>
      </c>
      <c r="AI10">
        <v>1</v>
      </c>
      <c r="AJ10">
        <v>16.399999999999999</v>
      </c>
      <c r="AK10">
        <v>55.32</v>
      </c>
      <c r="AL10">
        <v>1</v>
      </c>
      <c r="AM10">
        <v>4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242</v>
      </c>
      <c r="AT10">
        <v>2.4700000000000002</v>
      </c>
      <c r="AU10" t="s">
        <v>493</v>
      </c>
      <c r="AV10">
        <v>0</v>
      </c>
      <c r="AW10">
        <v>2</v>
      </c>
      <c r="AX10">
        <v>65099348</v>
      </c>
      <c r="AY10">
        <v>1</v>
      </c>
      <c r="AZ10">
        <v>0</v>
      </c>
      <c r="BA10">
        <v>12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f>ROUND(Y10*Source!I26*DO10,7)</f>
        <v>0</v>
      </c>
      <c r="CX10">
        <f>ROUND(Y10*Source!I26,7)</f>
        <v>0.03952</v>
      </c>
      <c r="CY10">
        <f>AB10</f>
        <v>1077.6400000000001</v>
      </c>
      <c r="CZ10">
        <f>AF10</f>
        <v>65.709999999999994</v>
      </c>
      <c r="DA10">
        <f>AJ10</f>
        <v>16.399999999999999</v>
      </c>
      <c r="DB10">
        <f>ROUND((ROUND(AT10*CZ10,2)*ROUND(0.8,7)),2)</f>
        <v>129.84</v>
      </c>
      <c r="DC10">
        <f>ROUND((ROUND(AT10*AG10,2)*ROUND(0.8,7)),2)</f>
        <v>22.920000000000002</v>
      </c>
      <c r="DD10" t="s">
        <v>242</v>
      </c>
      <c r="DE10" t="s">
        <v>242</v>
      </c>
      <c r="DF10">
        <f t="shared" si="120"/>
        <v>0</v>
      </c>
      <c r="DG10">
        <f>ROUND(ROUND(AF10*AJ10,2)*CX10,2)</f>
        <v>42.590000000000003</v>
      </c>
      <c r="DH10">
        <f>ROUND(ROUND(AG10*AK10,2)*CX10,2)</f>
        <v>25.359999999999999</v>
      </c>
      <c r="DI10">
        <f t="shared" si="141"/>
        <v>0</v>
      </c>
      <c r="DJ10">
        <f>DG10</f>
        <v>42.590000000000003</v>
      </c>
      <c r="DK10">
        <v>0</v>
      </c>
      <c r="DL10" t="s">
        <v>242</v>
      </c>
      <c r="DM10">
        <v>0</v>
      </c>
      <c r="DN10" t="s">
        <v>242</v>
      </c>
      <c r="DO10">
        <v>0</v>
      </c>
    </row>
    <row r="11">
      <c r="A11">
        <f>ROW(Source!A26)</f>
        <v>26</v>
      </c>
      <c r="B11">
        <v>65099320</v>
      </c>
      <c r="C11">
        <v>65099344</v>
      </c>
      <c r="D11">
        <v>55699173</v>
      </c>
      <c r="E11">
        <v>1</v>
      </c>
      <c r="F11">
        <v>1</v>
      </c>
      <c r="G11">
        <v>1</v>
      </c>
      <c r="H11">
        <v>3</v>
      </c>
      <c r="I11" t="s">
        <v>497</v>
      </c>
      <c r="J11" t="s">
        <v>498</v>
      </c>
      <c r="K11" t="s">
        <v>499</v>
      </c>
      <c r="L11">
        <v>1348</v>
      </c>
      <c r="N11">
        <v>1009</v>
      </c>
      <c r="O11" t="s">
        <v>500</v>
      </c>
      <c r="P11" t="s">
        <v>500</v>
      </c>
      <c r="Q11">
        <v>1000</v>
      </c>
      <c r="W11">
        <v>0</v>
      </c>
      <c r="X11">
        <v>-45966985</v>
      </c>
      <c r="Y11">
        <f t="shared" ref="Y11:Y13" si="142">(AT11*ROUND(0,7))</f>
        <v>0</v>
      </c>
      <c r="AA11">
        <v>114389.89999999999</v>
      </c>
      <c r="AB11">
        <v>0</v>
      </c>
      <c r="AC11">
        <v>0</v>
      </c>
      <c r="AD11">
        <v>0</v>
      </c>
      <c r="AE11">
        <v>11978</v>
      </c>
      <c r="AF11">
        <v>0</v>
      </c>
      <c r="AG11">
        <v>0</v>
      </c>
      <c r="AH11">
        <v>0</v>
      </c>
      <c r="AI11">
        <v>9.5500000000000007</v>
      </c>
      <c r="AJ11">
        <v>1</v>
      </c>
      <c r="AK11">
        <v>1</v>
      </c>
      <c r="AL11">
        <v>1</v>
      </c>
      <c r="AM11">
        <v>4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242</v>
      </c>
      <c r="AT11">
        <v>0.012</v>
      </c>
      <c r="AU11" t="s">
        <v>501</v>
      </c>
      <c r="AV11">
        <v>0</v>
      </c>
      <c r="AW11">
        <v>2</v>
      </c>
      <c r="AX11">
        <v>65099349</v>
      </c>
      <c r="AY11">
        <v>1</v>
      </c>
      <c r="AZ11">
        <v>0</v>
      </c>
      <c r="BA11">
        <v>13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v>0</v>
      </c>
      <c r="CX11">
        <f>ROUND(Y11*Source!I26,7)</f>
        <v>0</v>
      </c>
      <c r="CY11">
        <f t="shared" ref="CY11:CY13" si="143">AA11</f>
        <v>114389.89999999999</v>
      </c>
      <c r="CZ11">
        <f t="shared" ref="CZ11:CZ13" si="144">AE11</f>
        <v>11978</v>
      </c>
      <c r="DA11">
        <f t="shared" ref="DA11:DA13" si="145">AI11</f>
        <v>9.5500000000000007</v>
      </c>
      <c r="DB11">
        <f t="shared" ref="DB11:DB13" si="146">ROUND((ROUND(AT11*CZ11,2)*ROUND(0,7)),2)</f>
        <v>0</v>
      </c>
      <c r="DC11">
        <f t="shared" ref="DC11:DC13" si="147">ROUND((ROUND(AT11*AG11,2)*ROUND(0,7)),2)</f>
        <v>0</v>
      </c>
      <c r="DD11" t="s">
        <v>242</v>
      </c>
      <c r="DE11" t="s">
        <v>242</v>
      </c>
      <c r="DF11">
        <f t="shared" ref="DF11:DF13" si="148">ROUND(ROUND(AE11*AI11,2)*CX11,2)</f>
        <v>0</v>
      </c>
      <c r="DG11">
        <f t="shared" ref="DG11:DG15" si="149">ROUND(ROUND(AF11,2)*CX11,2)</f>
        <v>0</v>
      </c>
      <c r="DH11">
        <f t="shared" ref="DH11:DH14" si="150">ROUND(ROUND(AG11,2)*CX11,2)</f>
        <v>0</v>
      </c>
      <c r="DI11">
        <f t="shared" si="141"/>
        <v>0</v>
      </c>
      <c r="DJ11">
        <f t="shared" ref="DJ11:DJ13" si="151">DF11</f>
        <v>0</v>
      </c>
      <c r="DK11">
        <v>0</v>
      </c>
      <c r="DL11" t="s">
        <v>242</v>
      </c>
      <c r="DM11">
        <v>0</v>
      </c>
      <c r="DN11" t="s">
        <v>242</v>
      </c>
      <c r="DO11">
        <v>0</v>
      </c>
    </row>
    <row r="12">
      <c r="A12">
        <f>ROW(Source!A26)</f>
        <v>26</v>
      </c>
      <c r="B12">
        <v>65099320</v>
      </c>
      <c r="C12">
        <v>65099344</v>
      </c>
      <c r="D12">
        <v>55714803</v>
      </c>
      <c r="E12">
        <v>1</v>
      </c>
      <c r="F12">
        <v>1</v>
      </c>
      <c r="G12">
        <v>1</v>
      </c>
      <c r="H12">
        <v>3</v>
      </c>
      <c r="I12" t="s">
        <v>502</v>
      </c>
      <c r="J12" t="s">
        <v>503</v>
      </c>
      <c r="K12" t="s">
        <v>504</v>
      </c>
      <c r="L12">
        <v>1348</v>
      </c>
      <c r="N12">
        <v>1009</v>
      </c>
      <c r="O12" t="s">
        <v>500</v>
      </c>
      <c r="P12" t="s">
        <v>500</v>
      </c>
      <c r="Q12">
        <v>1000</v>
      </c>
      <c r="W12">
        <v>0</v>
      </c>
      <c r="X12">
        <v>-807853778</v>
      </c>
      <c r="Y12">
        <f t="shared" si="142"/>
        <v>0</v>
      </c>
      <c r="AA12">
        <v>57194.949999999997</v>
      </c>
      <c r="AB12">
        <v>0</v>
      </c>
      <c r="AC12">
        <v>0</v>
      </c>
      <c r="AD12">
        <v>0</v>
      </c>
      <c r="AE12">
        <v>5989</v>
      </c>
      <c r="AF12">
        <v>0</v>
      </c>
      <c r="AG12">
        <v>0</v>
      </c>
      <c r="AH12">
        <v>0</v>
      </c>
      <c r="AI12">
        <v>9.5500000000000007</v>
      </c>
      <c r="AJ12">
        <v>1</v>
      </c>
      <c r="AK12">
        <v>1</v>
      </c>
      <c r="AL12">
        <v>1</v>
      </c>
      <c r="AM12">
        <v>4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242</v>
      </c>
      <c r="AT12">
        <v>0.035000000000000003</v>
      </c>
      <c r="AU12" t="s">
        <v>501</v>
      </c>
      <c r="AV12">
        <v>0</v>
      </c>
      <c r="AW12">
        <v>2</v>
      </c>
      <c r="AX12">
        <v>65099350</v>
      </c>
      <c r="AY12">
        <v>1</v>
      </c>
      <c r="AZ12">
        <v>0</v>
      </c>
      <c r="BA12">
        <v>14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ROUND(Y12*Source!I26,7)</f>
        <v>0</v>
      </c>
      <c r="CY12">
        <f t="shared" si="143"/>
        <v>57194.949999999997</v>
      </c>
      <c r="CZ12">
        <f t="shared" si="144"/>
        <v>5989</v>
      </c>
      <c r="DA12">
        <f t="shared" si="145"/>
        <v>9.5500000000000007</v>
      </c>
      <c r="DB12">
        <f t="shared" si="146"/>
        <v>0</v>
      </c>
      <c r="DC12">
        <f t="shared" si="147"/>
        <v>0</v>
      </c>
      <c r="DD12" t="s">
        <v>242</v>
      </c>
      <c r="DE12" t="s">
        <v>242</v>
      </c>
      <c r="DF12">
        <f t="shared" si="148"/>
        <v>0</v>
      </c>
      <c r="DG12">
        <f t="shared" si="149"/>
        <v>0</v>
      </c>
      <c r="DH12">
        <f t="shared" si="150"/>
        <v>0</v>
      </c>
      <c r="DI12">
        <f t="shared" si="141"/>
        <v>0</v>
      </c>
      <c r="DJ12">
        <f t="shared" si="151"/>
        <v>0</v>
      </c>
      <c r="DK12">
        <v>0</v>
      </c>
      <c r="DL12" t="s">
        <v>242</v>
      </c>
      <c r="DM12">
        <v>0</v>
      </c>
      <c r="DN12" t="s">
        <v>242</v>
      </c>
      <c r="DO12">
        <v>0</v>
      </c>
    </row>
    <row r="13">
      <c r="A13">
        <f>ROW(Source!A26)</f>
        <v>26</v>
      </c>
      <c r="B13">
        <v>65099320</v>
      </c>
      <c r="C13">
        <v>65099344</v>
      </c>
      <c r="D13">
        <v>55721136</v>
      </c>
      <c r="E13">
        <v>1</v>
      </c>
      <c r="F13">
        <v>1</v>
      </c>
      <c r="G13">
        <v>1</v>
      </c>
      <c r="H13">
        <v>3</v>
      </c>
      <c r="I13" t="s">
        <v>505</v>
      </c>
      <c r="J13" t="s">
        <v>506</v>
      </c>
      <c r="K13" t="s">
        <v>507</v>
      </c>
      <c r="L13">
        <v>1301</v>
      </c>
      <c r="N13">
        <v>1003</v>
      </c>
      <c r="O13" t="s">
        <v>327</v>
      </c>
      <c r="P13" t="s">
        <v>327</v>
      </c>
      <c r="Q13">
        <v>1</v>
      </c>
      <c r="W13">
        <v>0</v>
      </c>
      <c r="X13">
        <v>1217145207</v>
      </c>
      <c r="Y13">
        <f t="shared" si="142"/>
        <v>0</v>
      </c>
      <c r="AA13">
        <v>30.559999999999999</v>
      </c>
      <c r="AB13">
        <v>0</v>
      </c>
      <c r="AC13">
        <v>0</v>
      </c>
      <c r="AD13">
        <v>0</v>
      </c>
      <c r="AE13">
        <v>3.2000000000000002</v>
      </c>
      <c r="AF13">
        <v>0</v>
      </c>
      <c r="AG13">
        <v>0</v>
      </c>
      <c r="AH13">
        <v>0</v>
      </c>
      <c r="AI13">
        <v>9.5500000000000007</v>
      </c>
      <c r="AJ13">
        <v>1</v>
      </c>
      <c r="AK13">
        <v>1</v>
      </c>
      <c r="AL13">
        <v>1</v>
      </c>
      <c r="AM13">
        <v>4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242</v>
      </c>
      <c r="AT13">
        <v>400</v>
      </c>
      <c r="AU13" t="s">
        <v>501</v>
      </c>
      <c r="AV13">
        <v>0</v>
      </c>
      <c r="AW13">
        <v>2</v>
      </c>
      <c r="AX13">
        <v>65099352</v>
      </c>
      <c r="AY13">
        <v>1</v>
      </c>
      <c r="AZ13">
        <v>0</v>
      </c>
      <c r="BA13">
        <v>16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v>0</v>
      </c>
      <c r="CX13">
        <f>ROUND(Y13*Source!I26,7)</f>
        <v>0</v>
      </c>
      <c r="CY13">
        <f t="shared" si="143"/>
        <v>30.559999999999999</v>
      </c>
      <c r="CZ13">
        <f t="shared" si="144"/>
        <v>3.2000000000000002</v>
      </c>
      <c r="DA13">
        <f t="shared" si="145"/>
        <v>9.5500000000000007</v>
      </c>
      <c r="DB13">
        <f t="shared" si="146"/>
        <v>0</v>
      </c>
      <c r="DC13">
        <f t="shared" si="147"/>
        <v>0</v>
      </c>
      <c r="DD13" t="s">
        <v>242</v>
      </c>
      <c r="DE13" t="s">
        <v>242</v>
      </c>
      <c r="DF13">
        <f t="shared" si="148"/>
        <v>0</v>
      </c>
      <c r="DG13">
        <f t="shared" si="149"/>
        <v>0</v>
      </c>
      <c r="DH13">
        <f t="shared" si="150"/>
        <v>0</v>
      </c>
      <c r="DI13">
        <f t="shared" si="141"/>
        <v>0</v>
      </c>
      <c r="DJ13">
        <f t="shared" si="151"/>
        <v>0</v>
      </c>
      <c r="DK13">
        <v>0</v>
      </c>
      <c r="DL13" t="s">
        <v>242</v>
      </c>
      <c r="DM13">
        <v>0</v>
      </c>
      <c r="DN13" t="s">
        <v>242</v>
      </c>
      <c r="DO13">
        <v>0</v>
      </c>
    </row>
    <row r="14">
      <c r="A14">
        <f>ROW(Source!A27)</f>
        <v>27</v>
      </c>
      <c r="B14">
        <v>65099320</v>
      </c>
      <c r="C14">
        <v>65099355</v>
      </c>
      <c r="D14">
        <v>55684301</v>
      </c>
      <c r="E14">
        <v>70</v>
      </c>
      <c r="F14">
        <v>1</v>
      </c>
      <c r="G14">
        <v>1</v>
      </c>
      <c r="H14">
        <v>1</v>
      </c>
      <c r="I14" t="s">
        <v>483</v>
      </c>
      <c r="J14" t="s">
        <v>242</v>
      </c>
      <c r="K14" t="s">
        <v>484</v>
      </c>
      <c r="L14">
        <v>1191</v>
      </c>
      <c r="N14">
        <v>1013</v>
      </c>
      <c r="O14" t="s">
        <v>30</v>
      </c>
      <c r="P14" t="s">
        <v>30</v>
      </c>
      <c r="Q14">
        <v>1</v>
      </c>
      <c r="W14">
        <v>0</v>
      </c>
      <c r="X14">
        <v>1049124552</v>
      </c>
      <c r="Y14">
        <f t="shared" ref="Y14:Y77" si="152">AT14</f>
        <v>5.7000000000000002</v>
      </c>
      <c r="AA14">
        <v>0</v>
      </c>
      <c r="AB14">
        <v>0</v>
      </c>
      <c r="AC14">
        <v>0</v>
      </c>
      <c r="AD14">
        <v>471.88</v>
      </c>
      <c r="AE14">
        <v>0</v>
      </c>
      <c r="AF14">
        <v>0</v>
      </c>
      <c r="AG14">
        <v>0</v>
      </c>
      <c r="AH14">
        <v>8.5299999999999994</v>
      </c>
      <c r="AI14">
        <v>1</v>
      </c>
      <c r="AJ14">
        <v>1</v>
      </c>
      <c r="AK14">
        <v>1</v>
      </c>
      <c r="AL14">
        <v>55.32</v>
      </c>
      <c r="AM14">
        <v>4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242</v>
      </c>
      <c r="AT14">
        <v>5.7000000000000002</v>
      </c>
      <c r="AU14" t="s">
        <v>242</v>
      </c>
      <c r="AV14">
        <v>1</v>
      </c>
      <c r="AW14">
        <v>2</v>
      </c>
      <c r="AX14">
        <v>65099356</v>
      </c>
      <c r="AY14">
        <v>1</v>
      </c>
      <c r="AZ14">
        <v>0</v>
      </c>
      <c r="BA14">
        <v>17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U14">
        <f>ROUND(AT14*Source!I27*AH14*AL14,2)</f>
        <v>349.66000000000003</v>
      </c>
      <c r="CV14">
        <f>ROUND(Y14*Source!I27,7)</f>
        <v>0.74099999999999999</v>
      </c>
      <c r="CW14">
        <v>0</v>
      </c>
      <c r="CX14">
        <f>ROUND(Y14*Source!I27,7)</f>
        <v>0.74099999999999999</v>
      </c>
      <c r="CY14">
        <f t="shared" ref="CY14:CY15" si="153">AD14</f>
        <v>471.88</v>
      </c>
      <c r="CZ14">
        <f t="shared" ref="CZ14:CZ15" si="154">AH14</f>
        <v>8.5299999999999994</v>
      </c>
      <c r="DA14">
        <f t="shared" ref="DA14:DA15" si="155">AL14</f>
        <v>55.32</v>
      </c>
      <c r="DB14">
        <f t="shared" ref="DB14:DB77" si="156">ROUND(ROUND(AT14*CZ14,2),2)</f>
        <v>48.620000000000005</v>
      </c>
      <c r="DC14">
        <f t="shared" ref="DC14:DC77" si="157">ROUND(ROUND(AT14*AG14,2),2)</f>
        <v>0</v>
      </c>
      <c r="DD14" t="s">
        <v>242</v>
      </c>
      <c r="DE14" t="s">
        <v>242</v>
      </c>
      <c r="DF14">
        <f t="shared" ref="DF14:DF23" si="158">ROUND(ROUND(AE14,2)*CX14,2)</f>
        <v>0</v>
      </c>
      <c r="DG14">
        <f t="shared" si="149"/>
        <v>0</v>
      </c>
      <c r="DH14">
        <f t="shared" si="150"/>
        <v>0</v>
      </c>
      <c r="DI14">
        <f>ROUND(ROUND(AH14*AL14,2)*CX14,2)</f>
        <v>349.66000000000003</v>
      </c>
      <c r="DJ14">
        <f t="shared" ref="DJ14:DJ15" si="159">DI14</f>
        <v>349.66000000000003</v>
      </c>
      <c r="DK14">
        <v>0</v>
      </c>
      <c r="DL14" t="s">
        <v>242</v>
      </c>
      <c r="DM14">
        <v>0</v>
      </c>
      <c r="DN14" t="s">
        <v>242</v>
      </c>
      <c r="DO14">
        <v>0</v>
      </c>
    </row>
    <row r="15">
      <c r="A15">
        <f>ROW(Source!A27)</f>
        <v>27</v>
      </c>
      <c r="B15">
        <v>65099320</v>
      </c>
      <c r="C15">
        <v>65099355</v>
      </c>
      <c r="D15">
        <v>55684491</v>
      </c>
      <c r="E15">
        <v>70</v>
      </c>
      <c r="F15">
        <v>1</v>
      </c>
      <c r="G15">
        <v>1</v>
      </c>
      <c r="H15">
        <v>1</v>
      </c>
      <c r="I15" t="s">
        <v>485</v>
      </c>
      <c r="J15" t="s">
        <v>242</v>
      </c>
      <c r="K15" t="s">
        <v>486</v>
      </c>
      <c r="L15">
        <v>1191</v>
      </c>
      <c r="N15">
        <v>1013</v>
      </c>
      <c r="O15" t="s">
        <v>30</v>
      </c>
      <c r="P15" t="s">
        <v>30</v>
      </c>
      <c r="Q15">
        <v>1</v>
      </c>
      <c r="W15">
        <v>0</v>
      </c>
      <c r="X15">
        <v>-1417349443</v>
      </c>
      <c r="Y15">
        <f t="shared" si="152"/>
        <v>0.01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55.32</v>
      </c>
      <c r="AL15">
        <v>1</v>
      </c>
      <c r="AM15">
        <v>4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242</v>
      </c>
      <c r="AT15">
        <v>0.01</v>
      </c>
      <c r="AU15" t="s">
        <v>242</v>
      </c>
      <c r="AV15">
        <v>2</v>
      </c>
      <c r="AW15">
        <v>2</v>
      </c>
      <c r="AX15">
        <v>65099357</v>
      </c>
      <c r="AY15">
        <v>1</v>
      </c>
      <c r="AZ15">
        <v>0</v>
      </c>
      <c r="BA15">
        <v>18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ROUND(Y15*Source!I27,7)</f>
        <v>0.0012999999999999999</v>
      </c>
      <c r="CY15">
        <f t="shared" si="153"/>
        <v>0</v>
      </c>
      <c r="CZ15">
        <f t="shared" si="154"/>
        <v>0</v>
      </c>
      <c r="DA15">
        <f t="shared" si="155"/>
        <v>1</v>
      </c>
      <c r="DB15">
        <f t="shared" si="156"/>
        <v>0</v>
      </c>
      <c r="DC15">
        <f t="shared" si="157"/>
        <v>0</v>
      </c>
      <c r="DD15" t="s">
        <v>242</v>
      </c>
      <c r="DE15" t="s">
        <v>242</v>
      </c>
      <c r="DF15">
        <f t="shared" si="158"/>
        <v>0</v>
      </c>
      <c r="DG15">
        <f t="shared" si="149"/>
        <v>0</v>
      </c>
      <c r="DH15">
        <f t="shared" ref="DH15:DH16" si="160">ROUND(ROUND(AG15*AK15,2)*CX15,2)</f>
        <v>0</v>
      </c>
      <c r="DI15">
        <f t="shared" ref="DI15:DI16" si="161">ROUND(ROUND(AH15,2)*CX15,2)</f>
        <v>0</v>
      </c>
      <c r="DJ15">
        <f t="shared" si="159"/>
        <v>0</v>
      </c>
      <c r="DK15">
        <v>0</v>
      </c>
      <c r="DL15" t="s">
        <v>242</v>
      </c>
      <c r="DM15">
        <v>0</v>
      </c>
      <c r="DN15" t="s">
        <v>242</v>
      </c>
      <c r="DO15">
        <v>0</v>
      </c>
    </row>
    <row r="16">
      <c r="A16">
        <f>ROW(Source!A27)</f>
        <v>27</v>
      </c>
      <c r="B16">
        <v>65099320</v>
      </c>
      <c r="C16">
        <v>65099355</v>
      </c>
      <c r="D16">
        <v>55846353</v>
      </c>
      <c r="E16">
        <v>1</v>
      </c>
      <c r="F16">
        <v>1</v>
      </c>
      <c r="G16">
        <v>1</v>
      </c>
      <c r="H16">
        <v>2</v>
      </c>
      <c r="I16" t="s">
        <v>487</v>
      </c>
      <c r="J16" t="s">
        <v>488</v>
      </c>
      <c r="K16" t="s">
        <v>489</v>
      </c>
      <c r="L16">
        <v>1367</v>
      </c>
      <c r="N16">
        <v>1011</v>
      </c>
      <c r="O16" t="s">
        <v>490</v>
      </c>
      <c r="P16" t="s">
        <v>490</v>
      </c>
      <c r="Q16">
        <v>1</v>
      </c>
      <c r="W16">
        <v>0</v>
      </c>
      <c r="X16">
        <v>1232162608</v>
      </c>
      <c r="Y16">
        <f t="shared" si="152"/>
        <v>0.01</v>
      </c>
      <c r="AA16">
        <v>0</v>
      </c>
      <c r="AB16">
        <v>512.65999999999997</v>
      </c>
      <c r="AC16">
        <v>746.82000000000005</v>
      </c>
      <c r="AD16">
        <v>0</v>
      </c>
      <c r="AE16">
        <v>0</v>
      </c>
      <c r="AF16">
        <v>31.260000000000002</v>
      </c>
      <c r="AG16">
        <v>13.5</v>
      </c>
      <c r="AH16">
        <v>0</v>
      </c>
      <c r="AI16">
        <v>1</v>
      </c>
      <c r="AJ16">
        <v>16.399999999999999</v>
      </c>
      <c r="AK16">
        <v>55.32</v>
      </c>
      <c r="AL16">
        <v>1</v>
      </c>
      <c r="AM16">
        <v>4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242</v>
      </c>
      <c r="AT16">
        <v>0.01</v>
      </c>
      <c r="AU16" t="s">
        <v>242</v>
      </c>
      <c r="AV16">
        <v>0</v>
      </c>
      <c r="AW16">
        <v>2</v>
      </c>
      <c r="AX16">
        <v>65099358</v>
      </c>
      <c r="AY16">
        <v>1</v>
      </c>
      <c r="AZ16">
        <v>0</v>
      </c>
      <c r="BA16">
        <v>19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f>ROUND(Y16*Source!I27*DO16,7)</f>
        <v>0</v>
      </c>
      <c r="CX16">
        <f>ROUND(Y16*Source!I27,7)</f>
        <v>0.0012999999999999999</v>
      </c>
      <c r="CY16">
        <f>AB16</f>
        <v>512.65999999999997</v>
      </c>
      <c r="CZ16">
        <f>AF16</f>
        <v>31.260000000000002</v>
      </c>
      <c r="DA16">
        <f>AJ16</f>
        <v>16.399999999999999</v>
      </c>
      <c r="DB16">
        <f t="shared" si="156"/>
        <v>0.31</v>
      </c>
      <c r="DC16">
        <f t="shared" si="157"/>
        <v>0.14000000000000001</v>
      </c>
      <c r="DD16" t="s">
        <v>242</v>
      </c>
      <c r="DE16" t="s">
        <v>242</v>
      </c>
      <c r="DF16">
        <f t="shared" si="158"/>
        <v>0</v>
      </c>
      <c r="DG16">
        <f>ROUND(ROUND(AF16*AJ16,2)*CX16,2)</f>
        <v>0.67000000000000004</v>
      </c>
      <c r="DH16">
        <f t="shared" si="160"/>
        <v>0.96999999999999997</v>
      </c>
      <c r="DI16">
        <f t="shared" si="161"/>
        <v>0</v>
      </c>
      <c r="DJ16">
        <f>DG16</f>
        <v>0.67000000000000004</v>
      </c>
      <c r="DK16">
        <v>0</v>
      </c>
      <c r="DL16" t="s">
        <v>242</v>
      </c>
      <c r="DM16">
        <v>0</v>
      </c>
      <c r="DN16" t="s">
        <v>242</v>
      </c>
      <c r="DO16">
        <v>0</v>
      </c>
    </row>
    <row r="17">
      <c r="A17">
        <f>ROW(Source!A28)</f>
        <v>28</v>
      </c>
      <c r="B17">
        <v>65099320</v>
      </c>
      <c r="C17">
        <v>65099361</v>
      </c>
      <c r="D17">
        <v>55684301</v>
      </c>
      <c r="E17">
        <v>70</v>
      </c>
      <c r="F17">
        <v>1</v>
      </c>
      <c r="G17">
        <v>1</v>
      </c>
      <c r="H17">
        <v>1</v>
      </c>
      <c r="I17" t="s">
        <v>483</v>
      </c>
      <c r="J17" t="s">
        <v>242</v>
      </c>
      <c r="K17" t="s">
        <v>484</v>
      </c>
      <c r="L17">
        <v>1191</v>
      </c>
      <c r="N17">
        <v>1013</v>
      </c>
      <c r="O17" t="s">
        <v>30</v>
      </c>
      <c r="P17" t="s">
        <v>30</v>
      </c>
      <c r="Q17">
        <v>1</v>
      </c>
      <c r="W17">
        <v>0</v>
      </c>
      <c r="X17">
        <v>1049124552</v>
      </c>
      <c r="Y17">
        <f t="shared" si="152"/>
        <v>36.710000000000001</v>
      </c>
      <c r="AA17">
        <v>0</v>
      </c>
      <c r="AB17">
        <v>0</v>
      </c>
      <c r="AC17">
        <v>0</v>
      </c>
      <c r="AD17">
        <v>471.88</v>
      </c>
      <c r="AE17">
        <v>0</v>
      </c>
      <c r="AF17">
        <v>0</v>
      </c>
      <c r="AG17">
        <v>0</v>
      </c>
      <c r="AH17">
        <v>8.5299999999999994</v>
      </c>
      <c r="AI17">
        <v>1</v>
      </c>
      <c r="AJ17">
        <v>1</v>
      </c>
      <c r="AK17">
        <v>1</v>
      </c>
      <c r="AL17">
        <v>55.32</v>
      </c>
      <c r="AM17">
        <v>4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242</v>
      </c>
      <c r="AT17">
        <v>36.710000000000001</v>
      </c>
      <c r="AU17" t="s">
        <v>242</v>
      </c>
      <c r="AV17">
        <v>1</v>
      </c>
      <c r="AW17">
        <v>2</v>
      </c>
      <c r="AX17">
        <v>65099362</v>
      </c>
      <c r="AY17">
        <v>1</v>
      </c>
      <c r="AZ17">
        <v>0</v>
      </c>
      <c r="BA17">
        <v>21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U17">
        <f>ROUND(AT17*Source!I28*AH17*AL17,2)</f>
        <v>866.13999999999999</v>
      </c>
      <c r="CV17">
        <f>ROUND(Y17*Source!I28,7)</f>
        <v>1.8354999999999999</v>
      </c>
      <c r="CW17">
        <v>0</v>
      </c>
      <c r="CX17">
        <f>ROUND(Y17*Source!I28,7)</f>
        <v>1.8354999999999999</v>
      </c>
      <c r="CY17">
        <f t="shared" ref="CY17:CY18" si="162">AD17</f>
        <v>471.88</v>
      </c>
      <c r="CZ17">
        <f t="shared" ref="CZ17:CZ18" si="163">AH17</f>
        <v>8.5299999999999994</v>
      </c>
      <c r="DA17">
        <f t="shared" ref="DA17:DA18" si="164">AL17</f>
        <v>55.32</v>
      </c>
      <c r="DB17">
        <f t="shared" si="156"/>
        <v>313.13999999999999</v>
      </c>
      <c r="DC17">
        <f t="shared" si="157"/>
        <v>0</v>
      </c>
      <c r="DD17" t="s">
        <v>242</v>
      </c>
      <c r="DE17" t="s">
        <v>242</v>
      </c>
      <c r="DF17">
        <f t="shared" si="158"/>
        <v>0</v>
      </c>
      <c r="DG17">
        <f t="shared" ref="DG17:DG18" si="165">ROUND(ROUND(AF17,2)*CX17,2)</f>
        <v>0</v>
      </c>
      <c r="DH17">
        <f>ROUND(ROUND(AG17,2)*CX17,2)</f>
        <v>0</v>
      </c>
      <c r="DI17">
        <f>ROUND(ROUND(AH17*AL17,2)*CX17,2)</f>
        <v>866.13999999999999</v>
      </c>
      <c r="DJ17">
        <f t="shared" ref="DJ17:DJ18" si="166">DI17</f>
        <v>866.13999999999999</v>
      </c>
      <c r="DK17">
        <v>0</v>
      </c>
      <c r="DL17" t="s">
        <v>242</v>
      </c>
      <c r="DM17">
        <v>0</v>
      </c>
      <c r="DN17" t="s">
        <v>242</v>
      </c>
      <c r="DO17">
        <v>0</v>
      </c>
    </row>
    <row r="18">
      <c r="A18">
        <f>ROW(Source!A28)</f>
        <v>28</v>
      </c>
      <c r="B18">
        <v>65099320</v>
      </c>
      <c r="C18">
        <v>65099361</v>
      </c>
      <c r="D18">
        <v>55684491</v>
      </c>
      <c r="E18">
        <v>70</v>
      </c>
      <c r="F18">
        <v>1</v>
      </c>
      <c r="G18">
        <v>1</v>
      </c>
      <c r="H18">
        <v>1</v>
      </c>
      <c r="I18" t="s">
        <v>485</v>
      </c>
      <c r="J18" t="s">
        <v>242</v>
      </c>
      <c r="K18" t="s">
        <v>486</v>
      </c>
      <c r="L18">
        <v>1191</v>
      </c>
      <c r="N18">
        <v>1013</v>
      </c>
      <c r="O18" t="s">
        <v>30</v>
      </c>
      <c r="P18" t="s">
        <v>30</v>
      </c>
      <c r="Q18">
        <v>1</v>
      </c>
      <c r="W18">
        <v>0</v>
      </c>
      <c r="X18">
        <v>-1417349443</v>
      </c>
      <c r="Y18">
        <f t="shared" si="152"/>
        <v>0.070000000000000007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55.32</v>
      </c>
      <c r="AL18">
        <v>1</v>
      </c>
      <c r="AM18">
        <v>4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242</v>
      </c>
      <c r="AT18">
        <v>0.070000000000000007</v>
      </c>
      <c r="AU18" t="s">
        <v>242</v>
      </c>
      <c r="AV18">
        <v>2</v>
      </c>
      <c r="AW18">
        <v>2</v>
      </c>
      <c r="AX18">
        <v>65099363</v>
      </c>
      <c r="AY18">
        <v>1</v>
      </c>
      <c r="AZ18">
        <v>0</v>
      </c>
      <c r="BA18">
        <v>22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V18">
        <v>0</v>
      </c>
      <c r="CW18">
        <v>0</v>
      </c>
      <c r="CX18">
        <f>ROUND(Y18*Source!I28,7)</f>
        <v>0.0034999999999999996</v>
      </c>
      <c r="CY18">
        <f t="shared" si="162"/>
        <v>0</v>
      </c>
      <c r="CZ18">
        <f t="shared" si="163"/>
        <v>0</v>
      </c>
      <c r="DA18">
        <f t="shared" si="164"/>
        <v>1</v>
      </c>
      <c r="DB18">
        <f t="shared" si="156"/>
        <v>0</v>
      </c>
      <c r="DC18">
        <f t="shared" si="157"/>
        <v>0</v>
      </c>
      <c r="DD18" t="s">
        <v>242</v>
      </c>
      <c r="DE18" t="s">
        <v>242</v>
      </c>
      <c r="DF18">
        <f t="shared" si="158"/>
        <v>0</v>
      </c>
      <c r="DG18">
        <f t="shared" si="165"/>
        <v>0</v>
      </c>
      <c r="DH18">
        <f t="shared" ref="DH18:DH19" si="167">ROUND(ROUND(AG18*AK18,2)*CX18,2)</f>
        <v>0</v>
      </c>
      <c r="DI18">
        <f t="shared" ref="DI18:DI19" si="168">ROUND(ROUND(AH18,2)*CX18,2)</f>
        <v>0</v>
      </c>
      <c r="DJ18">
        <f t="shared" si="166"/>
        <v>0</v>
      </c>
      <c r="DK18">
        <v>0</v>
      </c>
      <c r="DL18" t="s">
        <v>242</v>
      </c>
      <c r="DM18">
        <v>0</v>
      </c>
      <c r="DN18" t="s">
        <v>242</v>
      </c>
      <c r="DO18">
        <v>0</v>
      </c>
    </row>
    <row r="19">
      <c r="A19">
        <f>ROW(Source!A28)</f>
        <v>28</v>
      </c>
      <c r="B19">
        <v>65099320</v>
      </c>
      <c r="C19">
        <v>65099361</v>
      </c>
      <c r="D19">
        <v>55846353</v>
      </c>
      <c r="E19">
        <v>1</v>
      </c>
      <c r="F19">
        <v>1</v>
      </c>
      <c r="G19">
        <v>1</v>
      </c>
      <c r="H19">
        <v>2</v>
      </c>
      <c r="I19" t="s">
        <v>487</v>
      </c>
      <c r="J19" t="s">
        <v>488</v>
      </c>
      <c r="K19" t="s">
        <v>489</v>
      </c>
      <c r="L19">
        <v>1367</v>
      </c>
      <c r="N19">
        <v>1011</v>
      </c>
      <c r="O19" t="s">
        <v>490</v>
      </c>
      <c r="P19" t="s">
        <v>490</v>
      </c>
      <c r="Q19">
        <v>1</v>
      </c>
      <c r="W19">
        <v>0</v>
      </c>
      <c r="X19">
        <v>1232162608</v>
      </c>
      <c r="Y19">
        <f t="shared" si="152"/>
        <v>0.070000000000000007</v>
      </c>
      <c r="AA19">
        <v>0</v>
      </c>
      <c r="AB19">
        <v>512.65999999999997</v>
      </c>
      <c r="AC19">
        <v>746.82000000000005</v>
      </c>
      <c r="AD19">
        <v>0</v>
      </c>
      <c r="AE19">
        <v>0</v>
      </c>
      <c r="AF19">
        <v>31.260000000000002</v>
      </c>
      <c r="AG19">
        <v>13.5</v>
      </c>
      <c r="AH19">
        <v>0</v>
      </c>
      <c r="AI19">
        <v>1</v>
      </c>
      <c r="AJ19">
        <v>16.399999999999999</v>
      </c>
      <c r="AK19">
        <v>55.32</v>
      </c>
      <c r="AL19">
        <v>1</v>
      </c>
      <c r="AM19">
        <v>4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242</v>
      </c>
      <c r="AT19">
        <v>0.070000000000000007</v>
      </c>
      <c r="AU19" t="s">
        <v>242</v>
      </c>
      <c r="AV19">
        <v>0</v>
      </c>
      <c r="AW19">
        <v>2</v>
      </c>
      <c r="AX19">
        <v>65099364</v>
      </c>
      <c r="AY19">
        <v>1</v>
      </c>
      <c r="AZ19">
        <v>0</v>
      </c>
      <c r="BA19">
        <v>23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V19">
        <v>0</v>
      </c>
      <c r="CW19">
        <f>ROUND(Y19*Source!I28*DO19,7)</f>
        <v>0</v>
      </c>
      <c r="CX19">
        <f>ROUND(Y19*Source!I28,7)</f>
        <v>0.0034999999999999996</v>
      </c>
      <c r="CY19">
        <f>AB19</f>
        <v>512.65999999999997</v>
      </c>
      <c r="CZ19">
        <f>AF19</f>
        <v>31.260000000000002</v>
      </c>
      <c r="DA19">
        <f>AJ19</f>
        <v>16.399999999999999</v>
      </c>
      <c r="DB19">
        <f t="shared" si="156"/>
        <v>2.1899999999999999</v>
      </c>
      <c r="DC19">
        <f t="shared" si="157"/>
        <v>0.95000000000000007</v>
      </c>
      <c r="DD19" t="s">
        <v>242</v>
      </c>
      <c r="DE19" t="s">
        <v>242</v>
      </c>
      <c r="DF19">
        <f t="shared" si="158"/>
        <v>0</v>
      </c>
      <c r="DG19">
        <f>ROUND(ROUND(AF19*AJ19,2)*CX19,2)</f>
        <v>1.79</v>
      </c>
      <c r="DH19">
        <f t="shared" si="167"/>
        <v>2.6099999999999999</v>
      </c>
      <c r="DI19">
        <f t="shared" si="168"/>
        <v>0</v>
      </c>
      <c r="DJ19">
        <f>DG19</f>
        <v>1.79</v>
      </c>
      <c r="DK19">
        <v>0</v>
      </c>
      <c r="DL19" t="s">
        <v>242</v>
      </c>
      <c r="DM19">
        <v>0</v>
      </c>
      <c r="DN19" t="s">
        <v>242</v>
      </c>
      <c r="DO19">
        <v>0</v>
      </c>
    </row>
    <row r="20">
      <c r="A20">
        <f>ROW(Source!A29)</f>
        <v>29</v>
      </c>
      <c r="B20">
        <v>65099320</v>
      </c>
      <c r="C20">
        <v>65099367</v>
      </c>
      <c r="D20">
        <v>55684287</v>
      </c>
      <c r="E20">
        <v>70</v>
      </c>
      <c r="F20">
        <v>1</v>
      </c>
      <c r="G20">
        <v>1</v>
      </c>
      <c r="H20">
        <v>1</v>
      </c>
      <c r="I20" t="s">
        <v>508</v>
      </c>
      <c r="J20" t="s">
        <v>242</v>
      </c>
      <c r="K20" t="s">
        <v>509</v>
      </c>
      <c r="L20">
        <v>1191</v>
      </c>
      <c r="N20">
        <v>1013</v>
      </c>
      <c r="O20" t="s">
        <v>30</v>
      </c>
      <c r="P20" t="s">
        <v>30</v>
      </c>
      <c r="Q20">
        <v>1</v>
      </c>
      <c r="W20">
        <v>0</v>
      </c>
      <c r="X20">
        <v>1149069633</v>
      </c>
      <c r="Y20">
        <f t="shared" si="152"/>
        <v>28.030000000000001</v>
      </c>
      <c r="AA20">
        <v>0</v>
      </c>
      <c r="AB20">
        <v>0</v>
      </c>
      <c r="AC20">
        <v>0</v>
      </c>
      <c r="AD20">
        <v>455.83999999999997</v>
      </c>
      <c r="AE20">
        <v>0</v>
      </c>
      <c r="AF20">
        <v>0</v>
      </c>
      <c r="AG20">
        <v>0</v>
      </c>
      <c r="AH20">
        <v>8.2400000000000002</v>
      </c>
      <c r="AI20">
        <v>1</v>
      </c>
      <c r="AJ20">
        <v>1</v>
      </c>
      <c r="AK20">
        <v>1</v>
      </c>
      <c r="AL20">
        <v>55.32</v>
      </c>
      <c r="AM20">
        <v>4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242</v>
      </c>
      <c r="AT20">
        <v>28.030000000000001</v>
      </c>
      <c r="AU20" t="s">
        <v>242</v>
      </c>
      <c r="AV20">
        <v>1</v>
      </c>
      <c r="AW20">
        <v>2</v>
      </c>
      <c r="AX20">
        <v>65099368</v>
      </c>
      <c r="AY20">
        <v>1</v>
      </c>
      <c r="AZ20">
        <v>0</v>
      </c>
      <c r="BA20">
        <v>25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U20">
        <f>ROUND(AT20*Source!I29*AH20*AL20,2)</f>
        <v>3833.1300000000001</v>
      </c>
      <c r="CV20">
        <f>ROUND(Y20*Source!I29,7)</f>
        <v>8.4089999999999989</v>
      </c>
      <c r="CW20">
        <v>0</v>
      </c>
      <c r="CX20">
        <f>ROUND(Y20*Source!I29,7)</f>
        <v>8.4089999999999989</v>
      </c>
      <c r="CY20">
        <f t="shared" ref="CY20:CY21" si="169">AD20</f>
        <v>455.83999999999997</v>
      </c>
      <c r="CZ20">
        <f t="shared" ref="CZ20:CZ21" si="170">AH20</f>
        <v>8.2400000000000002</v>
      </c>
      <c r="DA20">
        <f t="shared" ref="DA20:DA21" si="171">AL20</f>
        <v>55.32</v>
      </c>
      <c r="DB20">
        <f t="shared" si="156"/>
        <v>230.97</v>
      </c>
      <c r="DC20">
        <f t="shared" si="157"/>
        <v>0</v>
      </c>
      <c r="DD20" t="s">
        <v>242</v>
      </c>
      <c r="DE20" t="s">
        <v>242</v>
      </c>
      <c r="DF20">
        <f t="shared" si="158"/>
        <v>0</v>
      </c>
      <c r="DG20">
        <f t="shared" ref="DG20:DG21" si="172">ROUND(ROUND(AF20,2)*CX20,2)</f>
        <v>0</v>
      </c>
      <c r="DH20">
        <f>ROUND(ROUND(AG20,2)*CX20,2)</f>
        <v>0</v>
      </c>
      <c r="DI20">
        <f>ROUND(ROUND(AH20*AL20,2)*CX20,2)</f>
        <v>3833.1599999999999</v>
      </c>
      <c r="DJ20">
        <f t="shared" ref="DJ20:DJ21" si="173">DI20</f>
        <v>3833.1599999999999</v>
      </c>
      <c r="DK20">
        <v>0</v>
      </c>
      <c r="DL20" t="s">
        <v>242</v>
      </c>
      <c r="DM20">
        <v>0</v>
      </c>
      <c r="DN20" t="s">
        <v>242</v>
      </c>
      <c r="DO20">
        <v>0</v>
      </c>
    </row>
    <row r="21">
      <c r="A21">
        <f>ROW(Source!A29)</f>
        <v>29</v>
      </c>
      <c r="B21">
        <v>65099320</v>
      </c>
      <c r="C21">
        <v>65099367</v>
      </c>
      <c r="D21">
        <v>55684491</v>
      </c>
      <c r="E21">
        <v>70</v>
      </c>
      <c r="F21">
        <v>1</v>
      </c>
      <c r="G21">
        <v>1</v>
      </c>
      <c r="H21">
        <v>1</v>
      </c>
      <c r="I21" t="s">
        <v>485</v>
      </c>
      <c r="J21" t="s">
        <v>242</v>
      </c>
      <c r="K21" t="s">
        <v>486</v>
      </c>
      <c r="L21">
        <v>1191</v>
      </c>
      <c r="N21">
        <v>1013</v>
      </c>
      <c r="O21" t="s">
        <v>30</v>
      </c>
      <c r="P21" t="s">
        <v>30</v>
      </c>
      <c r="Q21">
        <v>1</v>
      </c>
      <c r="W21">
        <v>0</v>
      </c>
      <c r="X21">
        <v>-1417349443</v>
      </c>
      <c r="Y21">
        <f t="shared" si="152"/>
        <v>0.050000000000000003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1</v>
      </c>
      <c r="AJ21">
        <v>1</v>
      </c>
      <c r="AK21">
        <v>55.32</v>
      </c>
      <c r="AL21">
        <v>1</v>
      </c>
      <c r="AM21">
        <v>4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242</v>
      </c>
      <c r="AT21">
        <v>0.050000000000000003</v>
      </c>
      <c r="AU21" t="s">
        <v>242</v>
      </c>
      <c r="AV21">
        <v>2</v>
      </c>
      <c r="AW21">
        <v>2</v>
      </c>
      <c r="AX21">
        <v>65099369</v>
      </c>
      <c r="AY21">
        <v>1</v>
      </c>
      <c r="AZ21">
        <v>0</v>
      </c>
      <c r="BA21">
        <v>26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v>0</v>
      </c>
      <c r="CX21">
        <f>ROUND(Y21*Source!I29,7)</f>
        <v>0.014999999999999999</v>
      </c>
      <c r="CY21">
        <f t="shared" si="169"/>
        <v>0</v>
      </c>
      <c r="CZ21">
        <f t="shared" si="170"/>
        <v>0</v>
      </c>
      <c r="DA21">
        <f t="shared" si="171"/>
        <v>1</v>
      </c>
      <c r="DB21">
        <f t="shared" si="156"/>
        <v>0</v>
      </c>
      <c r="DC21">
        <f t="shared" si="157"/>
        <v>0</v>
      </c>
      <c r="DD21" t="s">
        <v>242</v>
      </c>
      <c r="DE21" t="s">
        <v>242</v>
      </c>
      <c r="DF21">
        <f t="shared" si="158"/>
        <v>0</v>
      </c>
      <c r="DG21">
        <f t="shared" si="172"/>
        <v>0</v>
      </c>
      <c r="DH21">
        <f t="shared" ref="DH21:DH23" si="174">ROUND(ROUND(AG21*AK21,2)*CX21,2)</f>
        <v>0</v>
      </c>
      <c r="DI21">
        <f t="shared" ref="DI21:DI25" si="175">ROUND(ROUND(AH21,2)*CX21,2)</f>
        <v>0</v>
      </c>
      <c r="DJ21">
        <f t="shared" si="173"/>
        <v>0</v>
      </c>
      <c r="DK21">
        <v>0</v>
      </c>
      <c r="DL21" t="s">
        <v>242</v>
      </c>
      <c r="DM21">
        <v>0</v>
      </c>
      <c r="DN21" t="s">
        <v>242</v>
      </c>
      <c r="DO21">
        <v>0</v>
      </c>
    </row>
    <row r="22">
      <c r="A22">
        <f>ROW(Source!A29)</f>
        <v>29</v>
      </c>
      <c r="B22">
        <v>65099320</v>
      </c>
      <c r="C22">
        <v>65099367</v>
      </c>
      <c r="D22">
        <v>55846353</v>
      </c>
      <c r="E22">
        <v>1</v>
      </c>
      <c r="F22">
        <v>1</v>
      </c>
      <c r="G22">
        <v>1</v>
      </c>
      <c r="H22">
        <v>2</v>
      </c>
      <c r="I22" t="s">
        <v>487</v>
      </c>
      <c r="J22" t="s">
        <v>488</v>
      </c>
      <c r="K22" t="s">
        <v>489</v>
      </c>
      <c r="L22">
        <v>1367</v>
      </c>
      <c r="N22">
        <v>1011</v>
      </c>
      <c r="O22" t="s">
        <v>490</v>
      </c>
      <c r="P22" t="s">
        <v>490</v>
      </c>
      <c r="Q22">
        <v>1</v>
      </c>
      <c r="W22">
        <v>0</v>
      </c>
      <c r="X22">
        <v>1232162608</v>
      </c>
      <c r="Y22">
        <f t="shared" si="152"/>
        <v>0.050000000000000003</v>
      </c>
      <c r="AA22">
        <v>0</v>
      </c>
      <c r="AB22">
        <v>512.65999999999997</v>
      </c>
      <c r="AC22">
        <v>746.82000000000005</v>
      </c>
      <c r="AD22">
        <v>0</v>
      </c>
      <c r="AE22">
        <v>0</v>
      </c>
      <c r="AF22">
        <v>31.260000000000002</v>
      </c>
      <c r="AG22">
        <v>13.5</v>
      </c>
      <c r="AH22">
        <v>0</v>
      </c>
      <c r="AI22">
        <v>1</v>
      </c>
      <c r="AJ22">
        <v>16.399999999999999</v>
      </c>
      <c r="AK22">
        <v>55.32</v>
      </c>
      <c r="AL22">
        <v>1</v>
      </c>
      <c r="AM22">
        <v>4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242</v>
      </c>
      <c r="AT22">
        <v>0.050000000000000003</v>
      </c>
      <c r="AU22" t="s">
        <v>242</v>
      </c>
      <c r="AV22">
        <v>0</v>
      </c>
      <c r="AW22">
        <v>2</v>
      </c>
      <c r="AX22">
        <v>65099370</v>
      </c>
      <c r="AY22">
        <v>1</v>
      </c>
      <c r="AZ22">
        <v>0</v>
      </c>
      <c r="BA22">
        <v>27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f>ROUND(Y22*Source!I29*DO22,7)</f>
        <v>0</v>
      </c>
      <c r="CX22">
        <f>ROUND(Y22*Source!I29,7)</f>
        <v>0.014999999999999999</v>
      </c>
      <c r="CY22">
        <f t="shared" ref="CY22:CY23" si="176">AB22</f>
        <v>512.65999999999997</v>
      </c>
      <c r="CZ22">
        <f t="shared" ref="CZ22:CZ23" si="177">AF22</f>
        <v>31.260000000000002</v>
      </c>
      <c r="DA22">
        <f t="shared" ref="DA22:DA23" si="178">AJ22</f>
        <v>16.399999999999999</v>
      </c>
      <c r="DB22">
        <f t="shared" si="156"/>
        <v>1.5600000000000001</v>
      </c>
      <c r="DC22">
        <f t="shared" si="157"/>
        <v>0.68000000000000005</v>
      </c>
      <c r="DD22" t="s">
        <v>242</v>
      </c>
      <c r="DE22" t="s">
        <v>242</v>
      </c>
      <c r="DF22">
        <f t="shared" si="158"/>
        <v>0</v>
      </c>
      <c r="DG22">
        <f t="shared" ref="DG22:DG23" si="179">ROUND(ROUND(AF22*AJ22,2)*CX22,2)</f>
        <v>7.6900000000000004</v>
      </c>
      <c r="DH22">
        <f t="shared" si="174"/>
        <v>11.200000000000001</v>
      </c>
      <c r="DI22">
        <f t="shared" si="175"/>
        <v>0</v>
      </c>
      <c r="DJ22">
        <f t="shared" ref="DJ22:DJ23" si="180">DG22</f>
        <v>7.6900000000000004</v>
      </c>
      <c r="DK22">
        <v>0</v>
      </c>
      <c r="DL22" t="s">
        <v>242</v>
      </c>
      <c r="DM22">
        <v>0</v>
      </c>
      <c r="DN22" t="s">
        <v>242</v>
      </c>
      <c r="DO22">
        <v>0</v>
      </c>
    </row>
    <row r="23">
      <c r="A23">
        <f>ROW(Source!A29)</f>
        <v>29</v>
      </c>
      <c r="B23">
        <v>65099320</v>
      </c>
      <c r="C23">
        <v>65099367</v>
      </c>
      <c r="D23">
        <v>55847244</v>
      </c>
      <c r="E23">
        <v>1</v>
      </c>
      <c r="F23">
        <v>1</v>
      </c>
      <c r="G23">
        <v>1</v>
      </c>
      <c r="H23">
        <v>2</v>
      </c>
      <c r="I23" t="s">
        <v>510</v>
      </c>
      <c r="J23" t="s">
        <v>511</v>
      </c>
      <c r="K23" t="s">
        <v>512</v>
      </c>
      <c r="L23">
        <v>1367</v>
      </c>
      <c r="N23">
        <v>1011</v>
      </c>
      <c r="O23" t="s">
        <v>490</v>
      </c>
      <c r="P23" t="s">
        <v>490</v>
      </c>
      <c r="Q23">
        <v>1</v>
      </c>
      <c r="W23">
        <v>0</v>
      </c>
      <c r="X23">
        <v>2077867240</v>
      </c>
      <c r="Y23">
        <f t="shared" si="152"/>
        <v>2.5</v>
      </c>
      <c r="AA23">
        <v>0</v>
      </c>
      <c r="AB23">
        <v>19.68</v>
      </c>
      <c r="AC23">
        <v>0</v>
      </c>
      <c r="AD23">
        <v>0</v>
      </c>
      <c r="AE23">
        <v>0</v>
      </c>
      <c r="AF23">
        <v>1.2</v>
      </c>
      <c r="AG23">
        <v>0</v>
      </c>
      <c r="AH23">
        <v>0</v>
      </c>
      <c r="AI23">
        <v>1</v>
      </c>
      <c r="AJ23">
        <v>16.399999999999999</v>
      </c>
      <c r="AK23">
        <v>55.32</v>
      </c>
      <c r="AL23">
        <v>1</v>
      </c>
      <c r="AM23">
        <v>4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242</v>
      </c>
      <c r="AT23">
        <v>2.5</v>
      </c>
      <c r="AU23" t="s">
        <v>242</v>
      </c>
      <c r="AV23">
        <v>0</v>
      </c>
      <c r="AW23">
        <v>2</v>
      </c>
      <c r="AX23">
        <v>65099371</v>
      </c>
      <c r="AY23">
        <v>1</v>
      </c>
      <c r="AZ23">
        <v>0</v>
      </c>
      <c r="BA23">
        <v>28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V23">
        <v>0</v>
      </c>
      <c r="CW23">
        <f>ROUND(Y23*Source!I29*DO23,7)</f>
        <v>0</v>
      </c>
      <c r="CX23">
        <f>ROUND(Y23*Source!I29,7)</f>
        <v>0.75</v>
      </c>
      <c r="CY23">
        <f t="shared" si="176"/>
        <v>19.68</v>
      </c>
      <c r="CZ23">
        <f t="shared" si="177"/>
        <v>1.2</v>
      </c>
      <c r="DA23">
        <f t="shared" si="178"/>
        <v>16.399999999999999</v>
      </c>
      <c r="DB23">
        <f t="shared" si="156"/>
        <v>3</v>
      </c>
      <c r="DC23">
        <f t="shared" si="157"/>
        <v>0</v>
      </c>
      <c r="DD23" t="s">
        <v>242</v>
      </c>
      <c r="DE23" t="s">
        <v>242</v>
      </c>
      <c r="DF23">
        <f t="shared" si="158"/>
        <v>0</v>
      </c>
      <c r="DG23">
        <f t="shared" si="179"/>
        <v>14.76</v>
      </c>
      <c r="DH23">
        <f t="shared" si="174"/>
        <v>0</v>
      </c>
      <c r="DI23">
        <f t="shared" si="175"/>
        <v>0</v>
      </c>
      <c r="DJ23">
        <f t="shared" si="180"/>
        <v>14.76</v>
      </c>
      <c r="DK23">
        <v>0</v>
      </c>
      <c r="DL23" t="s">
        <v>242</v>
      </c>
      <c r="DM23">
        <v>0</v>
      </c>
      <c r="DN23" t="s">
        <v>242</v>
      </c>
      <c r="DO23">
        <v>0</v>
      </c>
    </row>
    <row r="24">
      <c r="A24">
        <f>ROW(Source!A29)</f>
        <v>29</v>
      </c>
      <c r="B24">
        <v>65099320</v>
      </c>
      <c r="C24">
        <v>65099367</v>
      </c>
      <c r="D24">
        <v>55695170</v>
      </c>
      <c r="E24">
        <v>1</v>
      </c>
      <c r="F24">
        <v>1</v>
      </c>
      <c r="G24">
        <v>1</v>
      </c>
      <c r="H24">
        <v>3</v>
      </c>
      <c r="I24" t="s">
        <v>513</v>
      </c>
      <c r="J24" t="s">
        <v>514</v>
      </c>
      <c r="K24" t="s">
        <v>515</v>
      </c>
      <c r="L24">
        <v>1339</v>
      </c>
      <c r="N24">
        <v>1007</v>
      </c>
      <c r="O24" t="s">
        <v>516</v>
      </c>
      <c r="P24" t="s">
        <v>516</v>
      </c>
      <c r="Q24">
        <v>1</v>
      </c>
      <c r="W24">
        <v>0</v>
      </c>
      <c r="X24">
        <v>-888710213</v>
      </c>
      <c r="Y24">
        <f t="shared" si="152"/>
        <v>0.35999999999999999</v>
      </c>
      <c r="AA24">
        <v>367.76999999999998</v>
      </c>
      <c r="AB24">
        <v>0</v>
      </c>
      <c r="AC24">
        <v>0</v>
      </c>
      <c r="AD24">
        <v>0</v>
      </c>
      <c r="AE24">
        <v>38.509999999999998</v>
      </c>
      <c r="AF24">
        <v>0</v>
      </c>
      <c r="AG24">
        <v>0</v>
      </c>
      <c r="AH24">
        <v>0</v>
      </c>
      <c r="AI24">
        <v>9.5500000000000007</v>
      </c>
      <c r="AJ24">
        <v>1</v>
      </c>
      <c r="AK24">
        <v>1</v>
      </c>
      <c r="AL24">
        <v>1</v>
      </c>
      <c r="AM24">
        <v>4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242</v>
      </c>
      <c r="AT24">
        <v>0.35999999999999999</v>
      </c>
      <c r="AU24" t="s">
        <v>242</v>
      </c>
      <c r="AV24">
        <v>0</v>
      </c>
      <c r="AW24">
        <v>2</v>
      </c>
      <c r="AX24">
        <v>65099372</v>
      </c>
      <c r="AY24">
        <v>1</v>
      </c>
      <c r="AZ24">
        <v>0</v>
      </c>
      <c r="BA24">
        <v>29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ROUND(Y24*Source!I29,7)</f>
        <v>0.108</v>
      </c>
      <c r="CY24">
        <f t="shared" ref="CY24:CY25" si="181">AA24</f>
        <v>367.76999999999998</v>
      </c>
      <c r="CZ24">
        <f t="shared" ref="CZ24:CZ25" si="182">AE24</f>
        <v>38.509999999999998</v>
      </c>
      <c r="DA24">
        <f t="shared" ref="DA24:DA25" si="183">AI24</f>
        <v>9.5500000000000007</v>
      </c>
      <c r="DB24">
        <f t="shared" si="156"/>
        <v>13.859999999999999</v>
      </c>
      <c r="DC24">
        <f t="shared" si="157"/>
        <v>0</v>
      </c>
      <c r="DD24" t="s">
        <v>242</v>
      </c>
      <c r="DE24" t="s">
        <v>242</v>
      </c>
      <c r="DF24">
        <f t="shared" ref="DF24:DF25" si="184">ROUND(ROUND(AE24*AI24,2)*CX24,2)</f>
        <v>39.719999999999999</v>
      </c>
      <c r="DG24">
        <f t="shared" ref="DG24:DG27" si="185">ROUND(ROUND(AF24,2)*CX24,2)</f>
        <v>0</v>
      </c>
      <c r="DH24">
        <f t="shared" ref="DH24:DH26" si="186">ROUND(ROUND(AG24,2)*CX24,2)</f>
        <v>0</v>
      </c>
      <c r="DI24">
        <f t="shared" si="175"/>
        <v>0</v>
      </c>
      <c r="DJ24">
        <f t="shared" ref="DJ24:DJ25" si="187">DF24</f>
        <v>39.719999999999999</v>
      </c>
      <c r="DK24">
        <v>0</v>
      </c>
      <c r="DL24" t="s">
        <v>242</v>
      </c>
      <c r="DM24">
        <v>0</v>
      </c>
      <c r="DN24" t="s">
        <v>242</v>
      </c>
      <c r="DO24">
        <v>0</v>
      </c>
    </row>
    <row r="25">
      <c r="A25">
        <f>ROW(Source!A29)</f>
        <v>29</v>
      </c>
      <c r="B25">
        <v>65099320</v>
      </c>
      <c r="C25">
        <v>65099367</v>
      </c>
      <c r="D25">
        <v>55695188</v>
      </c>
      <c r="E25">
        <v>1</v>
      </c>
      <c r="F25">
        <v>1</v>
      </c>
      <c r="G25">
        <v>1</v>
      </c>
      <c r="H25">
        <v>3</v>
      </c>
      <c r="I25" t="s">
        <v>517</v>
      </c>
      <c r="J25" t="s">
        <v>518</v>
      </c>
      <c r="K25" t="s">
        <v>519</v>
      </c>
      <c r="L25">
        <v>1339</v>
      </c>
      <c r="N25">
        <v>1007</v>
      </c>
      <c r="O25" t="s">
        <v>516</v>
      </c>
      <c r="P25" t="s">
        <v>516</v>
      </c>
      <c r="Q25">
        <v>1</v>
      </c>
      <c r="W25">
        <v>0</v>
      </c>
      <c r="X25">
        <v>-1761807714</v>
      </c>
      <c r="Y25">
        <f t="shared" si="152"/>
        <v>2.29</v>
      </c>
      <c r="AA25">
        <v>59.399999999999999</v>
      </c>
      <c r="AB25">
        <v>0</v>
      </c>
      <c r="AC25">
        <v>0</v>
      </c>
      <c r="AD25">
        <v>0</v>
      </c>
      <c r="AE25">
        <v>6.2199999999999998</v>
      </c>
      <c r="AF25">
        <v>0</v>
      </c>
      <c r="AG25">
        <v>0</v>
      </c>
      <c r="AH25">
        <v>0</v>
      </c>
      <c r="AI25">
        <v>9.5500000000000007</v>
      </c>
      <c r="AJ25">
        <v>1</v>
      </c>
      <c r="AK25">
        <v>1</v>
      </c>
      <c r="AL25">
        <v>1</v>
      </c>
      <c r="AM25">
        <v>4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242</v>
      </c>
      <c r="AT25">
        <v>2.29</v>
      </c>
      <c r="AU25" t="s">
        <v>242</v>
      </c>
      <c r="AV25">
        <v>0</v>
      </c>
      <c r="AW25">
        <v>2</v>
      </c>
      <c r="AX25">
        <v>65099373</v>
      </c>
      <c r="AY25">
        <v>1</v>
      </c>
      <c r="AZ25">
        <v>0</v>
      </c>
      <c r="BA25">
        <v>30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V25">
        <v>0</v>
      </c>
      <c r="CW25">
        <v>0</v>
      </c>
      <c r="CX25">
        <f>ROUND(Y25*Source!I29,7)</f>
        <v>0.68699999999999994</v>
      </c>
      <c r="CY25">
        <f t="shared" si="181"/>
        <v>59.399999999999999</v>
      </c>
      <c r="CZ25">
        <f t="shared" si="182"/>
        <v>6.2199999999999998</v>
      </c>
      <c r="DA25">
        <f t="shared" si="183"/>
        <v>9.5500000000000007</v>
      </c>
      <c r="DB25">
        <f t="shared" si="156"/>
        <v>14.24</v>
      </c>
      <c r="DC25">
        <f t="shared" si="157"/>
        <v>0</v>
      </c>
      <c r="DD25" t="s">
        <v>242</v>
      </c>
      <c r="DE25" t="s">
        <v>242</v>
      </c>
      <c r="DF25">
        <f t="shared" si="184"/>
        <v>40.810000000000002</v>
      </c>
      <c r="DG25">
        <f t="shared" si="185"/>
        <v>0</v>
      </c>
      <c r="DH25">
        <f t="shared" si="186"/>
        <v>0</v>
      </c>
      <c r="DI25">
        <f t="shared" si="175"/>
        <v>0</v>
      </c>
      <c r="DJ25">
        <f t="shared" si="187"/>
        <v>40.810000000000002</v>
      </c>
      <c r="DK25">
        <v>0</v>
      </c>
      <c r="DL25" t="s">
        <v>242</v>
      </c>
      <c r="DM25">
        <v>0</v>
      </c>
      <c r="DN25" t="s">
        <v>242</v>
      </c>
      <c r="DO25">
        <v>0</v>
      </c>
    </row>
    <row r="26">
      <c r="A26">
        <f>ROW(Source!A30)</f>
        <v>30</v>
      </c>
      <c r="B26">
        <v>65099320</v>
      </c>
      <c r="C26">
        <v>65099376</v>
      </c>
      <c r="D26">
        <v>55684297</v>
      </c>
      <c r="E26">
        <v>70</v>
      </c>
      <c r="F26">
        <v>1</v>
      </c>
      <c r="G26">
        <v>1</v>
      </c>
      <c r="H26">
        <v>1</v>
      </c>
      <c r="I26" t="s">
        <v>520</v>
      </c>
      <c r="J26" t="s">
        <v>242</v>
      </c>
      <c r="K26" t="s">
        <v>521</v>
      </c>
      <c r="L26">
        <v>1191</v>
      </c>
      <c r="N26">
        <v>1013</v>
      </c>
      <c r="O26" t="s">
        <v>30</v>
      </c>
      <c r="P26" t="s">
        <v>30</v>
      </c>
      <c r="Q26">
        <v>1</v>
      </c>
      <c r="W26">
        <v>0</v>
      </c>
      <c r="X26">
        <v>-961628416</v>
      </c>
      <c r="Y26">
        <f t="shared" si="152"/>
        <v>68.799999999999997</v>
      </c>
      <c r="AA26">
        <v>0</v>
      </c>
      <c r="AB26">
        <v>0</v>
      </c>
      <c r="AC26">
        <v>0</v>
      </c>
      <c r="AD26">
        <v>468.00999999999999</v>
      </c>
      <c r="AE26">
        <v>0</v>
      </c>
      <c r="AF26">
        <v>0</v>
      </c>
      <c r="AG26">
        <v>0</v>
      </c>
      <c r="AH26">
        <v>8.4600000000000009</v>
      </c>
      <c r="AI26">
        <v>1</v>
      </c>
      <c r="AJ26">
        <v>1</v>
      </c>
      <c r="AK26">
        <v>1</v>
      </c>
      <c r="AL26">
        <v>55.32</v>
      </c>
      <c r="AM26">
        <v>4</v>
      </c>
      <c r="AN26">
        <v>0</v>
      </c>
      <c r="AO26">
        <v>1</v>
      </c>
      <c r="AP26">
        <v>1</v>
      </c>
      <c r="AQ26">
        <v>0</v>
      </c>
      <c r="AR26">
        <v>0</v>
      </c>
      <c r="AS26" t="s">
        <v>242</v>
      </c>
      <c r="AT26">
        <v>68.799999999999997</v>
      </c>
      <c r="AU26" t="s">
        <v>242</v>
      </c>
      <c r="AV26">
        <v>1</v>
      </c>
      <c r="AW26">
        <v>2</v>
      </c>
      <c r="AX26">
        <v>65099383</v>
      </c>
      <c r="AY26">
        <v>1</v>
      </c>
      <c r="AZ26">
        <v>0</v>
      </c>
      <c r="BA26">
        <v>32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U26">
        <f>ROUND(AT26*Source!I30*AH26*AL26,2)</f>
        <v>3219.8899999999999</v>
      </c>
      <c r="CV26">
        <f>ROUND(Y26*Source!I30,7)</f>
        <v>6.8799999999999999</v>
      </c>
      <c r="CW26">
        <v>0</v>
      </c>
      <c r="CX26">
        <f>ROUND(Y26*Source!I30,7)</f>
        <v>6.8799999999999999</v>
      </c>
      <c r="CY26">
        <f t="shared" ref="CY26:CY27" si="188">AD26</f>
        <v>468.00999999999999</v>
      </c>
      <c r="CZ26">
        <f t="shared" ref="CZ26:CZ27" si="189">AH26</f>
        <v>8.4600000000000009</v>
      </c>
      <c r="DA26">
        <f t="shared" ref="DA26:DA27" si="190">AL26</f>
        <v>55.32</v>
      </c>
      <c r="DB26">
        <f t="shared" si="156"/>
        <v>582.05000000000007</v>
      </c>
      <c r="DC26">
        <f t="shared" si="157"/>
        <v>0</v>
      </c>
      <c r="DD26" t="s">
        <v>242</v>
      </c>
      <c r="DE26" t="s">
        <v>242</v>
      </c>
      <c r="DF26">
        <f t="shared" ref="DF26:DF35" si="191">ROUND(ROUND(AE26,2)*CX26,2)</f>
        <v>0</v>
      </c>
      <c r="DG26">
        <f t="shared" si="185"/>
        <v>0</v>
      </c>
      <c r="DH26">
        <f t="shared" si="186"/>
        <v>0</v>
      </c>
      <c r="DI26">
        <f>ROUND(ROUND(AH26*AL26,2)*CX26,2)</f>
        <v>3219.9099999999999</v>
      </c>
      <c r="DJ26">
        <f t="shared" ref="DJ26:DJ27" si="192">DI26</f>
        <v>3219.9099999999999</v>
      </c>
      <c r="DK26">
        <v>0</v>
      </c>
      <c r="DL26" t="s">
        <v>242</v>
      </c>
      <c r="DM26">
        <v>0</v>
      </c>
      <c r="DN26" t="s">
        <v>242</v>
      </c>
      <c r="DO26">
        <v>0</v>
      </c>
    </row>
    <row r="27">
      <c r="A27">
        <f>ROW(Source!A30)</f>
        <v>30</v>
      </c>
      <c r="B27">
        <v>65099320</v>
      </c>
      <c r="C27">
        <v>65099376</v>
      </c>
      <c r="D27">
        <v>55684491</v>
      </c>
      <c r="E27">
        <v>70</v>
      </c>
      <c r="F27">
        <v>1</v>
      </c>
      <c r="G27">
        <v>1</v>
      </c>
      <c r="H27">
        <v>1</v>
      </c>
      <c r="I27" t="s">
        <v>485</v>
      </c>
      <c r="J27" t="s">
        <v>242</v>
      </c>
      <c r="K27" t="s">
        <v>486</v>
      </c>
      <c r="L27">
        <v>1191</v>
      </c>
      <c r="N27">
        <v>1013</v>
      </c>
      <c r="O27" t="s">
        <v>30</v>
      </c>
      <c r="P27" t="s">
        <v>30</v>
      </c>
      <c r="Q27">
        <v>1</v>
      </c>
      <c r="W27">
        <v>0</v>
      </c>
      <c r="X27">
        <v>-1417349443</v>
      </c>
      <c r="Y27">
        <f t="shared" si="152"/>
        <v>0.16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55.32</v>
      </c>
      <c r="AL27">
        <v>1</v>
      </c>
      <c r="AM27">
        <v>4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242</v>
      </c>
      <c r="AT27">
        <v>0.16</v>
      </c>
      <c r="AU27" t="s">
        <v>242</v>
      </c>
      <c r="AV27">
        <v>2</v>
      </c>
      <c r="AW27">
        <v>2</v>
      </c>
      <c r="AX27">
        <v>65099384</v>
      </c>
      <c r="AY27">
        <v>1</v>
      </c>
      <c r="AZ27">
        <v>0</v>
      </c>
      <c r="BA27">
        <v>33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V27">
        <v>0</v>
      </c>
      <c r="CW27">
        <v>0</v>
      </c>
      <c r="CX27">
        <f>ROUND(Y27*Source!I30,7)</f>
        <v>0.016</v>
      </c>
      <c r="CY27">
        <f t="shared" si="188"/>
        <v>0</v>
      </c>
      <c r="CZ27">
        <f t="shared" si="189"/>
        <v>0</v>
      </c>
      <c r="DA27">
        <f t="shared" si="190"/>
        <v>1</v>
      </c>
      <c r="DB27">
        <f t="shared" si="156"/>
        <v>0</v>
      </c>
      <c r="DC27">
        <f t="shared" si="157"/>
        <v>0</v>
      </c>
      <c r="DD27" t="s">
        <v>242</v>
      </c>
      <c r="DE27" t="s">
        <v>242</v>
      </c>
      <c r="DF27">
        <f t="shared" si="191"/>
        <v>0</v>
      </c>
      <c r="DG27">
        <f t="shared" si="185"/>
        <v>0</v>
      </c>
      <c r="DH27">
        <f t="shared" ref="DH27:DH28" si="193">ROUND(ROUND(AG27*AK27,2)*CX27,2)</f>
        <v>0</v>
      </c>
      <c r="DI27">
        <f t="shared" ref="DI27:DI28" si="194">ROUND(ROUND(AH27,2)*CX27,2)</f>
        <v>0</v>
      </c>
      <c r="DJ27">
        <f t="shared" si="192"/>
        <v>0</v>
      </c>
      <c r="DK27">
        <v>0</v>
      </c>
      <c r="DL27" t="s">
        <v>242</v>
      </c>
      <c r="DM27">
        <v>0</v>
      </c>
      <c r="DN27" t="s">
        <v>242</v>
      </c>
      <c r="DO27">
        <v>0</v>
      </c>
    </row>
    <row r="28">
      <c r="A28">
        <f>ROW(Source!A30)</f>
        <v>30</v>
      </c>
      <c r="B28">
        <v>65099320</v>
      </c>
      <c r="C28">
        <v>65099376</v>
      </c>
      <c r="D28">
        <v>55846353</v>
      </c>
      <c r="E28">
        <v>1</v>
      </c>
      <c r="F28">
        <v>1</v>
      </c>
      <c r="G28">
        <v>1</v>
      </c>
      <c r="H28">
        <v>2</v>
      </c>
      <c r="I28" t="s">
        <v>487</v>
      </c>
      <c r="J28" t="s">
        <v>488</v>
      </c>
      <c r="K28" t="s">
        <v>489</v>
      </c>
      <c r="L28">
        <v>1367</v>
      </c>
      <c r="N28">
        <v>1011</v>
      </c>
      <c r="O28" t="s">
        <v>490</v>
      </c>
      <c r="P28" t="s">
        <v>490</v>
      </c>
      <c r="Q28">
        <v>1</v>
      </c>
      <c r="W28">
        <v>0</v>
      </c>
      <c r="X28">
        <v>1232162608</v>
      </c>
      <c r="Y28">
        <f t="shared" si="152"/>
        <v>0.16</v>
      </c>
      <c r="AA28">
        <v>0</v>
      </c>
      <c r="AB28">
        <v>512.65999999999997</v>
      </c>
      <c r="AC28">
        <v>746.82000000000005</v>
      </c>
      <c r="AD28">
        <v>0</v>
      </c>
      <c r="AE28">
        <v>0</v>
      </c>
      <c r="AF28">
        <v>31.260000000000002</v>
      </c>
      <c r="AG28">
        <v>13.5</v>
      </c>
      <c r="AH28">
        <v>0</v>
      </c>
      <c r="AI28">
        <v>1</v>
      </c>
      <c r="AJ28">
        <v>16.399999999999999</v>
      </c>
      <c r="AK28">
        <v>55.32</v>
      </c>
      <c r="AL28">
        <v>1</v>
      </c>
      <c r="AM28">
        <v>4</v>
      </c>
      <c r="AN28">
        <v>0</v>
      </c>
      <c r="AO28">
        <v>1</v>
      </c>
      <c r="AP28">
        <v>1</v>
      </c>
      <c r="AQ28">
        <v>0</v>
      </c>
      <c r="AR28">
        <v>0</v>
      </c>
      <c r="AS28" t="s">
        <v>242</v>
      </c>
      <c r="AT28">
        <v>0.16</v>
      </c>
      <c r="AU28" t="s">
        <v>242</v>
      </c>
      <c r="AV28">
        <v>0</v>
      </c>
      <c r="AW28">
        <v>2</v>
      </c>
      <c r="AX28">
        <v>65099385</v>
      </c>
      <c r="AY28">
        <v>1</v>
      </c>
      <c r="AZ28">
        <v>0</v>
      </c>
      <c r="BA28">
        <v>34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f>ROUND(Y28*Source!I30*DO28,7)</f>
        <v>0</v>
      </c>
      <c r="CX28">
        <f>ROUND(Y28*Source!I30,7)</f>
        <v>0.016</v>
      </c>
      <c r="CY28">
        <f>AB28</f>
        <v>512.65999999999997</v>
      </c>
      <c r="CZ28">
        <f>AF28</f>
        <v>31.260000000000002</v>
      </c>
      <c r="DA28">
        <f>AJ28</f>
        <v>16.399999999999999</v>
      </c>
      <c r="DB28">
        <f t="shared" si="156"/>
        <v>5</v>
      </c>
      <c r="DC28">
        <f t="shared" si="157"/>
        <v>2.1600000000000001</v>
      </c>
      <c r="DD28" t="s">
        <v>242</v>
      </c>
      <c r="DE28" t="s">
        <v>242</v>
      </c>
      <c r="DF28">
        <f t="shared" si="191"/>
        <v>0</v>
      </c>
      <c r="DG28">
        <f>ROUND(ROUND(AF28*AJ28,2)*CX28,2)</f>
        <v>8.1999999999999993</v>
      </c>
      <c r="DH28">
        <f t="shared" si="193"/>
        <v>11.950000000000001</v>
      </c>
      <c r="DI28">
        <f t="shared" si="194"/>
        <v>0</v>
      </c>
      <c r="DJ28">
        <f>DG28</f>
        <v>8.1999999999999993</v>
      </c>
      <c r="DK28">
        <v>0</v>
      </c>
      <c r="DL28" t="s">
        <v>242</v>
      </c>
      <c r="DM28">
        <v>0</v>
      </c>
      <c r="DN28" t="s">
        <v>242</v>
      </c>
      <c r="DO28">
        <v>0</v>
      </c>
    </row>
    <row r="29">
      <c r="A29">
        <f>ROW(Source!A31)</f>
        <v>31</v>
      </c>
      <c r="B29">
        <v>65099320</v>
      </c>
      <c r="C29">
        <v>65099388</v>
      </c>
      <c r="D29">
        <v>55684297</v>
      </c>
      <c r="E29">
        <v>70</v>
      </c>
      <c r="F29">
        <v>1</v>
      </c>
      <c r="G29">
        <v>1</v>
      </c>
      <c r="H29">
        <v>1</v>
      </c>
      <c r="I29" t="s">
        <v>520</v>
      </c>
      <c r="J29" t="s">
        <v>242</v>
      </c>
      <c r="K29" t="s">
        <v>521</v>
      </c>
      <c r="L29">
        <v>1191</v>
      </c>
      <c r="N29">
        <v>1013</v>
      </c>
      <c r="O29" t="s">
        <v>30</v>
      </c>
      <c r="P29" t="s">
        <v>30</v>
      </c>
      <c r="Q29">
        <v>1</v>
      </c>
      <c r="W29">
        <v>0</v>
      </c>
      <c r="X29">
        <v>-961628416</v>
      </c>
      <c r="Y29">
        <f t="shared" si="152"/>
        <v>85.299999999999997</v>
      </c>
      <c r="AA29">
        <v>0</v>
      </c>
      <c r="AB29">
        <v>0</v>
      </c>
      <c r="AC29">
        <v>0</v>
      </c>
      <c r="AD29">
        <v>468.00999999999999</v>
      </c>
      <c r="AE29">
        <v>0</v>
      </c>
      <c r="AF29">
        <v>0</v>
      </c>
      <c r="AG29">
        <v>0</v>
      </c>
      <c r="AH29">
        <v>8.4600000000000009</v>
      </c>
      <c r="AI29">
        <v>1</v>
      </c>
      <c r="AJ29">
        <v>1</v>
      </c>
      <c r="AK29">
        <v>1</v>
      </c>
      <c r="AL29">
        <v>55.32</v>
      </c>
      <c r="AM29">
        <v>4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242</v>
      </c>
      <c r="AT29">
        <v>85.299999999999997</v>
      </c>
      <c r="AU29" t="s">
        <v>242</v>
      </c>
      <c r="AV29">
        <v>1</v>
      </c>
      <c r="AW29">
        <v>2</v>
      </c>
      <c r="AX29">
        <v>65099389</v>
      </c>
      <c r="AY29">
        <v>1</v>
      </c>
      <c r="AZ29">
        <v>0</v>
      </c>
      <c r="BA29">
        <v>36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U29">
        <f>ROUND(AT29*Source!I31*AH29*AL29,2)</f>
        <v>1996.05</v>
      </c>
      <c r="CV29">
        <f>ROUND(Y29*Source!I31,7)</f>
        <v>4.2649999999999997</v>
      </c>
      <c r="CW29">
        <v>0</v>
      </c>
      <c r="CX29">
        <f>ROUND(Y29*Source!I31,7)</f>
        <v>4.2649999999999997</v>
      </c>
      <c r="CY29">
        <f t="shared" ref="CY29:CY30" si="195">AD29</f>
        <v>468.00999999999999</v>
      </c>
      <c r="CZ29">
        <f t="shared" ref="CZ29:CZ30" si="196">AH29</f>
        <v>8.4600000000000009</v>
      </c>
      <c r="DA29">
        <f t="shared" ref="DA29:DA30" si="197">AL29</f>
        <v>55.32</v>
      </c>
      <c r="DB29">
        <f t="shared" si="156"/>
        <v>721.63999999999999</v>
      </c>
      <c r="DC29">
        <f t="shared" si="157"/>
        <v>0</v>
      </c>
      <c r="DD29" t="s">
        <v>242</v>
      </c>
      <c r="DE29" t="s">
        <v>242</v>
      </c>
      <c r="DF29">
        <f t="shared" si="191"/>
        <v>0</v>
      </c>
      <c r="DG29">
        <f t="shared" ref="DG29:DG30" si="198">ROUND(ROUND(AF29,2)*CX29,2)</f>
        <v>0</v>
      </c>
      <c r="DH29">
        <f>ROUND(ROUND(AG29,2)*CX29,2)</f>
        <v>0</v>
      </c>
      <c r="DI29">
        <f>ROUND(ROUND(AH29*AL29,2)*CX29,2)</f>
        <v>1996.0599999999999</v>
      </c>
      <c r="DJ29">
        <f t="shared" ref="DJ29:DJ30" si="199">DI29</f>
        <v>1996.0599999999999</v>
      </c>
      <c r="DK29">
        <v>0</v>
      </c>
      <c r="DL29" t="s">
        <v>242</v>
      </c>
      <c r="DM29">
        <v>0</v>
      </c>
      <c r="DN29" t="s">
        <v>242</v>
      </c>
      <c r="DO29">
        <v>0</v>
      </c>
    </row>
    <row r="30">
      <c r="A30">
        <f>ROW(Source!A31)</f>
        <v>31</v>
      </c>
      <c r="B30">
        <v>65099320</v>
      </c>
      <c r="C30">
        <v>65099388</v>
      </c>
      <c r="D30">
        <v>55684491</v>
      </c>
      <c r="E30">
        <v>70</v>
      </c>
      <c r="F30">
        <v>1</v>
      </c>
      <c r="G30">
        <v>1</v>
      </c>
      <c r="H30">
        <v>1</v>
      </c>
      <c r="I30" t="s">
        <v>485</v>
      </c>
      <c r="J30" t="s">
        <v>242</v>
      </c>
      <c r="K30" t="s">
        <v>486</v>
      </c>
      <c r="L30">
        <v>1191</v>
      </c>
      <c r="N30">
        <v>1013</v>
      </c>
      <c r="O30" t="s">
        <v>30</v>
      </c>
      <c r="P30" t="s">
        <v>30</v>
      </c>
      <c r="Q30">
        <v>1</v>
      </c>
      <c r="W30">
        <v>0</v>
      </c>
      <c r="X30">
        <v>-1417349443</v>
      </c>
      <c r="Y30">
        <f t="shared" si="152"/>
        <v>0.32000000000000001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55.32</v>
      </c>
      <c r="AL30">
        <v>1</v>
      </c>
      <c r="AM30">
        <v>4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242</v>
      </c>
      <c r="AT30">
        <v>0.32000000000000001</v>
      </c>
      <c r="AU30" t="s">
        <v>242</v>
      </c>
      <c r="AV30">
        <v>2</v>
      </c>
      <c r="AW30">
        <v>2</v>
      </c>
      <c r="AX30">
        <v>65099390</v>
      </c>
      <c r="AY30">
        <v>1</v>
      </c>
      <c r="AZ30">
        <v>0</v>
      </c>
      <c r="BA30">
        <v>37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V30">
        <v>0</v>
      </c>
      <c r="CW30">
        <v>0</v>
      </c>
      <c r="CX30">
        <f>ROUND(Y30*Source!I31,7)</f>
        <v>0.016</v>
      </c>
      <c r="CY30">
        <f t="shared" si="195"/>
        <v>0</v>
      </c>
      <c r="CZ30">
        <f t="shared" si="196"/>
        <v>0</v>
      </c>
      <c r="DA30">
        <f t="shared" si="197"/>
        <v>1</v>
      </c>
      <c r="DB30">
        <f t="shared" si="156"/>
        <v>0</v>
      </c>
      <c r="DC30">
        <f t="shared" si="157"/>
        <v>0</v>
      </c>
      <c r="DD30" t="s">
        <v>242</v>
      </c>
      <c r="DE30" t="s">
        <v>242</v>
      </c>
      <c r="DF30">
        <f t="shared" si="191"/>
        <v>0</v>
      </c>
      <c r="DG30">
        <f t="shared" si="198"/>
        <v>0</v>
      </c>
      <c r="DH30">
        <f t="shared" ref="DH30:DH31" si="200">ROUND(ROUND(AG30*AK30,2)*CX30,2)</f>
        <v>0</v>
      </c>
      <c r="DI30">
        <f t="shared" ref="DI30:DI31" si="201">ROUND(ROUND(AH30,2)*CX30,2)</f>
        <v>0</v>
      </c>
      <c r="DJ30">
        <f t="shared" si="199"/>
        <v>0</v>
      </c>
      <c r="DK30">
        <v>0</v>
      </c>
      <c r="DL30" t="s">
        <v>242</v>
      </c>
      <c r="DM30">
        <v>0</v>
      </c>
      <c r="DN30" t="s">
        <v>242</v>
      </c>
      <c r="DO30">
        <v>0</v>
      </c>
    </row>
    <row r="31">
      <c r="A31">
        <f>ROW(Source!A31)</f>
        <v>31</v>
      </c>
      <c r="B31">
        <v>65099320</v>
      </c>
      <c r="C31">
        <v>65099388</v>
      </c>
      <c r="D31">
        <v>55846353</v>
      </c>
      <c r="E31">
        <v>1</v>
      </c>
      <c r="F31">
        <v>1</v>
      </c>
      <c r="G31">
        <v>1</v>
      </c>
      <c r="H31">
        <v>2</v>
      </c>
      <c r="I31" t="s">
        <v>487</v>
      </c>
      <c r="J31" t="s">
        <v>488</v>
      </c>
      <c r="K31" t="s">
        <v>489</v>
      </c>
      <c r="L31">
        <v>1367</v>
      </c>
      <c r="N31">
        <v>1011</v>
      </c>
      <c r="O31" t="s">
        <v>490</v>
      </c>
      <c r="P31" t="s">
        <v>490</v>
      </c>
      <c r="Q31">
        <v>1</v>
      </c>
      <c r="W31">
        <v>0</v>
      </c>
      <c r="X31">
        <v>1232162608</v>
      </c>
      <c r="Y31">
        <f t="shared" si="152"/>
        <v>0.32000000000000001</v>
      </c>
      <c r="AA31">
        <v>0</v>
      </c>
      <c r="AB31">
        <v>512.65999999999997</v>
      </c>
      <c r="AC31">
        <v>746.82000000000005</v>
      </c>
      <c r="AD31">
        <v>0</v>
      </c>
      <c r="AE31">
        <v>0</v>
      </c>
      <c r="AF31">
        <v>31.260000000000002</v>
      </c>
      <c r="AG31">
        <v>13.5</v>
      </c>
      <c r="AH31">
        <v>0</v>
      </c>
      <c r="AI31">
        <v>1</v>
      </c>
      <c r="AJ31">
        <v>16.399999999999999</v>
      </c>
      <c r="AK31">
        <v>55.32</v>
      </c>
      <c r="AL31">
        <v>1</v>
      </c>
      <c r="AM31">
        <v>4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242</v>
      </c>
      <c r="AT31">
        <v>0.32000000000000001</v>
      </c>
      <c r="AU31" t="s">
        <v>242</v>
      </c>
      <c r="AV31">
        <v>0</v>
      </c>
      <c r="AW31">
        <v>2</v>
      </c>
      <c r="AX31">
        <v>65099391</v>
      </c>
      <c r="AY31">
        <v>1</v>
      </c>
      <c r="AZ31">
        <v>0</v>
      </c>
      <c r="BA31">
        <v>38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f>ROUND(Y31*Source!I31*DO31,7)</f>
        <v>0</v>
      </c>
      <c r="CX31">
        <f>ROUND(Y31*Source!I31,7)</f>
        <v>0.016</v>
      </c>
      <c r="CY31">
        <f>AB31</f>
        <v>512.65999999999997</v>
      </c>
      <c r="CZ31">
        <f>AF31</f>
        <v>31.260000000000002</v>
      </c>
      <c r="DA31">
        <f>AJ31</f>
        <v>16.399999999999999</v>
      </c>
      <c r="DB31">
        <f t="shared" si="156"/>
        <v>10</v>
      </c>
      <c r="DC31">
        <f t="shared" si="157"/>
        <v>4.3200000000000003</v>
      </c>
      <c r="DD31" t="s">
        <v>242</v>
      </c>
      <c r="DE31" t="s">
        <v>242</v>
      </c>
      <c r="DF31">
        <f t="shared" si="191"/>
        <v>0</v>
      </c>
      <c r="DG31">
        <f>ROUND(ROUND(AF31*AJ31,2)*CX31,2)</f>
        <v>8.1999999999999993</v>
      </c>
      <c r="DH31">
        <f t="shared" si="200"/>
        <v>11.950000000000001</v>
      </c>
      <c r="DI31">
        <f t="shared" si="201"/>
        <v>0</v>
      </c>
      <c r="DJ31">
        <f>DG31</f>
        <v>8.1999999999999993</v>
      </c>
      <c r="DK31">
        <v>0</v>
      </c>
      <c r="DL31" t="s">
        <v>242</v>
      </c>
      <c r="DM31">
        <v>0</v>
      </c>
      <c r="DN31" t="s">
        <v>242</v>
      </c>
      <c r="DO31">
        <v>0</v>
      </c>
    </row>
    <row r="32">
      <c r="A32">
        <f>ROW(Source!A32)</f>
        <v>32</v>
      </c>
      <c r="B32">
        <v>65099320</v>
      </c>
      <c r="C32">
        <v>65099395</v>
      </c>
      <c r="D32">
        <v>55684339</v>
      </c>
      <c r="E32">
        <v>70</v>
      </c>
      <c r="F32">
        <v>1</v>
      </c>
      <c r="G32">
        <v>1</v>
      </c>
      <c r="H32">
        <v>1</v>
      </c>
      <c r="I32" t="s">
        <v>522</v>
      </c>
      <c r="J32" t="s">
        <v>242</v>
      </c>
      <c r="K32" t="s">
        <v>523</v>
      </c>
      <c r="L32">
        <v>1191</v>
      </c>
      <c r="N32">
        <v>1013</v>
      </c>
      <c r="O32" t="s">
        <v>30</v>
      </c>
      <c r="P32" t="s">
        <v>30</v>
      </c>
      <c r="Q32">
        <v>1</v>
      </c>
      <c r="W32">
        <v>0</v>
      </c>
      <c r="X32">
        <v>1608048003</v>
      </c>
      <c r="Y32">
        <f t="shared" si="152"/>
        <v>22.199999999999999</v>
      </c>
      <c r="AA32">
        <v>0</v>
      </c>
      <c r="AB32">
        <v>0</v>
      </c>
      <c r="AC32">
        <v>0</v>
      </c>
      <c r="AD32">
        <v>526.09000000000003</v>
      </c>
      <c r="AE32">
        <v>0</v>
      </c>
      <c r="AF32">
        <v>0</v>
      </c>
      <c r="AG32">
        <v>0</v>
      </c>
      <c r="AH32">
        <v>9.5099999999999998</v>
      </c>
      <c r="AI32">
        <v>1</v>
      </c>
      <c r="AJ32">
        <v>1</v>
      </c>
      <c r="AK32">
        <v>1</v>
      </c>
      <c r="AL32">
        <v>55.32</v>
      </c>
      <c r="AM32">
        <v>4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242</v>
      </c>
      <c r="AT32">
        <v>22.199999999999999</v>
      </c>
      <c r="AU32" t="s">
        <v>242</v>
      </c>
      <c r="AV32">
        <v>1</v>
      </c>
      <c r="AW32">
        <v>2</v>
      </c>
      <c r="AX32">
        <v>65099396</v>
      </c>
      <c r="AY32">
        <v>1</v>
      </c>
      <c r="AZ32">
        <v>0</v>
      </c>
      <c r="BA32">
        <v>40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U32">
        <f>ROUND(AT32*Source!I32*AH32*AL32,2)</f>
        <v>3503.7800000000002</v>
      </c>
      <c r="CV32">
        <f>ROUND(Y32*Source!I32,7)</f>
        <v>6.6600000000000001</v>
      </c>
      <c r="CW32">
        <v>0</v>
      </c>
      <c r="CX32">
        <f>ROUND(Y32*Source!I32,7)</f>
        <v>6.6600000000000001</v>
      </c>
      <c r="CY32">
        <f t="shared" ref="CY32:CY33" si="202">AD32</f>
        <v>526.09000000000003</v>
      </c>
      <c r="CZ32">
        <f t="shared" ref="CZ32:CZ33" si="203">AH32</f>
        <v>9.5099999999999998</v>
      </c>
      <c r="DA32">
        <f t="shared" ref="DA32:DA33" si="204">AL32</f>
        <v>55.32</v>
      </c>
      <c r="DB32">
        <f t="shared" si="156"/>
        <v>211.12</v>
      </c>
      <c r="DC32">
        <f t="shared" si="157"/>
        <v>0</v>
      </c>
      <c r="DD32" t="s">
        <v>242</v>
      </c>
      <c r="DE32" t="s">
        <v>242</v>
      </c>
      <c r="DF32">
        <f t="shared" si="191"/>
        <v>0</v>
      </c>
      <c r="DG32">
        <f t="shared" ref="DG32:DG33" si="205">ROUND(ROUND(AF32,2)*CX32,2)</f>
        <v>0</v>
      </c>
      <c r="DH32">
        <f>ROUND(ROUND(AG32,2)*CX32,2)</f>
        <v>0</v>
      </c>
      <c r="DI32">
        <f>ROUND(ROUND(AH32*AL32,2)*CX32,2)</f>
        <v>3503.7600000000002</v>
      </c>
      <c r="DJ32">
        <f t="shared" ref="DJ32:DJ33" si="206">DI32</f>
        <v>3503.7600000000002</v>
      </c>
      <c r="DK32">
        <v>0</v>
      </c>
      <c r="DL32" t="s">
        <v>242</v>
      </c>
      <c r="DM32">
        <v>0</v>
      </c>
      <c r="DN32" t="s">
        <v>242</v>
      </c>
      <c r="DO32">
        <v>0</v>
      </c>
    </row>
    <row r="33">
      <c r="A33">
        <f>ROW(Source!A32)</f>
        <v>32</v>
      </c>
      <c r="B33">
        <v>65099320</v>
      </c>
      <c r="C33">
        <v>65099395</v>
      </c>
      <c r="D33">
        <v>55684491</v>
      </c>
      <c r="E33">
        <v>70</v>
      </c>
      <c r="F33">
        <v>1</v>
      </c>
      <c r="G33">
        <v>1</v>
      </c>
      <c r="H33">
        <v>1</v>
      </c>
      <c r="I33" t="s">
        <v>485</v>
      </c>
      <c r="J33" t="s">
        <v>242</v>
      </c>
      <c r="K33" t="s">
        <v>486</v>
      </c>
      <c r="L33">
        <v>1191</v>
      </c>
      <c r="N33">
        <v>1013</v>
      </c>
      <c r="O33" t="s">
        <v>30</v>
      </c>
      <c r="P33" t="s">
        <v>30</v>
      </c>
      <c r="Q33">
        <v>1</v>
      </c>
      <c r="W33">
        <v>0</v>
      </c>
      <c r="X33">
        <v>-1417349443</v>
      </c>
      <c r="Y33">
        <f t="shared" si="152"/>
        <v>0.70999999999999996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55.32</v>
      </c>
      <c r="AL33">
        <v>1</v>
      </c>
      <c r="AM33">
        <v>4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242</v>
      </c>
      <c r="AT33">
        <v>0.70999999999999996</v>
      </c>
      <c r="AU33" t="s">
        <v>242</v>
      </c>
      <c r="AV33">
        <v>2</v>
      </c>
      <c r="AW33">
        <v>2</v>
      </c>
      <c r="AX33">
        <v>65099397</v>
      </c>
      <c r="AY33">
        <v>1</v>
      </c>
      <c r="AZ33">
        <v>0</v>
      </c>
      <c r="BA33">
        <v>41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v>0</v>
      </c>
      <c r="CX33">
        <f>ROUND(Y33*Source!I32,7)</f>
        <v>0.21299999999999999</v>
      </c>
      <c r="CY33">
        <f t="shared" si="202"/>
        <v>0</v>
      </c>
      <c r="CZ33">
        <f t="shared" si="203"/>
        <v>0</v>
      </c>
      <c r="DA33">
        <f t="shared" si="204"/>
        <v>1</v>
      </c>
      <c r="DB33">
        <f t="shared" si="156"/>
        <v>0</v>
      </c>
      <c r="DC33">
        <f t="shared" si="157"/>
        <v>0</v>
      </c>
      <c r="DD33" t="s">
        <v>242</v>
      </c>
      <c r="DE33" t="s">
        <v>242</v>
      </c>
      <c r="DF33">
        <f t="shared" si="191"/>
        <v>0</v>
      </c>
      <c r="DG33">
        <f t="shared" si="205"/>
        <v>0</v>
      </c>
      <c r="DH33">
        <f t="shared" ref="DH33:DH35" si="207">ROUND(ROUND(AG33*AK33,2)*CX33,2)</f>
        <v>0</v>
      </c>
      <c r="DI33">
        <f t="shared" ref="DI33:DI46" si="208">ROUND(ROUND(AH33,2)*CX33,2)</f>
        <v>0</v>
      </c>
      <c r="DJ33">
        <f t="shared" si="206"/>
        <v>0</v>
      </c>
      <c r="DK33">
        <v>0</v>
      </c>
      <c r="DL33" t="s">
        <v>242</v>
      </c>
      <c r="DM33">
        <v>0</v>
      </c>
      <c r="DN33" t="s">
        <v>242</v>
      </c>
      <c r="DO33">
        <v>0</v>
      </c>
    </row>
    <row r="34">
      <c r="A34">
        <f>ROW(Source!A32)</f>
        <v>32</v>
      </c>
      <c r="B34">
        <v>65099320</v>
      </c>
      <c r="C34">
        <v>65099395</v>
      </c>
      <c r="D34">
        <v>55846353</v>
      </c>
      <c r="E34">
        <v>1</v>
      </c>
      <c r="F34">
        <v>1</v>
      </c>
      <c r="G34">
        <v>1</v>
      </c>
      <c r="H34">
        <v>2</v>
      </c>
      <c r="I34" t="s">
        <v>487</v>
      </c>
      <c r="J34" t="s">
        <v>488</v>
      </c>
      <c r="K34" t="s">
        <v>489</v>
      </c>
      <c r="L34">
        <v>1367</v>
      </c>
      <c r="N34">
        <v>1011</v>
      </c>
      <c r="O34" t="s">
        <v>490</v>
      </c>
      <c r="P34" t="s">
        <v>490</v>
      </c>
      <c r="Q34">
        <v>1</v>
      </c>
      <c r="W34">
        <v>0</v>
      </c>
      <c r="X34">
        <v>1232162608</v>
      </c>
      <c r="Y34">
        <f t="shared" si="152"/>
        <v>0.32000000000000001</v>
      </c>
      <c r="AA34">
        <v>0</v>
      </c>
      <c r="AB34">
        <v>512.65999999999997</v>
      </c>
      <c r="AC34">
        <v>746.82000000000005</v>
      </c>
      <c r="AD34">
        <v>0</v>
      </c>
      <c r="AE34">
        <v>0</v>
      </c>
      <c r="AF34">
        <v>31.260000000000002</v>
      </c>
      <c r="AG34">
        <v>13.5</v>
      </c>
      <c r="AH34">
        <v>0</v>
      </c>
      <c r="AI34">
        <v>1</v>
      </c>
      <c r="AJ34">
        <v>16.399999999999999</v>
      </c>
      <c r="AK34">
        <v>55.32</v>
      </c>
      <c r="AL34">
        <v>1</v>
      </c>
      <c r="AM34">
        <v>4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242</v>
      </c>
      <c r="AT34">
        <v>0.32000000000000001</v>
      </c>
      <c r="AU34" t="s">
        <v>242</v>
      </c>
      <c r="AV34">
        <v>0</v>
      </c>
      <c r="AW34">
        <v>2</v>
      </c>
      <c r="AX34">
        <v>65099398</v>
      </c>
      <c r="AY34">
        <v>1</v>
      </c>
      <c r="AZ34">
        <v>0</v>
      </c>
      <c r="BA34">
        <v>42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V34">
        <v>0</v>
      </c>
      <c r="CW34">
        <f>ROUND(Y34*Source!I32*DO34,7)</f>
        <v>0</v>
      </c>
      <c r="CX34">
        <f>ROUND(Y34*Source!I32,7)</f>
        <v>0.096000000000000002</v>
      </c>
      <c r="CY34">
        <f t="shared" ref="CY34:CY35" si="209">AB34</f>
        <v>512.65999999999997</v>
      </c>
      <c r="CZ34">
        <f t="shared" ref="CZ34:CZ35" si="210">AF34</f>
        <v>31.260000000000002</v>
      </c>
      <c r="DA34">
        <f t="shared" ref="DA34:DA35" si="211">AJ34</f>
        <v>16.399999999999999</v>
      </c>
      <c r="DB34">
        <f t="shared" si="156"/>
        <v>10</v>
      </c>
      <c r="DC34">
        <f t="shared" si="157"/>
        <v>4.3200000000000003</v>
      </c>
      <c r="DD34" t="s">
        <v>242</v>
      </c>
      <c r="DE34" t="s">
        <v>242</v>
      </c>
      <c r="DF34">
        <f t="shared" si="191"/>
        <v>0</v>
      </c>
      <c r="DG34">
        <f t="shared" ref="DG34:DG35" si="212">ROUND(ROUND(AF34*AJ34,2)*CX34,2)</f>
        <v>49.219999999999999</v>
      </c>
      <c r="DH34">
        <f t="shared" si="207"/>
        <v>71.689999999999998</v>
      </c>
      <c r="DI34">
        <f t="shared" si="208"/>
        <v>0</v>
      </c>
      <c r="DJ34">
        <f t="shared" ref="DJ34:DJ35" si="213">DG34</f>
        <v>49.219999999999999</v>
      </c>
      <c r="DK34">
        <v>0</v>
      </c>
      <c r="DL34" t="s">
        <v>242</v>
      </c>
      <c r="DM34">
        <v>0</v>
      </c>
      <c r="DN34" t="s">
        <v>242</v>
      </c>
      <c r="DO34">
        <v>0</v>
      </c>
    </row>
    <row r="35">
      <c r="A35">
        <f>ROW(Source!A32)</f>
        <v>32</v>
      </c>
      <c r="B35">
        <v>65099320</v>
      </c>
      <c r="C35">
        <v>65099395</v>
      </c>
      <c r="D35">
        <v>55847089</v>
      </c>
      <c r="E35">
        <v>1</v>
      </c>
      <c r="F35">
        <v>1</v>
      </c>
      <c r="G35">
        <v>1</v>
      </c>
      <c r="H35">
        <v>2</v>
      </c>
      <c r="I35" t="s">
        <v>494</v>
      </c>
      <c r="J35" t="s">
        <v>495</v>
      </c>
      <c r="K35" t="s">
        <v>496</v>
      </c>
      <c r="L35">
        <v>1367</v>
      </c>
      <c r="N35">
        <v>1011</v>
      </c>
      <c r="O35" t="s">
        <v>490</v>
      </c>
      <c r="P35" t="s">
        <v>490</v>
      </c>
      <c r="Q35">
        <v>1</v>
      </c>
      <c r="W35">
        <v>0</v>
      </c>
      <c r="X35">
        <v>509054691</v>
      </c>
      <c r="Y35">
        <f t="shared" si="152"/>
        <v>0.39000000000000001</v>
      </c>
      <c r="AA35">
        <v>0</v>
      </c>
      <c r="AB35">
        <v>1077.6400000000001</v>
      </c>
      <c r="AC35">
        <v>641.71000000000004</v>
      </c>
      <c r="AD35">
        <v>0</v>
      </c>
      <c r="AE35">
        <v>0</v>
      </c>
      <c r="AF35">
        <v>65.709999999999994</v>
      </c>
      <c r="AG35">
        <v>11.6</v>
      </c>
      <c r="AH35">
        <v>0</v>
      </c>
      <c r="AI35">
        <v>1</v>
      </c>
      <c r="AJ35">
        <v>16.399999999999999</v>
      </c>
      <c r="AK35">
        <v>55.32</v>
      </c>
      <c r="AL35">
        <v>1</v>
      </c>
      <c r="AM35">
        <v>4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242</v>
      </c>
      <c r="AT35">
        <v>0.39000000000000001</v>
      </c>
      <c r="AU35" t="s">
        <v>242</v>
      </c>
      <c r="AV35">
        <v>0</v>
      </c>
      <c r="AW35">
        <v>2</v>
      </c>
      <c r="AX35">
        <v>65099399</v>
      </c>
      <c r="AY35">
        <v>1</v>
      </c>
      <c r="AZ35">
        <v>0</v>
      </c>
      <c r="BA35">
        <v>43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f>ROUND(Y35*Source!I32*DO35,7)</f>
        <v>0</v>
      </c>
      <c r="CX35">
        <f>ROUND(Y35*Source!I32,7)</f>
        <v>0.11699999999999999</v>
      </c>
      <c r="CY35">
        <f t="shared" si="209"/>
        <v>1077.6400000000001</v>
      </c>
      <c r="CZ35">
        <f t="shared" si="210"/>
        <v>65.709999999999994</v>
      </c>
      <c r="DA35">
        <f t="shared" si="211"/>
        <v>16.399999999999999</v>
      </c>
      <c r="DB35">
        <f t="shared" si="156"/>
        <v>25.629999999999999</v>
      </c>
      <c r="DC35">
        <f t="shared" si="157"/>
        <v>4.5200000000000005</v>
      </c>
      <c r="DD35" t="s">
        <v>242</v>
      </c>
      <c r="DE35" t="s">
        <v>242</v>
      </c>
      <c r="DF35">
        <f t="shared" si="191"/>
        <v>0</v>
      </c>
      <c r="DG35">
        <f t="shared" si="212"/>
        <v>126.08</v>
      </c>
      <c r="DH35">
        <f t="shared" si="207"/>
        <v>75.079999999999998</v>
      </c>
      <c r="DI35">
        <f t="shared" si="208"/>
        <v>0</v>
      </c>
      <c r="DJ35">
        <f t="shared" si="213"/>
        <v>126.08</v>
      </c>
      <c r="DK35">
        <v>0</v>
      </c>
      <c r="DL35" t="s">
        <v>242</v>
      </c>
      <c r="DM35">
        <v>0</v>
      </c>
      <c r="DN35" t="s">
        <v>242</v>
      </c>
      <c r="DO35">
        <v>0</v>
      </c>
    </row>
    <row r="36">
      <c r="A36">
        <f>ROW(Source!A32)</f>
        <v>32</v>
      </c>
      <c r="B36">
        <v>65099320</v>
      </c>
      <c r="C36">
        <v>65099395</v>
      </c>
      <c r="D36">
        <v>55697429</v>
      </c>
      <c r="E36">
        <v>1</v>
      </c>
      <c r="F36">
        <v>1</v>
      </c>
      <c r="G36">
        <v>1</v>
      </c>
      <c r="H36">
        <v>3</v>
      </c>
      <c r="I36" t="s">
        <v>524</v>
      </c>
      <c r="J36" t="s">
        <v>525</v>
      </c>
      <c r="K36" t="s">
        <v>526</v>
      </c>
      <c r="L36">
        <v>1348</v>
      </c>
      <c r="N36">
        <v>1009</v>
      </c>
      <c r="O36" t="s">
        <v>500</v>
      </c>
      <c r="P36" t="s">
        <v>500</v>
      </c>
      <c r="Q36">
        <v>1000</v>
      </c>
      <c r="W36">
        <v>0</v>
      </c>
      <c r="X36">
        <v>1511150967</v>
      </c>
      <c r="Y36">
        <f t="shared" si="152"/>
        <v>0.001</v>
      </c>
      <c r="AA36">
        <v>286786.5</v>
      </c>
      <c r="AB36">
        <v>0</v>
      </c>
      <c r="AC36">
        <v>0</v>
      </c>
      <c r="AD36">
        <v>0</v>
      </c>
      <c r="AE36">
        <v>30030</v>
      </c>
      <c r="AF36">
        <v>0</v>
      </c>
      <c r="AG36">
        <v>0</v>
      </c>
      <c r="AH36">
        <v>0</v>
      </c>
      <c r="AI36">
        <v>9.5500000000000007</v>
      </c>
      <c r="AJ36">
        <v>1</v>
      </c>
      <c r="AK36">
        <v>1</v>
      </c>
      <c r="AL36">
        <v>1</v>
      </c>
      <c r="AM36">
        <v>4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242</v>
      </c>
      <c r="AT36">
        <v>0.001</v>
      </c>
      <c r="AU36" t="s">
        <v>242</v>
      </c>
      <c r="AV36">
        <v>0</v>
      </c>
      <c r="AW36">
        <v>2</v>
      </c>
      <c r="AX36">
        <v>65099400</v>
      </c>
      <c r="AY36">
        <v>1</v>
      </c>
      <c r="AZ36">
        <v>0</v>
      </c>
      <c r="BA36">
        <v>44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v>0</v>
      </c>
      <c r="CX36">
        <f>ROUND(Y36*Source!I32,7)</f>
        <v>0.00029999999999999997</v>
      </c>
      <c r="CY36">
        <f t="shared" ref="CY36:CY46" si="214">AA36</f>
        <v>286786.5</v>
      </c>
      <c r="CZ36">
        <f t="shared" ref="CZ36:CZ46" si="215">AE36</f>
        <v>30030</v>
      </c>
      <c r="DA36">
        <f t="shared" ref="DA36:DA46" si="216">AI36</f>
        <v>9.5500000000000007</v>
      </c>
      <c r="DB36">
        <f t="shared" si="156"/>
        <v>30.030000000000001</v>
      </c>
      <c r="DC36">
        <f t="shared" si="157"/>
        <v>0</v>
      </c>
      <c r="DD36" t="s">
        <v>242</v>
      </c>
      <c r="DE36" t="s">
        <v>242</v>
      </c>
      <c r="DF36">
        <f t="shared" ref="DF36:DF46" si="217">ROUND(ROUND(AE36*AI36,2)*CX36,2)</f>
        <v>86.040000000000006</v>
      </c>
      <c r="DG36">
        <f t="shared" ref="DG36:DG48" si="218">ROUND(ROUND(AF36,2)*CX36,2)</f>
        <v>0</v>
      </c>
      <c r="DH36">
        <f t="shared" ref="DH36:DH47" si="219">ROUND(ROUND(AG36,2)*CX36,2)</f>
        <v>0</v>
      </c>
      <c r="DI36">
        <f t="shared" si="208"/>
        <v>0</v>
      </c>
      <c r="DJ36">
        <f t="shared" ref="DJ36:DJ46" si="220">DF36</f>
        <v>86.040000000000006</v>
      </c>
      <c r="DK36">
        <v>0</v>
      </c>
      <c r="DL36" t="s">
        <v>242</v>
      </c>
      <c r="DM36">
        <v>0</v>
      </c>
      <c r="DN36" t="s">
        <v>242</v>
      </c>
      <c r="DO36">
        <v>0</v>
      </c>
    </row>
    <row r="37">
      <c r="A37">
        <f>ROW(Source!A32)</f>
        <v>32</v>
      </c>
      <c r="B37">
        <v>65099320</v>
      </c>
      <c r="C37">
        <v>65099395</v>
      </c>
      <c r="D37">
        <v>55697437</v>
      </c>
      <c r="E37">
        <v>1</v>
      </c>
      <c r="F37">
        <v>1</v>
      </c>
      <c r="G37">
        <v>1</v>
      </c>
      <c r="H37">
        <v>3</v>
      </c>
      <c r="I37" t="s">
        <v>527</v>
      </c>
      <c r="J37" t="s">
        <v>528</v>
      </c>
      <c r="K37" t="s">
        <v>529</v>
      </c>
      <c r="L37">
        <v>1346</v>
      </c>
      <c r="N37">
        <v>1009</v>
      </c>
      <c r="O37" t="s">
        <v>322</v>
      </c>
      <c r="P37" t="s">
        <v>322</v>
      </c>
      <c r="Q37">
        <v>1</v>
      </c>
      <c r="W37">
        <v>0</v>
      </c>
      <c r="X37">
        <v>-617477323</v>
      </c>
      <c r="Y37">
        <f t="shared" si="152"/>
        <v>0.040000000000000001</v>
      </c>
      <c r="AA37">
        <v>356.12</v>
      </c>
      <c r="AB37">
        <v>0</v>
      </c>
      <c r="AC37">
        <v>0</v>
      </c>
      <c r="AD37">
        <v>0</v>
      </c>
      <c r="AE37">
        <v>37.289999999999999</v>
      </c>
      <c r="AF37">
        <v>0</v>
      </c>
      <c r="AG37">
        <v>0</v>
      </c>
      <c r="AH37">
        <v>0</v>
      </c>
      <c r="AI37">
        <v>9.5500000000000007</v>
      </c>
      <c r="AJ37">
        <v>1</v>
      </c>
      <c r="AK37">
        <v>1</v>
      </c>
      <c r="AL37">
        <v>1</v>
      </c>
      <c r="AM37">
        <v>4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242</v>
      </c>
      <c r="AT37">
        <v>0.040000000000000001</v>
      </c>
      <c r="AU37" t="s">
        <v>242</v>
      </c>
      <c r="AV37">
        <v>0</v>
      </c>
      <c r="AW37">
        <v>2</v>
      </c>
      <c r="AX37">
        <v>65099401</v>
      </c>
      <c r="AY37">
        <v>1</v>
      </c>
      <c r="AZ37">
        <v>0</v>
      </c>
      <c r="BA37">
        <v>45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v>0</v>
      </c>
      <c r="CX37">
        <f>ROUND(Y37*Source!I32,7)</f>
        <v>0.012</v>
      </c>
      <c r="CY37">
        <f t="shared" si="214"/>
        <v>356.12</v>
      </c>
      <c r="CZ37">
        <f t="shared" si="215"/>
        <v>37.289999999999999</v>
      </c>
      <c r="DA37">
        <f t="shared" si="216"/>
        <v>9.5500000000000007</v>
      </c>
      <c r="DB37">
        <f t="shared" si="156"/>
        <v>1.49</v>
      </c>
      <c r="DC37">
        <f t="shared" si="157"/>
        <v>0</v>
      </c>
      <c r="DD37" t="s">
        <v>242</v>
      </c>
      <c r="DE37" t="s">
        <v>242</v>
      </c>
      <c r="DF37">
        <f t="shared" si="217"/>
        <v>4.2700000000000005</v>
      </c>
      <c r="DG37">
        <f t="shared" si="218"/>
        <v>0</v>
      </c>
      <c r="DH37">
        <f t="shared" si="219"/>
        <v>0</v>
      </c>
      <c r="DI37">
        <f t="shared" si="208"/>
        <v>0</v>
      </c>
      <c r="DJ37">
        <f t="shared" si="220"/>
        <v>4.2700000000000005</v>
      </c>
      <c r="DK37">
        <v>0</v>
      </c>
      <c r="DL37" t="s">
        <v>242</v>
      </c>
      <c r="DM37">
        <v>0</v>
      </c>
      <c r="DN37" t="s">
        <v>242</v>
      </c>
      <c r="DO37">
        <v>0</v>
      </c>
    </row>
    <row r="38">
      <c r="A38">
        <f>ROW(Source!A32)</f>
        <v>32</v>
      </c>
      <c r="B38">
        <v>65099320</v>
      </c>
      <c r="C38">
        <v>65099395</v>
      </c>
      <c r="D38">
        <v>55699209</v>
      </c>
      <c r="E38">
        <v>1</v>
      </c>
      <c r="F38">
        <v>1</v>
      </c>
      <c r="G38">
        <v>1</v>
      </c>
      <c r="H38">
        <v>3</v>
      </c>
      <c r="I38" t="s">
        <v>530</v>
      </c>
      <c r="J38" t="s">
        <v>531</v>
      </c>
      <c r="K38" t="s">
        <v>532</v>
      </c>
      <c r="L38">
        <v>1407</v>
      </c>
      <c r="N38">
        <v>1013</v>
      </c>
      <c r="O38" t="s">
        <v>533</v>
      </c>
      <c r="P38" t="s">
        <v>533</v>
      </c>
      <c r="Q38">
        <v>1</v>
      </c>
      <c r="W38">
        <v>0</v>
      </c>
      <c r="X38">
        <v>-691834983</v>
      </c>
      <c r="Y38">
        <f t="shared" si="152"/>
        <v>0.040000000000000001</v>
      </c>
      <c r="AA38">
        <v>1719</v>
      </c>
      <c r="AB38">
        <v>0</v>
      </c>
      <c r="AC38">
        <v>0</v>
      </c>
      <c r="AD38">
        <v>0</v>
      </c>
      <c r="AE38">
        <v>180</v>
      </c>
      <c r="AF38">
        <v>0</v>
      </c>
      <c r="AG38">
        <v>0</v>
      </c>
      <c r="AH38">
        <v>0</v>
      </c>
      <c r="AI38">
        <v>9.5500000000000007</v>
      </c>
      <c r="AJ38">
        <v>1</v>
      </c>
      <c r="AK38">
        <v>1</v>
      </c>
      <c r="AL38">
        <v>1</v>
      </c>
      <c r="AM38">
        <v>4</v>
      </c>
      <c r="AN38">
        <v>0</v>
      </c>
      <c r="AO38">
        <v>1</v>
      </c>
      <c r="AP38">
        <v>1</v>
      </c>
      <c r="AQ38">
        <v>0</v>
      </c>
      <c r="AR38">
        <v>0</v>
      </c>
      <c r="AS38" t="s">
        <v>242</v>
      </c>
      <c r="AT38">
        <v>0.040000000000000001</v>
      </c>
      <c r="AU38" t="s">
        <v>242</v>
      </c>
      <c r="AV38">
        <v>0</v>
      </c>
      <c r="AW38">
        <v>2</v>
      </c>
      <c r="AX38">
        <v>65099402</v>
      </c>
      <c r="AY38">
        <v>1</v>
      </c>
      <c r="AZ38">
        <v>0</v>
      </c>
      <c r="BA38">
        <v>46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ROUND(Y38*Source!I32,7)</f>
        <v>0.012</v>
      </c>
      <c r="CY38">
        <f t="shared" si="214"/>
        <v>1719</v>
      </c>
      <c r="CZ38">
        <f t="shared" si="215"/>
        <v>180</v>
      </c>
      <c r="DA38">
        <f t="shared" si="216"/>
        <v>9.5500000000000007</v>
      </c>
      <c r="DB38">
        <f t="shared" si="156"/>
        <v>7.2000000000000002</v>
      </c>
      <c r="DC38">
        <f t="shared" si="157"/>
        <v>0</v>
      </c>
      <c r="DD38" t="s">
        <v>242</v>
      </c>
      <c r="DE38" t="s">
        <v>242</v>
      </c>
      <c r="DF38">
        <f t="shared" si="217"/>
        <v>20.629999999999999</v>
      </c>
      <c r="DG38">
        <f t="shared" si="218"/>
        <v>0</v>
      </c>
      <c r="DH38">
        <f t="shared" si="219"/>
        <v>0</v>
      </c>
      <c r="DI38">
        <f t="shared" si="208"/>
        <v>0</v>
      </c>
      <c r="DJ38">
        <f t="shared" si="220"/>
        <v>20.629999999999999</v>
      </c>
      <c r="DK38">
        <v>0</v>
      </c>
      <c r="DL38" t="s">
        <v>242</v>
      </c>
      <c r="DM38">
        <v>0</v>
      </c>
      <c r="DN38" t="s">
        <v>242</v>
      </c>
      <c r="DO38">
        <v>0</v>
      </c>
    </row>
    <row r="39">
      <c r="A39">
        <f>ROW(Source!A32)</f>
        <v>32</v>
      </c>
      <c r="B39">
        <v>65099320</v>
      </c>
      <c r="C39">
        <v>65099395</v>
      </c>
      <c r="D39">
        <v>55699354</v>
      </c>
      <c r="E39">
        <v>1</v>
      </c>
      <c r="F39">
        <v>1</v>
      </c>
      <c r="G39">
        <v>1</v>
      </c>
      <c r="H39">
        <v>3</v>
      </c>
      <c r="I39" t="s">
        <v>534</v>
      </c>
      <c r="J39" t="s">
        <v>535</v>
      </c>
      <c r="K39" t="s">
        <v>536</v>
      </c>
      <c r="L39">
        <v>1346</v>
      </c>
      <c r="N39">
        <v>1009</v>
      </c>
      <c r="O39" t="s">
        <v>322</v>
      </c>
      <c r="P39" t="s">
        <v>322</v>
      </c>
      <c r="Q39">
        <v>1</v>
      </c>
      <c r="W39">
        <v>0</v>
      </c>
      <c r="X39">
        <v>1126651193</v>
      </c>
      <c r="Y39">
        <f t="shared" si="152"/>
        <v>20</v>
      </c>
      <c r="AA39">
        <v>62.079999999999998</v>
      </c>
      <c r="AB39">
        <v>0</v>
      </c>
      <c r="AC39">
        <v>0</v>
      </c>
      <c r="AD39">
        <v>0</v>
      </c>
      <c r="AE39">
        <v>6.5</v>
      </c>
      <c r="AF39">
        <v>0</v>
      </c>
      <c r="AG39">
        <v>0</v>
      </c>
      <c r="AH39">
        <v>0</v>
      </c>
      <c r="AI39">
        <v>9.5500000000000007</v>
      </c>
      <c r="AJ39">
        <v>1</v>
      </c>
      <c r="AK39">
        <v>1</v>
      </c>
      <c r="AL39">
        <v>1</v>
      </c>
      <c r="AM39">
        <v>4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242</v>
      </c>
      <c r="AT39">
        <v>20</v>
      </c>
      <c r="AU39" t="s">
        <v>242</v>
      </c>
      <c r="AV39">
        <v>0</v>
      </c>
      <c r="AW39">
        <v>2</v>
      </c>
      <c r="AX39">
        <v>65099403</v>
      </c>
      <c r="AY39">
        <v>1</v>
      </c>
      <c r="AZ39">
        <v>0</v>
      </c>
      <c r="BA39">
        <v>47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V39">
        <v>0</v>
      </c>
      <c r="CW39">
        <v>0</v>
      </c>
      <c r="CX39">
        <f>ROUND(Y39*Source!I32,7)</f>
        <v>6</v>
      </c>
      <c r="CY39">
        <f t="shared" si="214"/>
        <v>62.079999999999998</v>
      </c>
      <c r="CZ39">
        <f t="shared" si="215"/>
        <v>6.5</v>
      </c>
      <c r="DA39">
        <f t="shared" si="216"/>
        <v>9.5500000000000007</v>
      </c>
      <c r="DB39">
        <f t="shared" si="156"/>
        <v>130</v>
      </c>
      <c r="DC39">
        <f t="shared" si="157"/>
        <v>0</v>
      </c>
      <c r="DD39" t="s">
        <v>242</v>
      </c>
      <c r="DE39" t="s">
        <v>242</v>
      </c>
      <c r="DF39">
        <f t="shared" si="217"/>
        <v>372.48000000000002</v>
      </c>
      <c r="DG39">
        <f t="shared" si="218"/>
        <v>0</v>
      </c>
      <c r="DH39">
        <f t="shared" si="219"/>
        <v>0</v>
      </c>
      <c r="DI39">
        <f t="shared" si="208"/>
        <v>0</v>
      </c>
      <c r="DJ39">
        <f t="shared" si="220"/>
        <v>372.48000000000002</v>
      </c>
      <c r="DK39">
        <v>0</v>
      </c>
      <c r="DL39" t="s">
        <v>242</v>
      </c>
      <c r="DM39">
        <v>0</v>
      </c>
      <c r="DN39" t="s">
        <v>242</v>
      </c>
      <c r="DO39">
        <v>0</v>
      </c>
    </row>
    <row r="40">
      <c r="A40">
        <f>ROW(Source!A32)</f>
        <v>32</v>
      </c>
      <c r="B40">
        <v>65099320</v>
      </c>
      <c r="C40">
        <v>65099395</v>
      </c>
      <c r="D40">
        <v>55699587</v>
      </c>
      <c r="E40">
        <v>1</v>
      </c>
      <c r="F40">
        <v>1</v>
      </c>
      <c r="G40">
        <v>1</v>
      </c>
      <c r="H40">
        <v>3</v>
      </c>
      <c r="I40" t="s">
        <v>537</v>
      </c>
      <c r="J40" t="s">
        <v>538</v>
      </c>
      <c r="K40" t="s">
        <v>539</v>
      </c>
      <c r="L40">
        <v>1348</v>
      </c>
      <c r="N40">
        <v>1009</v>
      </c>
      <c r="O40" t="s">
        <v>500</v>
      </c>
      <c r="P40" t="s">
        <v>500</v>
      </c>
      <c r="Q40">
        <v>1000</v>
      </c>
      <c r="W40">
        <v>0</v>
      </c>
      <c r="X40">
        <v>-263072444</v>
      </c>
      <c r="Y40">
        <f t="shared" si="152"/>
        <v>0.00050000000000000001</v>
      </c>
      <c r="AA40">
        <v>118706.5</v>
      </c>
      <c r="AB40">
        <v>0</v>
      </c>
      <c r="AC40">
        <v>0</v>
      </c>
      <c r="AD40">
        <v>0</v>
      </c>
      <c r="AE40">
        <v>12430</v>
      </c>
      <c r="AF40">
        <v>0</v>
      </c>
      <c r="AG40">
        <v>0</v>
      </c>
      <c r="AH40">
        <v>0</v>
      </c>
      <c r="AI40">
        <v>9.5500000000000007</v>
      </c>
      <c r="AJ40">
        <v>1</v>
      </c>
      <c r="AK40">
        <v>1</v>
      </c>
      <c r="AL40">
        <v>1</v>
      </c>
      <c r="AM40">
        <v>4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242</v>
      </c>
      <c r="AT40">
        <v>0.00050000000000000001</v>
      </c>
      <c r="AU40" t="s">
        <v>242</v>
      </c>
      <c r="AV40">
        <v>0</v>
      </c>
      <c r="AW40">
        <v>2</v>
      </c>
      <c r="AX40">
        <v>65099404</v>
      </c>
      <c r="AY40">
        <v>1</v>
      </c>
      <c r="AZ40">
        <v>0</v>
      </c>
      <c r="BA40">
        <v>48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V40">
        <v>0</v>
      </c>
      <c r="CW40">
        <v>0</v>
      </c>
      <c r="CX40">
        <f>ROUND(Y40*Source!I32,7)</f>
        <v>0.00014999999999999999</v>
      </c>
      <c r="CY40">
        <f t="shared" si="214"/>
        <v>118706.5</v>
      </c>
      <c r="CZ40">
        <f t="shared" si="215"/>
        <v>12430</v>
      </c>
      <c r="DA40">
        <f t="shared" si="216"/>
        <v>9.5500000000000007</v>
      </c>
      <c r="DB40">
        <f t="shared" si="156"/>
        <v>6.2199999999999998</v>
      </c>
      <c r="DC40">
        <f t="shared" si="157"/>
        <v>0</v>
      </c>
      <c r="DD40" t="s">
        <v>242</v>
      </c>
      <c r="DE40" t="s">
        <v>242</v>
      </c>
      <c r="DF40">
        <f t="shared" si="217"/>
        <v>17.809999999999999</v>
      </c>
      <c r="DG40">
        <f t="shared" si="218"/>
        <v>0</v>
      </c>
      <c r="DH40">
        <f t="shared" si="219"/>
        <v>0</v>
      </c>
      <c r="DI40">
        <f t="shared" si="208"/>
        <v>0</v>
      </c>
      <c r="DJ40">
        <f t="shared" si="220"/>
        <v>17.809999999999999</v>
      </c>
      <c r="DK40">
        <v>0</v>
      </c>
      <c r="DL40" t="s">
        <v>242</v>
      </c>
      <c r="DM40">
        <v>0</v>
      </c>
      <c r="DN40" t="s">
        <v>242</v>
      </c>
      <c r="DO40">
        <v>0</v>
      </c>
    </row>
    <row r="41">
      <c r="A41">
        <f>ROW(Source!A32)</f>
        <v>32</v>
      </c>
      <c r="B41">
        <v>65099320</v>
      </c>
      <c r="C41">
        <v>65099395</v>
      </c>
      <c r="D41">
        <v>55700069</v>
      </c>
      <c r="E41">
        <v>1</v>
      </c>
      <c r="F41">
        <v>1</v>
      </c>
      <c r="G41">
        <v>1</v>
      </c>
      <c r="H41">
        <v>3</v>
      </c>
      <c r="I41" t="s">
        <v>540</v>
      </c>
      <c r="J41" t="s">
        <v>541</v>
      </c>
      <c r="K41" t="s">
        <v>542</v>
      </c>
      <c r="L41">
        <v>1346</v>
      </c>
      <c r="N41">
        <v>1009</v>
      </c>
      <c r="O41" t="s">
        <v>322</v>
      </c>
      <c r="P41" t="s">
        <v>322</v>
      </c>
      <c r="Q41">
        <v>1</v>
      </c>
      <c r="W41">
        <v>0</v>
      </c>
      <c r="X41">
        <v>1057479617</v>
      </c>
      <c r="Y41">
        <f t="shared" si="152"/>
        <v>0.80000000000000004</v>
      </c>
      <c r="AA41">
        <v>129.5</v>
      </c>
      <c r="AB41">
        <v>0</v>
      </c>
      <c r="AC41">
        <v>0</v>
      </c>
      <c r="AD41">
        <v>0</v>
      </c>
      <c r="AE41">
        <v>13.56</v>
      </c>
      <c r="AF41">
        <v>0</v>
      </c>
      <c r="AG41">
        <v>0</v>
      </c>
      <c r="AH41">
        <v>0</v>
      </c>
      <c r="AI41">
        <v>9.5500000000000007</v>
      </c>
      <c r="AJ41">
        <v>1</v>
      </c>
      <c r="AK41">
        <v>1</v>
      </c>
      <c r="AL41">
        <v>1</v>
      </c>
      <c r="AM41">
        <v>4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242</v>
      </c>
      <c r="AT41">
        <v>0.80000000000000004</v>
      </c>
      <c r="AU41" t="s">
        <v>242</v>
      </c>
      <c r="AV41">
        <v>0</v>
      </c>
      <c r="AW41">
        <v>2</v>
      </c>
      <c r="AX41">
        <v>65099405</v>
      </c>
      <c r="AY41">
        <v>1</v>
      </c>
      <c r="AZ41">
        <v>0</v>
      </c>
      <c r="BA41">
        <v>49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ROUND(Y41*Source!I32,7)</f>
        <v>0.23999999999999999</v>
      </c>
      <c r="CY41">
        <f t="shared" si="214"/>
        <v>129.5</v>
      </c>
      <c r="CZ41">
        <f t="shared" si="215"/>
        <v>13.56</v>
      </c>
      <c r="DA41">
        <f t="shared" si="216"/>
        <v>9.5500000000000007</v>
      </c>
      <c r="DB41">
        <f t="shared" si="156"/>
        <v>10.85</v>
      </c>
      <c r="DC41">
        <f t="shared" si="157"/>
        <v>0</v>
      </c>
      <c r="DD41" t="s">
        <v>242</v>
      </c>
      <c r="DE41" t="s">
        <v>242</v>
      </c>
      <c r="DF41">
        <f t="shared" si="217"/>
        <v>31.080000000000002</v>
      </c>
      <c r="DG41">
        <f t="shared" si="218"/>
        <v>0</v>
      </c>
      <c r="DH41">
        <f t="shared" si="219"/>
        <v>0</v>
      </c>
      <c r="DI41">
        <f t="shared" si="208"/>
        <v>0</v>
      </c>
      <c r="DJ41">
        <f t="shared" si="220"/>
        <v>31.080000000000002</v>
      </c>
      <c r="DK41">
        <v>0</v>
      </c>
      <c r="DL41" t="s">
        <v>242</v>
      </c>
      <c r="DM41">
        <v>0</v>
      </c>
      <c r="DN41" t="s">
        <v>242</v>
      </c>
      <c r="DO41">
        <v>0</v>
      </c>
    </row>
    <row r="42">
      <c r="A42">
        <f>ROW(Source!A32)</f>
        <v>32</v>
      </c>
      <c r="B42">
        <v>65099320</v>
      </c>
      <c r="C42">
        <v>65099395</v>
      </c>
      <c r="D42">
        <v>55727022</v>
      </c>
      <c r="E42">
        <v>1</v>
      </c>
      <c r="F42">
        <v>1</v>
      </c>
      <c r="G42">
        <v>1</v>
      </c>
      <c r="H42">
        <v>3</v>
      </c>
      <c r="I42" t="s">
        <v>543</v>
      </c>
      <c r="J42" t="s">
        <v>544</v>
      </c>
      <c r="K42" t="s">
        <v>545</v>
      </c>
      <c r="L42">
        <v>1348</v>
      </c>
      <c r="N42">
        <v>1009</v>
      </c>
      <c r="O42" t="s">
        <v>500</v>
      </c>
      <c r="P42" t="s">
        <v>500</v>
      </c>
      <c r="Q42">
        <v>1000</v>
      </c>
      <c r="W42">
        <v>0</v>
      </c>
      <c r="X42">
        <v>-1249595954</v>
      </c>
      <c r="Y42">
        <f t="shared" si="152"/>
        <v>0.00080000000000000004</v>
      </c>
      <c r="AA42">
        <v>117751.5</v>
      </c>
      <c r="AB42">
        <v>0</v>
      </c>
      <c r="AC42">
        <v>0</v>
      </c>
      <c r="AD42">
        <v>0</v>
      </c>
      <c r="AE42">
        <v>12330</v>
      </c>
      <c r="AF42">
        <v>0</v>
      </c>
      <c r="AG42">
        <v>0</v>
      </c>
      <c r="AH42">
        <v>0</v>
      </c>
      <c r="AI42">
        <v>9.5500000000000007</v>
      </c>
      <c r="AJ42">
        <v>1</v>
      </c>
      <c r="AK42">
        <v>1</v>
      </c>
      <c r="AL42">
        <v>1</v>
      </c>
      <c r="AM42">
        <v>4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242</v>
      </c>
      <c r="AT42">
        <v>0.00080000000000000004</v>
      </c>
      <c r="AU42" t="s">
        <v>242</v>
      </c>
      <c r="AV42">
        <v>0</v>
      </c>
      <c r="AW42">
        <v>2</v>
      </c>
      <c r="AX42">
        <v>65099406</v>
      </c>
      <c r="AY42">
        <v>1</v>
      </c>
      <c r="AZ42">
        <v>0</v>
      </c>
      <c r="BA42">
        <v>50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ROUND(Y42*Source!I32,7)</f>
        <v>0.00023999999999999998</v>
      </c>
      <c r="CY42">
        <f t="shared" si="214"/>
        <v>117751.5</v>
      </c>
      <c r="CZ42">
        <f t="shared" si="215"/>
        <v>12330</v>
      </c>
      <c r="DA42">
        <f t="shared" si="216"/>
        <v>9.5500000000000007</v>
      </c>
      <c r="DB42">
        <f t="shared" si="156"/>
        <v>9.8599999999999994</v>
      </c>
      <c r="DC42">
        <f t="shared" si="157"/>
        <v>0</v>
      </c>
      <c r="DD42" t="s">
        <v>242</v>
      </c>
      <c r="DE42" t="s">
        <v>242</v>
      </c>
      <c r="DF42">
        <f t="shared" si="217"/>
        <v>28.260000000000002</v>
      </c>
      <c r="DG42">
        <f t="shared" si="218"/>
        <v>0</v>
      </c>
      <c r="DH42">
        <f t="shared" si="219"/>
        <v>0</v>
      </c>
      <c r="DI42">
        <f t="shared" si="208"/>
        <v>0</v>
      </c>
      <c r="DJ42">
        <f t="shared" si="220"/>
        <v>28.260000000000002</v>
      </c>
      <c r="DK42">
        <v>0</v>
      </c>
      <c r="DL42" t="s">
        <v>242</v>
      </c>
      <c r="DM42">
        <v>0</v>
      </c>
      <c r="DN42" t="s">
        <v>242</v>
      </c>
      <c r="DO42">
        <v>0</v>
      </c>
    </row>
    <row r="43">
      <c r="A43">
        <f>ROW(Source!A32)</f>
        <v>32</v>
      </c>
      <c r="B43">
        <v>65099320</v>
      </c>
      <c r="C43">
        <v>65099395</v>
      </c>
      <c r="D43">
        <v>55728086</v>
      </c>
      <c r="E43">
        <v>1</v>
      </c>
      <c r="F43">
        <v>1</v>
      </c>
      <c r="G43">
        <v>1</v>
      </c>
      <c r="H43">
        <v>3</v>
      </c>
      <c r="I43" t="s">
        <v>546</v>
      </c>
      <c r="J43" t="s">
        <v>547</v>
      </c>
      <c r="K43" t="s">
        <v>548</v>
      </c>
      <c r="L43">
        <v>1346</v>
      </c>
      <c r="N43">
        <v>1009</v>
      </c>
      <c r="O43" t="s">
        <v>322</v>
      </c>
      <c r="P43" t="s">
        <v>322</v>
      </c>
      <c r="Q43">
        <v>1</v>
      </c>
      <c r="W43">
        <v>0</v>
      </c>
      <c r="X43">
        <v>639726700</v>
      </c>
      <c r="Y43">
        <f t="shared" si="152"/>
        <v>0.40000000000000002</v>
      </c>
      <c r="AA43">
        <v>144.40000000000001</v>
      </c>
      <c r="AB43">
        <v>0</v>
      </c>
      <c r="AC43">
        <v>0</v>
      </c>
      <c r="AD43">
        <v>0</v>
      </c>
      <c r="AE43">
        <v>15.119999999999999</v>
      </c>
      <c r="AF43">
        <v>0</v>
      </c>
      <c r="AG43">
        <v>0</v>
      </c>
      <c r="AH43">
        <v>0</v>
      </c>
      <c r="AI43">
        <v>9.5500000000000007</v>
      </c>
      <c r="AJ43">
        <v>1</v>
      </c>
      <c r="AK43">
        <v>1</v>
      </c>
      <c r="AL43">
        <v>1</v>
      </c>
      <c r="AM43">
        <v>4</v>
      </c>
      <c r="AN43">
        <v>0</v>
      </c>
      <c r="AO43">
        <v>1</v>
      </c>
      <c r="AP43">
        <v>1</v>
      </c>
      <c r="AQ43">
        <v>0</v>
      </c>
      <c r="AR43">
        <v>0</v>
      </c>
      <c r="AS43" t="s">
        <v>242</v>
      </c>
      <c r="AT43">
        <v>0.40000000000000002</v>
      </c>
      <c r="AU43" t="s">
        <v>242</v>
      </c>
      <c r="AV43">
        <v>0</v>
      </c>
      <c r="AW43">
        <v>2</v>
      </c>
      <c r="AX43">
        <v>65099407</v>
      </c>
      <c r="AY43">
        <v>1</v>
      </c>
      <c r="AZ43">
        <v>0</v>
      </c>
      <c r="BA43">
        <v>51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v>0</v>
      </c>
      <c r="CX43">
        <f>ROUND(Y43*Source!I32,7)</f>
        <v>0.12</v>
      </c>
      <c r="CY43">
        <f t="shared" si="214"/>
        <v>144.40000000000001</v>
      </c>
      <c r="CZ43">
        <f t="shared" si="215"/>
        <v>15.119999999999999</v>
      </c>
      <c r="DA43">
        <f t="shared" si="216"/>
        <v>9.5500000000000007</v>
      </c>
      <c r="DB43">
        <f t="shared" si="156"/>
        <v>6.0499999999999998</v>
      </c>
      <c r="DC43">
        <f t="shared" si="157"/>
        <v>0</v>
      </c>
      <c r="DD43" t="s">
        <v>242</v>
      </c>
      <c r="DE43" t="s">
        <v>242</v>
      </c>
      <c r="DF43">
        <f t="shared" si="217"/>
        <v>17.330000000000002</v>
      </c>
      <c r="DG43">
        <f t="shared" si="218"/>
        <v>0</v>
      </c>
      <c r="DH43">
        <f t="shared" si="219"/>
        <v>0</v>
      </c>
      <c r="DI43">
        <f t="shared" si="208"/>
        <v>0</v>
      </c>
      <c r="DJ43">
        <f t="shared" si="220"/>
        <v>17.330000000000002</v>
      </c>
      <c r="DK43">
        <v>0</v>
      </c>
      <c r="DL43" t="s">
        <v>242</v>
      </c>
      <c r="DM43">
        <v>0</v>
      </c>
      <c r="DN43" t="s">
        <v>242</v>
      </c>
      <c r="DO43">
        <v>0</v>
      </c>
    </row>
    <row r="44">
      <c r="A44">
        <f>ROW(Source!A32)</f>
        <v>32</v>
      </c>
      <c r="B44">
        <v>65099320</v>
      </c>
      <c r="C44">
        <v>65099395</v>
      </c>
      <c r="D44">
        <v>55728687</v>
      </c>
      <c r="E44">
        <v>1</v>
      </c>
      <c r="F44">
        <v>1</v>
      </c>
      <c r="G44">
        <v>1</v>
      </c>
      <c r="H44">
        <v>3</v>
      </c>
      <c r="I44" t="s">
        <v>549</v>
      </c>
      <c r="J44" t="s">
        <v>550</v>
      </c>
      <c r="K44" t="s">
        <v>551</v>
      </c>
      <c r="L44">
        <v>1346</v>
      </c>
      <c r="N44">
        <v>1009</v>
      </c>
      <c r="O44" t="s">
        <v>322</v>
      </c>
      <c r="P44" t="s">
        <v>322</v>
      </c>
      <c r="Q44">
        <v>1</v>
      </c>
      <c r="W44">
        <v>0</v>
      </c>
      <c r="X44">
        <v>991942845</v>
      </c>
      <c r="Y44">
        <f t="shared" si="152"/>
        <v>4</v>
      </c>
      <c r="AA44">
        <v>187.28</v>
      </c>
      <c r="AB44">
        <v>0</v>
      </c>
      <c r="AC44">
        <v>0</v>
      </c>
      <c r="AD44">
        <v>0</v>
      </c>
      <c r="AE44">
        <v>19.609999999999999</v>
      </c>
      <c r="AF44">
        <v>0</v>
      </c>
      <c r="AG44">
        <v>0</v>
      </c>
      <c r="AH44">
        <v>0</v>
      </c>
      <c r="AI44">
        <v>9.5500000000000007</v>
      </c>
      <c r="AJ44">
        <v>1</v>
      </c>
      <c r="AK44">
        <v>1</v>
      </c>
      <c r="AL44">
        <v>1</v>
      </c>
      <c r="AM44">
        <v>4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242</v>
      </c>
      <c r="AT44">
        <v>4</v>
      </c>
      <c r="AU44" t="s">
        <v>242</v>
      </c>
      <c r="AV44">
        <v>0</v>
      </c>
      <c r="AW44">
        <v>2</v>
      </c>
      <c r="AX44">
        <v>65099408</v>
      </c>
      <c r="AY44">
        <v>1</v>
      </c>
      <c r="AZ44">
        <v>0</v>
      </c>
      <c r="BA44">
        <v>52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ROUND(Y44*Source!I32,7)</f>
        <v>1.2</v>
      </c>
      <c r="CY44">
        <f t="shared" si="214"/>
        <v>187.28</v>
      </c>
      <c r="CZ44">
        <f t="shared" si="215"/>
        <v>19.609999999999999</v>
      </c>
      <c r="DA44">
        <f t="shared" si="216"/>
        <v>9.5500000000000007</v>
      </c>
      <c r="DB44">
        <f t="shared" si="156"/>
        <v>78.439999999999998</v>
      </c>
      <c r="DC44">
        <f t="shared" si="157"/>
        <v>0</v>
      </c>
      <c r="DD44" t="s">
        <v>242</v>
      </c>
      <c r="DE44" t="s">
        <v>242</v>
      </c>
      <c r="DF44">
        <f t="shared" si="217"/>
        <v>224.74000000000001</v>
      </c>
      <c r="DG44">
        <f t="shared" si="218"/>
        <v>0</v>
      </c>
      <c r="DH44">
        <f t="shared" si="219"/>
        <v>0</v>
      </c>
      <c r="DI44">
        <f t="shared" si="208"/>
        <v>0</v>
      </c>
      <c r="DJ44">
        <f t="shared" si="220"/>
        <v>224.74000000000001</v>
      </c>
      <c r="DK44">
        <v>0</v>
      </c>
      <c r="DL44" t="s">
        <v>242</v>
      </c>
      <c r="DM44">
        <v>0</v>
      </c>
      <c r="DN44" t="s">
        <v>242</v>
      </c>
      <c r="DO44">
        <v>0</v>
      </c>
    </row>
    <row r="45">
      <c r="A45">
        <f>ROW(Source!A32)</f>
        <v>32</v>
      </c>
      <c r="B45">
        <v>65099320</v>
      </c>
      <c r="C45">
        <v>65099395</v>
      </c>
      <c r="D45">
        <v>55728774</v>
      </c>
      <c r="E45">
        <v>1</v>
      </c>
      <c r="F45">
        <v>1</v>
      </c>
      <c r="G45">
        <v>1</v>
      </c>
      <c r="H45">
        <v>3</v>
      </c>
      <c r="I45" t="s">
        <v>552</v>
      </c>
      <c r="J45" t="s">
        <v>553</v>
      </c>
      <c r="K45" t="s">
        <v>554</v>
      </c>
      <c r="L45">
        <v>1348</v>
      </c>
      <c r="N45">
        <v>1009</v>
      </c>
      <c r="O45" t="s">
        <v>500</v>
      </c>
      <c r="P45" t="s">
        <v>500</v>
      </c>
      <c r="Q45">
        <v>1000</v>
      </c>
      <c r="W45">
        <v>0</v>
      </c>
      <c r="X45">
        <v>859929720</v>
      </c>
      <c r="Y45">
        <f t="shared" si="152"/>
        <v>0.00020000000000000001</v>
      </c>
      <c r="AA45">
        <v>161872.5</v>
      </c>
      <c r="AB45">
        <v>0</v>
      </c>
      <c r="AC45">
        <v>0</v>
      </c>
      <c r="AD45">
        <v>0</v>
      </c>
      <c r="AE45">
        <v>16950</v>
      </c>
      <c r="AF45">
        <v>0</v>
      </c>
      <c r="AG45">
        <v>0</v>
      </c>
      <c r="AH45">
        <v>0</v>
      </c>
      <c r="AI45">
        <v>9.5500000000000007</v>
      </c>
      <c r="AJ45">
        <v>1</v>
      </c>
      <c r="AK45">
        <v>1</v>
      </c>
      <c r="AL45">
        <v>1</v>
      </c>
      <c r="AM45">
        <v>4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242</v>
      </c>
      <c r="AT45">
        <v>0.00020000000000000001</v>
      </c>
      <c r="AU45" t="s">
        <v>242</v>
      </c>
      <c r="AV45">
        <v>0</v>
      </c>
      <c r="AW45">
        <v>2</v>
      </c>
      <c r="AX45">
        <v>65099409</v>
      </c>
      <c r="AY45">
        <v>1</v>
      </c>
      <c r="AZ45">
        <v>0</v>
      </c>
      <c r="BA45">
        <v>53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V45">
        <v>0</v>
      </c>
      <c r="CW45">
        <v>0</v>
      </c>
      <c r="CX45">
        <f>ROUND(Y45*Source!I32,7)</f>
        <v>5.9999999999999995e-05</v>
      </c>
      <c r="CY45">
        <f t="shared" si="214"/>
        <v>161872.5</v>
      </c>
      <c r="CZ45">
        <f t="shared" si="215"/>
        <v>16950</v>
      </c>
      <c r="DA45">
        <f t="shared" si="216"/>
        <v>9.5500000000000007</v>
      </c>
      <c r="DB45">
        <f t="shared" si="156"/>
        <v>3.3900000000000001</v>
      </c>
      <c r="DC45">
        <f t="shared" si="157"/>
        <v>0</v>
      </c>
      <c r="DD45" t="s">
        <v>242</v>
      </c>
      <c r="DE45" t="s">
        <v>242</v>
      </c>
      <c r="DF45">
        <f t="shared" si="217"/>
        <v>9.7100000000000009</v>
      </c>
      <c r="DG45">
        <f t="shared" si="218"/>
        <v>0</v>
      </c>
      <c r="DH45">
        <f t="shared" si="219"/>
        <v>0</v>
      </c>
      <c r="DI45">
        <f t="shared" si="208"/>
        <v>0</v>
      </c>
      <c r="DJ45">
        <f t="shared" si="220"/>
        <v>9.7100000000000009</v>
      </c>
      <c r="DK45">
        <v>0</v>
      </c>
      <c r="DL45" t="s">
        <v>242</v>
      </c>
      <c r="DM45">
        <v>0</v>
      </c>
      <c r="DN45" t="s">
        <v>242</v>
      </c>
      <c r="DO45">
        <v>0</v>
      </c>
    </row>
    <row r="46">
      <c r="A46">
        <f>ROW(Source!A32)</f>
        <v>32</v>
      </c>
      <c r="B46">
        <v>65099320</v>
      </c>
      <c r="C46">
        <v>65099395</v>
      </c>
      <c r="D46">
        <v>0</v>
      </c>
      <c r="E46">
        <v>0</v>
      </c>
      <c r="F46">
        <v>1</v>
      </c>
      <c r="G46">
        <v>1</v>
      </c>
      <c r="H46">
        <v>3</v>
      </c>
      <c r="I46" t="s">
        <v>194</v>
      </c>
      <c r="J46" t="s">
        <v>242</v>
      </c>
      <c r="K46" t="s">
        <v>299</v>
      </c>
      <c r="L46">
        <v>1377</v>
      </c>
      <c r="N46">
        <v>1013</v>
      </c>
      <c r="O46" t="s">
        <v>300</v>
      </c>
      <c r="P46" t="s">
        <v>300</v>
      </c>
      <c r="Q46">
        <v>1</v>
      </c>
      <c r="W46">
        <v>0</v>
      </c>
      <c r="X46">
        <v>-1370256510</v>
      </c>
      <c r="Y46">
        <f t="shared" si="152"/>
        <v>10</v>
      </c>
      <c r="AA46">
        <v>83562.5</v>
      </c>
      <c r="AB46">
        <v>0</v>
      </c>
      <c r="AC46">
        <v>0</v>
      </c>
      <c r="AD46">
        <v>0</v>
      </c>
      <c r="AE46">
        <v>8750</v>
      </c>
      <c r="AF46">
        <v>0</v>
      </c>
      <c r="AG46">
        <v>0</v>
      </c>
      <c r="AH46">
        <v>0</v>
      </c>
      <c r="AI46">
        <v>9.5500000000000007</v>
      </c>
      <c r="AJ46">
        <v>1</v>
      </c>
      <c r="AK46">
        <v>1</v>
      </c>
      <c r="AL46">
        <v>1</v>
      </c>
      <c r="AM46">
        <v>0</v>
      </c>
      <c r="AN46">
        <v>0</v>
      </c>
      <c r="AO46">
        <v>0</v>
      </c>
      <c r="AP46">
        <v>1</v>
      </c>
      <c r="AQ46">
        <v>0</v>
      </c>
      <c r="AR46">
        <v>0</v>
      </c>
      <c r="AS46" t="s">
        <v>242</v>
      </c>
      <c r="AT46">
        <v>10</v>
      </c>
      <c r="AU46" t="s">
        <v>242</v>
      </c>
      <c r="AV46">
        <v>0</v>
      </c>
      <c r="AW46">
        <v>1</v>
      </c>
      <c r="AX46">
        <v>-1</v>
      </c>
      <c r="AY46">
        <v>0</v>
      </c>
      <c r="AZ46">
        <v>0</v>
      </c>
      <c r="BA46" t="s">
        <v>242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V46">
        <v>0</v>
      </c>
      <c r="CW46">
        <v>0</v>
      </c>
      <c r="CX46">
        <f>ROUND(Y46*Source!I32,7)</f>
        <v>3</v>
      </c>
      <c r="CY46">
        <f t="shared" si="214"/>
        <v>83562.5</v>
      </c>
      <c r="CZ46">
        <f t="shared" si="215"/>
        <v>8750</v>
      </c>
      <c r="DA46">
        <f t="shared" si="216"/>
        <v>9.5500000000000007</v>
      </c>
      <c r="DB46">
        <f t="shared" si="156"/>
        <v>87500</v>
      </c>
      <c r="DC46">
        <f t="shared" si="157"/>
        <v>0</v>
      </c>
      <c r="DD46" t="s">
        <v>242</v>
      </c>
      <c r="DE46" t="s">
        <v>242</v>
      </c>
      <c r="DF46">
        <f t="shared" si="217"/>
        <v>250687.5</v>
      </c>
      <c r="DG46">
        <f t="shared" si="218"/>
        <v>0</v>
      </c>
      <c r="DH46">
        <f t="shared" si="219"/>
        <v>0</v>
      </c>
      <c r="DI46">
        <f t="shared" si="208"/>
        <v>0</v>
      </c>
      <c r="DJ46">
        <f t="shared" si="220"/>
        <v>250687.5</v>
      </c>
      <c r="DK46">
        <v>0</v>
      </c>
      <c r="DL46" t="s">
        <v>242</v>
      </c>
      <c r="DM46">
        <v>0</v>
      </c>
      <c r="DN46" t="s">
        <v>242</v>
      </c>
      <c r="DO46">
        <v>0</v>
      </c>
    </row>
    <row r="47">
      <c r="A47">
        <f>ROW(Source!A34)</f>
        <v>34</v>
      </c>
      <c r="B47">
        <v>65099320</v>
      </c>
      <c r="C47">
        <v>65099412</v>
      </c>
      <c r="D47">
        <v>55684343</v>
      </c>
      <c r="E47">
        <v>70</v>
      </c>
      <c r="F47">
        <v>1</v>
      </c>
      <c r="G47">
        <v>1</v>
      </c>
      <c r="H47">
        <v>1</v>
      </c>
      <c r="I47" t="s">
        <v>555</v>
      </c>
      <c r="J47" t="s">
        <v>242</v>
      </c>
      <c r="K47" t="s">
        <v>556</v>
      </c>
      <c r="L47">
        <v>1191</v>
      </c>
      <c r="N47">
        <v>1013</v>
      </c>
      <c r="O47" t="s">
        <v>30</v>
      </c>
      <c r="P47" t="s">
        <v>30</v>
      </c>
      <c r="Q47">
        <v>1</v>
      </c>
      <c r="W47">
        <v>0</v>
      </c>
      <c r="X47">
        <v>-1111239348</v>
      </c>
      <c r="Y47">
        <f t="shared" si="152"/>
        <v>8.0999999999999996</v>
      </c>
      <c r="AA47">
        <v>0</v>
      </c>
      <c r="AB47">
        <v>0</v>
      </c>
      <c r="AC47">
        <v>0</v>
      </c>
      <c r="AD47">
        <v>532.17999999999995</v>
      </c>
      <c r="AE47">
        <v>0</v>
      </c>
      <c r="AF47">
        <v>0</v>
      </c>
      <c r="AG47">
        <v>0</v>
      </c>
      <c r="AH47">
        <v>9.6199999999999992</v>
      </c>
      <c r="AI47">
        <v>1</v>
      </c>
      <c r="AJ47">
        <v>1</v>
      </c>
      <c r="AK47">
        <v>1</v>
      </c>
      <c r="AL47">
        <v>55.32</v>
      </c>
      <c r="AM47">
        <v>4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242</v>
      </c>
      <c r="AT47">
        <v>8.0999999999999996</v>
      </c>
      <c r="AU47" t="s">
        <v>242</v>
      </c>
      <c r="AV47">
        <v>1</v>
      </c>
      <c r="AW47">
        <v>2</v>
      </c>
      <c r="AX47">
        <v>65099413</v>
      </c>
      <c r="AY47">
        <v>1</v>
      </c>
      <c r="AZ47">
        <v>0</v>
      </c>
      <c r="BA47">
        <v>55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U47">
        <f>ROUND(AT47*Source!I34*AH47*AL47,2)</f>
        <v>2155.3200000000002</v>
      </c>
      <c r="CV47">
        <f>ROUND(Y47*Source!I34,7)</f>
        <v>4.0499999999999998</v>
      </c>
      <c r="CW47">
        <v>0</v>
      </c>
      <c r="CX47">
        <f>ROUND(Y47*Source!I34,7)</f>
        <v>4.0499999999999998</v>
      </c>
      <c r="CY47">
        <f t="shared" ref="CY47:CY48" si="221">AD47</f>
        <v>532.17999999999995</v>
      </c>
      <c r="CZ47">
        <f t="shared" ref="CZ47:CZ48" si="222">AH47</f>
        <v>9.6199999999999992</v>
      </c>
      <c r="DA47">
        <f t="shared" ref="DA47:DA48" si="223">AL47</f>
        <v>55.32</v>
      </c>
      <c r="DB47">
        <f t="shared" si="156"/>
        <v>77.920000000000002</v>
      </c>
      <c r="DC47">
        <f t="shared" si="157"/>
        <v>0</v>
      </c>
      <c r="DD47" t="s">
        <v>242</v>
      </c>
      <c r="DE47" t="s">
        <v>242</v>
      </c>
      <c r="DF47">
        <f t="shared" ref="DF47:DF50" si="224">ROUND(ROUND(AE47,2)*CX47,2)</f>
        <v>0</v>
      </c>
      <c r="DG47">
        <f t="shared" si="218"/>
        <v>0</v>
      </c>
      <c r="DH47">
        <f t="shared" si="219"/>
        <v>0</v>
      </c>
      <c r="DI47">
        <f>ROUND(ROUND(AH47*AL47,2)*CX47,2)</f>
        <v>2155.3299999999999</v>
      </c>
      <c r="DJ47">
        <f t="shared" ref="DJ47:DJ48" si="225">DI47</f>
        <v>2155.3299999999999</v>
      </c>
      <c r="DK47">
        <v>0</v>
      </c>
      <c r="DL47" t="s">
        <v>242</v>
      </c>
      <c r="DM47">
        <v>0</v>
      </c>
      <c r="DN47" t="s">
        <v>242</v>
      </c>
      <c r="DO47">
        <v>0</v>
      </c>
    </row>
    <row r="48">
      <c r="A48">
        <f>ROW(Source!A34)</f>
        <v>34</v>
      </c>
      <c r="B48">
        <v>65099320</v>
      </c>
      <c r="C48">
        <v>65099412</v>
      </c>
      <c r="D48">
        <v>55684491</v>
      </c>
      <c r="E48">
        <v>70</v>
      </c>
      <c r="F48">
        <v>1</v>
      </c>
      <c r="G48">
        <v>1</v>
      </c>
      <c r="H48">
        <v>1</v>
      </c>
      <c r="I48" t="s">
        <v>485</v>
      </c>
      <c r="J48" t="s">
        <v>242</v>
      </c>
      <c r="K48" t="s">
        <v>486</v>
      </c>
      <c r="L48">
        <v>1191</v>
      </c>
      <c r="N48">
        <v>1013</v>
      </c>
      <c r="O48" t="s">
        <v>30</v>
      </c>
      <c r="P48" t="s">
        <v>30</v>
      </c>
      <c r="Q48">
        <v>1</v>
      </c>
      <c r="W48">
        <v>0</v>
      </c>
      <c r="X48">
        <v>-1417349443</v>
      </c>
      <c r="Y48">
        <f t="shared" si="152"/>
        <v>0.20999999999999999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55.32</v>
      </c>
      <c r="AL48">
        <v>1</v>
      </c>
      <c r="AM48">
        <v>4</v>
      </c>
      <c r="AN48">
        <v>0</v>
      </c>
      <c r="AO48">
        <v>1</v>
      </c>
      <c r="AP48">
        <v>1</v>
      </c>
      <c r="AQ48">
        <v>0</v>
      </c>
      <c r="AR48">
        <v>0</v>
      </c>
      <c r="AS48" t="s">
        <v>242</v>
      </c>
      <c r="AT48">
        <v>0.20999999999999999</v>
      </c>
      <c r="AU48" t="s">
        <v>242</v>
      </c>
      <c r="AV48">
        <v>2</v>
      </c>
      <c r="AW48">
        <v>2</v>
      </c>
      <c r="AX48">
        <v>65099414</v>
      </c>
      <c r="AY48">
        <v>1</v>
      </c>
      <c r="AZ48">
        <v>0</v>
      </c>
      <c r="BA48">
        <v>56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ROUND(Y48*Source!I34,7)</f>
        <v>0.105</v>
      </c>
      <c r="CY48">
        <f t="shared" si="221"/>
        <v>0</v>
      </c>
      <c r="CZ48">
        <f t="shared" si="222"/>
        <v>0</v>
      </c>
      <c r="DA48">
        <f t="shared" si="223"/>
        <v>1</v>
      </c>
      <c r="DB48">
        <f t="shared" si="156"/>
        <v>0</v>
      </c>
      <c r="DC48">
        <f t="shared" si="157"/>
        <v>0</v>
      </c>
      <c r="DD48" t="s">
        <v>242</v>
      </c>
      <c r="DE48" t="s">
        <v>242</v>
      </c>
      <c r="DF48">
        <f t="shared" si="224"/>
        <v>0</v>
      </c>
      <c r="DG48">
        <f t="shared" si="218"/>
        <v>0</v>
      </c>
      <c r="DH48">
        <f t="shared" ref="DH48:DH50" si="226">ROUND(ROUND(AG48*AK48,2)*CX48,2)</f>
        <v>0</v>
      </c>
      <c r="DI48">
        <f t="shared" ref="DI48:DI59" si="227">ROUND(ROUND(AH48,2)*CX48,2)</f>
        <v>0</v>
      </c>
      <c r="DJ48">
        <f t="shared" si="225"/>
        <v>0</v>
      </c>
      <c r="DK48">
        <v>0</v>
      </c>
      <c r="DL48" t="s">
        <v>242</v>
      </c>
      <c r="DM48">
        <v>0</v>
      </c>
      <c r="DN48" t="s">
        <v>242</v>
      </c>
      <c r="DO48">
        <v>0</v>
      </c>
    </row>
    <row r="49">
      <c r="A49">
        <f>ROW(Source!A34)</f>
        <v>34</v>
      </c>
      <c r="B49">
        <v>65099320</v>
      </c>
      <c r="C49">
        <v>65099412</v>
      </c>
      <c r="D49">
        <v>55846353</v>
      </c>
      <c r="E49">
        <v>1</v>
      </c>
      <c r="F49">
        <v>1</v>
      </c>
      <c r="G49">
        <v>1</v>
      </c>
      <c r="H49">
        <v>2</v>
      </c>
      <c r="I49" t="s">
        <v>487</v>
      </c>
      <c r="J49" t="s">
        <v>488</v>
      </c>
      <c r="K49" t="s">
        <v>489</v>
      </c>
      <c r="L49">
        <v>1367</v>
      </c>
      <c r="N49">
        <v>1011</v>
      </c>
      <c r="O49" t="s">
        <v>490</v>
      </c>
      <c r="P49" t="s">
        <v>490</v>
      </c>
      <c r="Q49">
        <v>1</v>
      </c>
      <c r="W49">
        <v>0</v>
      </c>
      <c r="X49">
        <v>1232162608</v>
      </c>
      <c r="Y49">
        <f t="shared" si="152"/>
        <v>0.070000000000000007</v>
      </c>
      <c r="AA49">
        <v>0</v>
      </c>
      <c r="AB49">
        <v>512.65999999999997</v>
      </c>
      <c r="AC49">
        <v>746.82000000000005</v>
      </c>
      <c r="AD49">
        <v>0</v>
      </c>
      <c r="AE49">
        <v>0</v>
      </c>
      <c r="AF49">
        <v>31.260000000000002</v>
      </c>
      <c r="AG49">
        <v>13.5</v>
      </c>
      <c r="AH49">
        <v>0</v>
      </c>
      <c r="AI49">
        <v>1</v>
      </c>
      <c r="AJ49">
        <v>16.399999999999999</v>
      </c>
      <c r="AK49">
        <v>55.32</v>
      </c>
      <c r="AL49">
        <v>1</v>
      </c>
      <c r="AM49">
        <v>4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242</v>
      </c>
      <c r="AT49">
        <v>0.070000000000000007</v>
      </c>
      <c r="AU49" t="s">
        <v>242</v>
      </c>
      <c r="AV49">
        <v>0</v>
      </c>
      <c r="AW49">
        <v>2</v>
      </c>
      <c r="AX49">
        <v>65099415</v>
      </c>
      <c r="AY49">
        <v>1</v>
      </c>
      <c r="AZ49">
        <v>0</v>
      </c>
      <c r="BA49">
        <v>57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V49">
        <v>0</v>
      </c>
      <c r="CW49">
        <f>ROUND(Y49*Source!I34*DO49,7)</f>
        <v>0</v>
      </c>
      <c r="CX49">
        <f>ROUND(Y49*Source!I34,7)</f>
        <v>0.034999999999999996</v>
      </c>
      <c r="CY49">
        <f t="shared" ref="CY49:CY50" si="228">AB49</f>
        <v>512.65999999999997</v>
      </c>
      <c r="CZ49">
        <f t="shared" ref="CZ49:CZ50" si="229">AF49</f>
        <v>31.260000000000002</v>
      </c>
      <c r="DA49">
        <f t="shared" ref="DA49:DA50" si="230">AJ49</f>
        <v>16.399999999999999</v>
      </c>
      <c r="DB49">
        <f t="shared" si="156"/>
        <v>2.1899999999999999</v>
      </c>
      <c r="DC49">
        <f t="shared" si="157"/>
        <v>0.95000000000000007</v>
      </c>
      <c r="DD49" t="s">
        <v>242</v>
      </c>
      <c r="DE49" t="s">
        <v>242</v>
      </c>
      <c r="DF49">
        <f t="shared" si="224"/>
        <v>0</v>
      </c>
      <c r="DG49">
        <f t="shared" ref="DG49:DG50" si="231">ROUND(ROUND(AF49*AJ49,2)*CX49,2)</f>
        <v>17.940000000000001</v>
      </c>
      <c r="DH49">
        <f t="shared" si="226"/>
        <v>26.140000000000001</v>
      </c>
      <c r="DI49">
        <f t="shared" si="227"/>
        <v>0</v>
      </c>
      <c r="DJ49">
        <f t="shared" ref="DJ49:DJ50" si="232">DG49</f>
        <v>17.940000000000001</v>
      </c>
      <c r="DK49">
        <v>0</v>
      </c>
      <c r="DL49" t="s">
        <v>242</v>
      </c>
      <c r="DM49">
        <v>0</v>
      </c>
      <c r="DN49" t="s">
        <v>242</v>
      </c>
      <c r="DO49">
        <v>0</v>
      </c>
    </row>
    <row r="50">
      <c r="A50">
        <f>ROW(Source!A34)</f>
        <v>34</v>
      </c>
      <c r="B50">
        <v>65099320</v>
      </c>
      <c r="C50">
        <v>65099412</v>
      </c>
      <c r="D50">
        <v>55847089</v>
      </c>
      <c r="E50">
        <v>1</v>
      </c>
      <c r="F50">
        <v>1</v>
      </c>
      <c r="G50">
        <v>1</v>
      </c>
      <c r="H50">
        <v>2</v>
      </c>
      <c r="I50" t="s">
        <v>494</v>
      </c>
      <c r="J50" t="s">
        <v>495</v>
      </c>
      <c r="K50" t="s">
        <v>496</v>
      </c>
      <c r="L50">
        <v>1367</v>
      </c>
      <c r="N50">
        <v>1011</v>
      </c>
      <c r="O50" t="s">
        <v>490</v>
      </c>
      <c r="P50" t="s">
        <v>490</v>
      </c>
      <c r="Q50">
        <v>1</v>
      </c>
      <c r="W50">
        <v>0</v>
      </c>
      <c r="X50">
        <v>509054691</v>
      </c>
      <c r="Y50">
        <f t="shared" si="152"/>
        <v>0.14000000000000001</v>
      </c>
      <c r="AA50">
        <v>0</v>
      </c>
      <c r="AB50">
        <v>1077.6400000000001</v>
      </c>
      <c r="AC50">
        <v>641.71000000000004</v>
      </c>
      <c r="AD50">
        <v>0</v>
      </c>
      <c r="AE50">
        <v>0</v>
      </c>
      <c r="AF50">
        <v>65.709999999999994</v>
      </c>
      <c r="AG50">
        <v>11.6</v>
      </c>
      <c r="AH50">
        <v>0</v>
      </c>
      <c r="AI50">
        <v>1</v>
      </c>
      <c r="AJ50">
        <v>16.399999999999999</v>
      </c>
      <c r="AK50">
        <v>55.32</v>
      </c>
      <c r="AL50">
        <v>1</v>
      </c>
      <c r="AM50">
        <v>4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242</v>
      </c>
      <c r="AT50">
        <v>0.14000000000000001</v>
      </c>
      <c r="AU50" t="s">
        <v>242</v>
      </c>
      <c r="AV50">
        <v>0</v>
      </c>
      <c r="AW50">
        <v>2</v>
      </c>
      <c r="AX50">
        <v>65099416</v>
      </c>
      <c r="AY50">
        <v>1</v>
      </c>
      <c r="AZ50">
        <v>0</v>
      </c>
      <c r="BA50">
        <v>58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f>ROUND(Y50*Source!I34*DO50,7)</f>
        <v>0</v>
      </c>
      <c r="CX50">
        <f>ROUND(Y50*Source!I34,7)</f>
        <v>0.069999999999999993</v>
      </c>
      <c r="CY50">
        <f t="shared" si="228"/>
        <v>1077.6400000000001</v>
      </c>
      <c r="CZ50">
        <f t="shared" si="229"/>
        <v>65.709999999999994</v>
      </c>
      <c r="DA50">
        <f t="shared" si="230"/>
        <v>16.399999999999999</v>
      </c>
      <c r="DB50">
        <f t="shared" si="156"/>
        <v>9.2000000000000011</v>
      </c>
      <c r="DC50">
        <f t="shared" si="157"/>
        <v>1.6200000000000001</v>
      </c>
      <c r="DD50" t="s">
        <v>242</v>
      </c>
      <c r="DE50" t="s">
        <v>242</v>
      </c>
      <c r="DF50">
        <f t="shared" si="224"/>
        <v>0</v>
      </c>
      <c r="DG50">
        <f t="shared" si="231"/>
        <v>75.430000000000007</v>
      </c>
      <c r="DH50">
        <f t="shared" si="226"/>
        <v>44.920000000000002</v>
      </c>
      <c r="DI50">
        <f t="shared" si="227"/>
        <v>0</v>
      </c>
      <c r="DJ50">
        <f t="shared" si="232"/>
        <v>75.430000000000007</v>
      </c>
      <c r="DK50">
        <v>0</v>
      </c>
      <c r="DL50" t="s">
        <v>242</v>
      </c>
      <c r="DM50">
        <v>0</v>
      </c>
      <c r="DN50" t="s">
        <v>242</v>
      </c>
      <c r="DO50">
        <v>0</v>
      </c>
    </row>
    <row r="51">
      <c r="A51">
        <f>ROW(Source!A34)</f>
        <v>34</v>
      </c>
      <c r="B51">
        <v>65099320</v>
      </c>
      <c r="C51">
        <v>65099412</v>
      </c>
      <c r="D51">
        <v>55697429</v>
      </c>
      <c r="E51">
        <v>1</v>
      </c>
      <c r="F51">
        <v>1</v>
      </c>
      <c r="G51">
        <v>1</v>
      </c>
      <c r="H51">
        <v>3</v>
      </c>
      <c r="I51" t="s">
        <v>524</v>
      </c>
      <c r="J51" t="s">
        <v>525</v>
      </c>
      <c r="K51" t="s">
        <v>526</v>
      </c>
      <c r="L51">
        <v>1348</v>
      </c>
      <c r="N51">
        <v>1009</v>
      </c>
      <c r="O51" t="s">
        <v>500</v>
      </c>
      <c r="P51" t="s">
        <v>500</v>
      </c>
      <c r="Q51">
        <v>1000</v>
      </c>
      <c r="W51">
        <v>0</v>
      </c>
      <c r="X51">
        <v>1511150967</v>
      </c>
      <c r="Y51">
        <f t="shared" si="152"/>
        <v>0.0014</v>
      </c>
      <c r="AA51">
        <v>286786.5</v>
      </c>
      <c r="AB51">
        <v>0</v>
      </c>
      <c r="AC51">
        <v>0</v>
      </c>
      <c r="AD51">
        <v>0</v>
      </c>
      <c r="AE51">
        <v>30030</v>
      </c>
      <c r="AF51">
        <v>0</v>
      </c>
      <c r="AG51">
        <v>0</v>
      </c>
      <c r="AH51">
        <v>0</v>
      </c>
      <c r="AI51">
        <v>9.5500000000000007</v>
      </c>
      <c r="AJ51">
        <v>1</v>
      </c>
      <c r="AK51">
        <v>1</v>
      </c>
      <c r="AL51">
        <v>1</v>
      </c>
      <c r="AM51">
        <v>4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242</v>
      </c>
      <c r="AT51">
        <v>0.0014</v>
      </c>
      <c r="AU51" t="s">
        <v>242</v>
      </c>
      <c r="AV51">
        <v>0</v>
      </c>
      <c r="AW51">
        <v>2</v>
      </c>
      <c r="AX51">
        <v>65099417</v>
      </c>
      <c r="AY51">
        <v>1</v>
      </c>
      <c r="AZ51">
        <v>0</v>
      </c>
      <c r="BA51">
        <v>59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V51">
        <v>0</v>
      </c>
      <c r="CW51">
        <v>0</v>
      </c>
      <c r="CX51">
        <f>ROUND(Y51*Source!I34,7)</f>
        <v>0.00069999999999999999</v>
      </c>
      <c r="CY51">
        <f t="shared" ref="CY51:CY59" si="233">AA51</f>
        <v>286786.5</v>
      </c>
      <c r="CZ51">
        <f t="shared" ref="CZ51:CZ59" si="234">AE51</f>
        <v>30030</v>
      </c>
      <c r="DA51">
        <f t="shared" ref="DA51:DA59" si="235">AI51</f>
        <v>9.5500000000000007</v>
      </c>
      <c r="DB51">
        <f t="shared" si="156"/>
        <v>42.039999999999999</v>
      </c>
      <c r="DC51">
        <f t="shared" si="157"/>
        <v>0</v>
      </c>
      <c r="DD51" t="s">
        <v>242</v>
      </c>
      <c r="DE51" t="s">
        <v>242</v>
      </c>
      <c r="DF51">
        <f t="shared" ref="DF51:DF59" si="236">ROUND(ROUND(AE51*AI51,2)*CX51,2)</f>
        <v>200.75</v>
      </c>
      <c r="DG51">
        <f t="shared" ref="DG51:DG61" si="237">ROUND(ROUND(AF51,2)*CX51,2)</f>
        <v>0</v>
      </c>
      <c r="DH51">
        <f t="shared" ref="DH51:DH60" si="238">ROUND(ROUND(AG51,2)*CX51,2)</f>
        <v>0</v>
      </c>
      <c r="DI51">
        <f t="shared" si="227"/>
        <v>0</v>
      </c>
      <c r="DJ51">
        <f t="shared" ref="DJ51:DJ59" si="239">DF51</f>
        <v>200.75</v>
      </c>
      <c r="DK51">
        <v>0</v>
      </c>
      <c r="DL51" t="s">
        <v>242</v>
      </c>
      <c r="DM51">
        <v>0</v>
      </c>
      <c r="DN51" t="s">
        <v>242</v>
      </c>
      <c r="DO51">
        <v>0</v>
      </c>
    </row>
    <row r="52">
      <c r="A52">
        <f>ROW(Source!A34)</f>
        <v>34</v>
      </c>
      <c r="B52">
        <v>65099320</v>
      </c>
      <c r="C52">
        <v>65099412</v>
      </c>
      <c r="D52">
        <v>55697437</v>
      </c>
      <c r="E52">
        <v>1</v>
      </c>
      <c r="F52">
        <v>1</v>
      </c>
      <c r="G52">
        <v>1</v>
      </c>
      <c r="H52">
        <v>3</v>
      </c>
      <c r="I52" t="s">
        <v>527</v>
      </c>
      <c r="J52" t="s">
        <v>528</v>
      </c>
      <c r="K52" t="s">
        <v>529</v>
      </c>
      <c r="L52">
        <v>1346</v>
      </c>
      <c r="N52">
        <v>1009</v>
      </c>
      <c r="O52" t="s">
        <v>322</v>
      </c>
      <c r="P52" t="s">
        <v>322</v>
      </c>
      <c r="Q52">
        <v>1</v>
      </c>
      <c r="W52">
        <v>0</v>
      </c>
      <c r="X52">
        <v>-617477323</v>
      </c>
      <c r="Y52">
        <f t="shared" si="152"/>
        <v>0.02</v>
      </c>
      <c r="AA52">
        <v>356.12</v>
      </c>
      <c r="AB52">
        <v>0</v>
      </c>
      <c r="AC52">
        <v>0</v>
      </c>
      <c r="AD52">
        <v>0</v>
      </c>
      <c r="AE52">
        <v>37.289999999999999</v>
      </c>
      <c r="AF52">
        <v>0</v>
      </c>
      <c r="AG52">
        <v>0</v>
      </c>
      <c r="AH52">
        <v>0</v>
      </c>
      <c r="AI52">
        <v>9.5500000000000007</v>
      </c>
      <c r="AJ52">
        <v>1</v>
      </c>
      <c r="AK52">
        <v>1</v>
      </c>
      <c r="AL52">
        <v>1</v>
      </c>
      <c r="AM52">
        <v>4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242</v>
      </c>
      <c r="AT52">
        <v>0.02</v>
      </c>
      <c r="AU52" t="s">
        <v>242</v>
      </c>
      <c r="AV52">
        <v>0</v>
      </c>
      <c r="AW52">
        <v>2</v>
      </c>
      <c r="AX52">
        <v>65099418</v>
      </c>
      <c r="AY52">
        <v>1</v>
      </c>
      <c r="AZ52">
        <v>0</v>
      </c>
      <c r="BA52">
        <v>60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V52">
        <v>0</v>
      </c>
      <c r="CW52">
        <v>0</v>
      </c>
      <c r="CX52">
        <f>ROUND(Y52*Source!I34,7)</f>
        <v>0.01</v>
      </c>
      <c r="CY52">
        <f t="shared" si="233"/>
        <v>356.12</v>
      </c>
      <c r="CZ52">
        <f t="shared" si="234"/>
        <v>37.289999999999999</v>
      </c>
      <c r="DA52">
        <f t="shared" si="235"/>
        <v>9.5500000000000007</v>
      </c>
      <c r="DB52">
        <f t="shared" si="156"/>
        <v>0.75</v>
      </c>
      <c r="DC52">
        <f t="shared" si="157"/>
        <v>0</v>
      </c>
      <c r="DD52" t="s">
        <v>242</v>
      </c>
      <c r="DE52" t="s">
        <v>242</v>
      </c>
      <c r="DF52">
        <f t="shared" si="236"/>
        <v>3.5600000000000001</v>
      </c>
      <c r="DG52">
        <f t="shared" si="237"/>
        <v>0</v>
      </c>
      <c r="DH52">
        <f t="shared" si="238"/>
        <v>0</v>
      </c>
      <c r="DI52">
        <f t="shared" si="227"/>
        <v>0</v>
      </c>
      <c r="DJ52">
        <f t="shared" si="239"/>
        <v>3.5600000000000001</v>
      </c>
      <c r="DK52">
        <v>0</v>
      </c>
      <c r="DL52" t="s">
        <v>242</v>
      </c>
      <c r="DM52">
        <v>0</v>
      </c>
      <c r="DN52" t="s">
        <v>242</v>
      </c>
      <c r="DO52">
        <v>0</v>
      </c>
    </row>
    <row r="53">
      <c r="A53">
        <f>ROW(Source!A34)</f>
        <v>34</v>
      </c>
      <c r="B53">
        <v>65099320</v>
      </c>
      <c r="C53">
        <v>65099412</v>
      </c>
      <c r="D53">
        <v>55699210</v>
      </c>
      <c r="E53">
        <v>1</v>
      </c>
      <c r="F53">
        <v>1</v>
      </c>
      <c r="G53">
        <v>1</v>
      </c>
      <c r="H53">
        <v>3</v>
      </c>
      <c r="I53" t="s">
        <v>557</v>
      </c>
      <c r="J53" t="s">
        <v>558</v>
      </c>
      <c r="K53" t="s">
        <v>559</v>
      </c>
      <c r="L53">
        <v>1407</v>
      </c>
      <c r="N53">
        <v>1013</v>
      </c>
      <c r="O53" t="s">
        <v>533</v>
      </c>
      <c r="P53" t="s">
        <v>533</v>
      </c>
      <c r="Q53">
        <v>1</v>
      </c>
      <c r="W53">
        <v>0</v>
      </c>
      <c r="X53">
        <v>1912910798</v>
      </c>
      <c r="Y53">
        <f t="shared" si="152"/>
        <v>0.040000000000000001</v>
      </c>
      <c r="AA53">
        <v>1910</v>
      </c>
      <c r="AB53">
        <v>0</v>
      </c>
      <c r="AC53">
        <v>0</v>
      </c>
      <c r="AD53">
        <v>0</v>
      </c>
      <c r="AE53">
        <v>200</v>
      </c>
      <c r="AF53">
        <v>0</v>
      </c>
      <c r="AG53">
        <v>0</v>
      </c>
      <c r="AH53">
        <v>0</v>
      </c>
      <c r="AI53">
        <v>9.5500000000000007</v>
      </c>
      <c r="AJ53">
        <v>1</v>
      </c>
      <c r="AK53">
        <v>1</v>
      </c>
      <c r="AL53">
        <v>1</v>
      </c>
      <c r="AM53">
        <v>4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242</v>
      </c>
      <c r="AT53">
        <v>0.040000000000000001</v>
      </c>
      <c r="AU53" t="s">
        <v>242</v>
      </c>
      <c r="AV53">
        <v>0</v>
      </c>
      <c r="AW53">
        <v>2</v>
      </c>
      <c r="AX53">
        <v>65099419</v>
      </c>
      <c r="AY53">
        <v>1</v>
      </c>
      <c r="AZ53">
        <v>0</v>
      </c>
      <c r="BA53">
        <v>61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V53">
        <v>0</v>
      </c>
      <c r="CW53">
        <v>0</v>
      </c>
      <c r="CX53">
        <f>ROUND(Y53*Source!I34,7)</f>
        <v>0.02</v>
      </c>
      <c r="CY53">
        <f t="shared" si="233"/>
        <v>1910</v>
      </c>
      <c r="CZ53">
        <f t="shared" si="234"/>
        <v>200</v>
      </c>
      <c r="DA53">
        <f t="shared" si="235"/>
        <v>9.5500000000000007</v>
      </c>
      <c r="DB53">
        <f t="shared" si="156"/>
        <v>8</v>
      </c>
      <c r="DC53">
        <f t="shared" si="157"/>
        <v>0</v>
      </c>
      <c r="DD53" t="s">
        <v>242</v>
      </c>
      <c r="DE53" t="s">
        <v>242</v>
      </c>
      <c r="DF53">
        <f t="shared" si="236"/>
        <v>38.200000000000003</v>
      </c>
      <c r="DG53">
        <f t="shared" si="237"/>
        <v>0</v>
      </c>
      <c r="DH53">
        <f t="shared" si="238"/>
        <v>0</v>
      </c>
      <c r="DI53">
        <f t="shared" si="227"/>
        <v>0</v>
      </c>
      <c r="DJ53">
        <f t="shared" si="239"/>
        <v>38.200000000000003</v>
      </c>
      <c r="DK53">
        <v>0</v>
      </c>
      <c r="DL53" t="s">
        <v>242</v>
      </c>
      <c r="DM53">
        <v>0</v>
      </c>
      <c r="DN53" t="s">
        <v>242</v>
      </c>
      <c r="DO53">
        <v>0</v>
      </c>
    </row>
    <row r="54">
      <c r="A54">
        <f>ROW(Source!A34)</f>
        <v>34</v>
      </c>
      <c r="B54">
        <v>65099320</v>
      </c>
      <c r="C54">
        <v>65099412</v>
      </c>
      <c r="D54">
        <v>55699589</v>
      </c>
      <c r="E54">
        <v>1</v>
      </c>
      <c r="F54">
        <v>1</v>
      </c>
      <c r="G54">
        <v>1</v>
      </c>
      <c r="H54">
        <v>3</v>
      </c>
      <c r="I54" t="s">
        <v>560</v>
      </c>
      <c r="J54" t="s">
        <v>561</v>
      </c>
      <c r="K54" t="s">
        <v>562</v>
      </c>
      <c r="L54">
        <v>1348</v>
      </c>
      <c r="N54">
        <v>1009</v>
      </c>
      <c r="O54" t="s">
        <v>500</v>
      </c>
      <c r="P54" t="s">
        <v>500</v>
      </c>
      <c r="Q54">
        <v>1000</v>
      </c>
      <c r="W54">
        <v>0</v>
      </c>
      <c r="X54">
        <v>1696614139</v>
      </c>
      <c r="Y54">
        <f t="shared" si="152"/>
        <v>0.00069999999999999999</v>
      </c>
      <c r="AA54">
        <v>108392.5</v>
      </c>
      <c r="AB54">
        <v>0</v>
      </c>
      <c r="AC54">
        <v>0</v>
      </c>
      <c r="AD54">
        <v>0</v>
      </c>
      <c r="AE54">
        <v>11350</v>
      </c>
      <c r="AF54">
        <v>0</v>
      </c>
      <c r="AG54">
        <v>0</v>
      </c>
      <c r="AH54">
        <v>0</v>
      </c>
      <c r="AI54">
        <v>9.5500000000000007</v>
      </c>
      <c r="AJ54">
        <v>1</v>
      </c>
      <c r="AK54">
        <v>1</v>
      </c>
      <c r="AL54">
        <v>1</v>
      </c>
      <c r="AM54">
        <v>4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242</v>
      </c>
      <c r="AT54">
        <v>0.00069999999999999999</v>
      </c>
      <c r="AU54" t="s">
        <v>242</v>
      </c>
      <c r="AV54">
        <v>0</v>
      </c>
      <c r="AW54">
        <v>2</v>
      </c>
      <c r="AX54">
        <v>65099420</v>
      </c>
      <c r="AY54">
        <v>1</v>
      </c>
      <c r="AZ54">
        <v>0</v>
      </c>
      <c r="BA54">
        <v>62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v>0</v>
      </c>
      <c r="CX54">
        <f>ROUND(Y54*Source!I34,7)</f>
        <v>0.00035</v>
      </c>
      <c r="CY54">
        <f t="shared" si="233"/>
        <v>108392.5</v>
      </c>
      <c r="CZ54">
        <f t="shared" si="234"/>
        <v>11350</v>
      </c>
      <c r="DA54">
        <f t="shared" si="235"/>
        <v>9.5500000000000007</v>
      </c>
      <c r="DB54">
        <f t="shared" si="156"/>
        <v>7.9500000000000002</v>
      </c>
      <c r="DC54">
        <f t="shared" si="157"/>
        <v>0</v>
      </c>
      <c r="DD54" t="s">
        <v>242</v>
      </c>
      <c r="DE54" t="s">
        <v>242</v>
      </c>
      <c r="DF54">
        <f t="shared" si="236"/>
        <v>37.939999999999998</v>
      </c>
      <c r="DG54">
        <f t="shared" si="237"/>
        <v>0</v>
      </c>
      <c r="DH54">
        <f t="shared" si="238"/>
        <v>0</v>
      </c>
      <c r="DI54">
        <f t="shared" si="227"/>
        <v>0</v>
      </c>
      <c r="DJ54">
        <f t="shared" si="239"/>
        <v>37.939999999999998</v>
      </c>
      <c r="DK54">
        <v>0</v>
      </c>
      <c r="DL54" t="s">
        <v>242</v>
      </c>
      <c r="DM54">
        <v>0</v>
      </c>
      <c r="DN54" t="s">
        <v>242</v>
      </c>
      <c r="DO54">
        <v>0</v>
      </c>
    </row>
    <row r="55">
      <c r="A55">
        <f>ROW(Source!A34)</f>
        <v>34</v>
      </c>
      <c r="B55">
        <v>65099320</v>
      </c>
      <c r="C55">
        <v>65099412</v>
      </c>
      <c r="D55">
        <v>55701404</v>
      </c>
      <c r="E55">
        <v>1</v>
      </c>
      <c r="F55">
        <v>1</v>
      </c>
      <c r="G55">
        <v>1</v>
      </c>
      <c r="H55">
        <v>3</v>
      </c>
      <c r="I55" t="s">
        <v>563</v>
      </c>
      <c r="J55" t="s">
        <v>564</v>
      </c>
      <c r="K55" t="s">
        <v>565</v>
      </c>
      <c r="L55">
        <v>1348</v>
      </c>
      <c r="N55">
        <v>1009</v>
      </c>
      <c r="O55" t="s">
        <v>500</v>
      </c>
      <c r="P55" t="s">
        <v>500</v>
      </c>
      <c r="Q55">
        <v>1000</v>
      </c>
      <c r="W55">
        <v>0</v>
      </c>
      <c r="X55">
        <v>393168258</v>
      </c>
      <c r="Y55">
        <f t="shared" si="152"/>
        <v>0.002</v>
      </c>
      <c r="AA55">
        <v>17533.799999999999</v>
      </c>
      <c r="AB55">
        <v>0</v>
      </c>
      <c r="AC55">
        <v>0</v>
      </c>
      <c r="AD55">
        <v>0</v>
      </c>
      <c r="AE55">
        <v>1836</v>
      </c>
      <c r="AF55">
        <v>0</v>
      </c>
      <c r="AG55">
        <v>0</v>
      </c>
      <c r="AH55">
        <v>0</v>
      </c>
      <c r="AI55">
        <v>9.5500000000000007</v>
      </c>
      <c r="AJ55">
        <v>1</v>
      </c>
      <c r="AK55">
        <v>1</v>
      </c>
      <c r="AL55">
        <v>1</v>
      </c>
      <c r="AM55">
        <v>4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242</v>
      </c>
      <c r="AT55">
        <v>0.002</v>
      </c>
      <c r="AU55" t="s">
        <v>242</v>
      </c>
      <c r="AV55">
        <v>0</v>
      </c>
      <c r="AW55">
        <v>2</v>
      </c>
      <c r="AX55">
        <v>65099421</v>
      </c>
      <c r="AY55">
        <v>1</v>
      </c>
      <c r="AZ55">
        <v>0</v>
      </c>
      <c r="BA55">
        <v>63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V55">
        <v>0</v>
      </c>
      <c r="CW55">
        <v>0</v>
      </c>
      <c r="CX55">
        <f>ROUND(Y55*Source!I34,7)</f>
        <v>0.001</v>
      </c>
      <c r="CY55">
        <f t="shared" si="233"/>
        <v>17533.799999999999</v>
      </c>
      <c r="CZ55">
        <f t="shared" si="234"/>
        <v>1836</v>
      </c>
      <c r="DA55">
        <f t="shared" si="235"/>
        <v>9.5500000000000007</v>
      </c>
      <c r="DB55">
        <f t="shared" si="156"/>
        <v>3.6699999999999999</v>
      </c>
      <c r="DC55">
        <f t="shared" si="157"/>
        <v>0</v>
      </c>
      <c r="DD55" t="s">
        <v>242</v>
      </c>
      <c r="DE55" t="s">
        <v>242</v>
      </c>
      <c r="DF55">
        <f t="shared" si="236"/>
        <v>17.530000000000001</v>
      </c>
      <c r="DG55">
        <f t="shared" si="237"/>
        <v>0</v>
      </c>
      <c r="DH55">
        <f t="shared" si="238"/>
        <v>0</v>
      </c>
      <c r="DI55">
        <f t="shared" si="227"/>
        <v>0</v>
      </c>
      <c r="DJ55">
        <f t="shared" si="239"/>
        <v>17.530000000000001</v>
      </c>
      <c r="DK55">
        <v>0</v>
      </c>
      <c r="DL55" t="s">
        <v>242</v>
      </c>
      <c r="DM55">
        <v>0</v>
      </c>
      <c r="DN55" t="s">
        <v>242</v>
      </c>
      <c r="DO55">
        <v>0</v>
      </c>
    </row>
    <row r="56">
      <c r="A56">
        <f>ROW(Source!A34)</f>
        <v>34</v>
      </c>
      <c r="B56">
        <v>65099320</v>
      </c>
      <c r="C56">
        <v>65099412</v>
      </c>
      <c r="D56">
        <v>55728086</v>
      </c>
      <c r="E56">
        <v>1</v>
      </c>
      <c r="F56">
        <v>1</v>
      </c>
      <c r="G56">
        <v>1</v>
      </c>
      <c r="H56">
        <v>3</v>
      </c>
      <c r="I56" t="s">
        <v>546</v>
      </c>
      <c r="J56" t="s">
        <v>547</v>
      </c>
      <c r="K56" t="s">
        <v>548</v>
      </c>
      <c r="L56">
        <v>1346</v>
      </c>
      <c r="N56">
        <v>1009</v>
      </c>
      <c r="O56" t="s">
        <v>322</v>
      </c>
      <c r="P56" t="s">
        <v>322</v>
      </c>
      <c r="Q56">
        <v>1</v>
      </c>
      <c r="W56">
        <v>0</v>
      </c>
      <c r="X56">
        <v>639726700</v>
      </c>
      <c r="Y56">
        <f t="shared" si="152"/>
        <v>0.40000000000000002</v>
      </c>
      <c r="AA56">
        <v>144.40000000000001</v>
      </c>
      <c r="AB56">
        <v>0</v>
      </c>
      <c r="AC56">
        <v>0</v>
      </c>
      <c r="AD56">
        <v>0</v>
      </c>
      <c r="AE56">
        <v>15.119999999999999</v>
      </c>
      <c r="AF56">
        <v>0</v>
      </c>
      <c r="AG56">
        <v>0</v>
      </c>
      <c r="AH56">
        <v>0</v>
      </c>
      <c r="AI56">
        <v>9.5500000000000007</v>
      </c>
      <c r="AJ56">
        <v>1</v>
      </c>
      <c r="AK56">
        <v>1</v>
      </c>
      <c r="AL56">
        <v>1</v>
      </c>
      <c r="AM56">
        <v>4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242</v>
      </c>
      <c r="AT56">
        <v>0.40000000000000002</v>
      </c>
      <c r="AU56" t="s">
        <v>242</v>
      </c>
      <c r="AV56">
        <v>0</v>
      </c>
      <c r="AW56">
        <v>2</v>
      </c>
      <c r="AX56">
        <v>65099422</v>
      </c>
      <c r="AY56">
        <v>1</v>
      </c>
      <c r="AZ56">
        <v>0</v>
      </c>
      <c r="BA56">
        <v>64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v>0</v>
      </c>
      <c r="CX56">
        <f>ROUND(Y56*Source!I34,7)</f>
        <v>0.19999999999999998</v>
      </c>
      <c r="CY56">
        <f t="shared" si="233"/>
        <v>144.40000000000001</v>
      </c>
      <c r="CZ56">
        <f t="shared" si="234"/>
        <v>15.119999999999999</v>
      </c>
      <c r="DA56">
        <f t="shared" si="235"/>
        <v>9.5500000000000007</v>
      </c>
      <c r="DB56">
        <f t="shared" si="156"/>
        <v>6.0499999999999998</v>
      </c>
      <c r="DC56">
        <f t="shared" si="157"/>
        <v>0</v>
      </c>
      <c r="DD56" t="s">
        <v>242</v>
      </c>
      <c r="DE56" t="s">
        <v>242</v>
      </c>
      <c r="DF56">
        <f t="shared" si="236"/>
        <v>28.879999999999999</v>
      </c>
      <c r="DG56">
        <f t="shared" si="237"/>
        <v>0</v>
      </c>
      <c r="DH56">
        <f t="shared" si="238"/>
        <v>0</v>
      </c>
      <c r="DI56">
        <f t="shared" si="227"/>
        <v>0</v>
      </c>
      <c r="DJ56">
        <f t="shared" si="239"/>
        <v>28.879999999999999</v>
      </c>
      <c r="DK56">
        <v>0</v>
      </c>
      <c r="DL56" t="s">
        <v>242</v>
      </c>
      <c r="DM56">
        <v>0</v>
      </c>
      <c r="DN56" t="s">
        <v>242</v>
      </c>
      <c r="DO56">
        <v>0</v>
      </c>
    </row>
    <row r="57">
      <c r="A57">
        <f>ROW(Source!A34)</f>
        <v>34</v>
      </c>
      <c r="B57">
        <v>65099320</v>
      </c>
      <c r="C57">
        <v>65099412</v>
      </c>
      <c r="D57">
        <v>55728687</v>
      </c>
      <c r="E57">
        <v>1</v>
      </c>
      <c r="F57">
        <v>1</v>
      </c>
      <c r="G57">
        <v>1</v>
      </c>
      <c r="H57">
        <v>3</v>
      </c>
      <c r="I57" t="s">
        <v>549</v>
      </c>
      <c r="J57" t="s">
        <v>550</v>
      </c>
      <c r="K57" t="s">
        <v>551</v>
      </c>
      <c r="L57">
        <v>1346</v>
      </c>
      <c r="N57">
        <v>1009</v>
      </c>
      <c r="O57" t="s">
        <v>322</v>
      </c>
      <c r="P57" t="s">
        <v>322</v>
      </c>
      <c r="Q57">
        <v>1</v>
      </c>
      <c r="W57">
        <v>0</v>
      </c>
      <c r="X57">
        <v>991942845</v>
      </c>
      <c r="Y57">
        <f t="shared" si="152"/>
        <v>2</v>
      </c>
      <c r="AA57">
        <v>187.28</v>
      </c>
      <c r="AB57">
        <v>0</v>
      </c>
      <c r="AC57">
        <v>0</v>
      </c>
      <c r="AD57">
        <v>0</v>
      </c>
      <c r="AE57">
        <v>19.609999999999999</v>
      </c>
      <c r="AF57">
        <v>0</v>
      </c>
      <c r="AG57">
        <v>0</v>
      </c>
      <c r="AH57">
        <v>0</v>
      </c>
      <c r="AI57">
        <v>9.5500000000000007</v>
      </c>
      <c r="AJ57">
        <v>1</v>
      </c>
      <c r="AK57">
        <v>1</v>
      </c>
      <c r="AL57">
        <v>1</v>
      </c>
      <c r="AM57">
        <v>4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242</v>
      </c>
      <c r="AT57">
        <v>2</v>
      </c>
      <c r="AU57" t="s">
        <v>242</v>
      </c>
      <c r="AV57">
        <v>0</v>
      </c>
      <c r="AW57">
        <v>2</v>
      </c>
      <c r="AX57">
        <v>65099423</v>
      </c>
      <c r="AY57">
        <v>1</v>
      </c>
      <c r="AZ57">
        <v>0</v>
      </c>
      <c r="BA57">
        <v>65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ROUND(Y57*Source!I34,7)</f>
        <v>1</v>
      </c>
      <c r="CY57">
        <f t="shared" si="233"/>
        <v>187.28</v>
      </c>
      <c r="CZ57">
        <f t="shared" si="234"/>
        <v>19.609999999999999</v>
      </c>
      <c r="DA57">
        <f t="shared" si="235"/>
        <v>9.5500000000000007</v>
      </c>
      <c r="DB57">
        <f t="shared" si="156"/>
        <v>39.219999999999999</v>
      </c>
      <c r="DC57">
        <f t="shared" si="157"/>
        <v>0</v>
      </c>
      <c r="DD57" t="s">
        <v>242</v>
      </c>
      <c r="DE57" t="s">
        <v>242</v>
      </c>
      <c r="DF57">
        <f t="shared" si="236"/>
        <v>187.28</v>
      </c>
      <c r="DG57">
        <f t="shared" si="237"/>
        <v>0</v>
      </c>
      <c r="DH57">
        <f t="shared" si="238"/>
        <v>0</v>
      </c>
      <c r="DI57">
        <f t="shared" si="227"/>
        <v>0</v>
      </c>
      <c r="DJ57">
        <f t="shared" si="239"/>
        <v>187.28</v>
      </c>
      <c r="DK57">
        <v>0</v>
      </c>
      <c r="DL57" t="s">
        <v>242</v>
      </c>
      <c r="DM57">
        <v>0</v>
      </c>
      <c r="DN57" t="s">
        <v>242</v>
      </c>
      <c r="DO57">
        <v>0</v>
      </c>
    </row>
    <row r="58">
      <c r="A58">
        <f>ROW(Source!A34)</f>
        <v>34</v>
      </c>
      <c r="B58">
        <v>65099320</v>
      </c>
      <c r="C58">
        <v>65099412</v>
      </c>
      <c r="D58">
        <v>55728774</v>
      </c>
      <c r="E58">
        <v>1</v>
      </c>
      <c r="F58">
        <v>1</v>
      </c>
      <c r="G58">
        <v>1</v>
      </c>
      <c r="H58">
        <v>3</v>
      </c>
      <c r="I58" t="s">
        <v>552</v>
      </c>
      <c r="J58" t="s">
        <v>553</v>
      </c>
      <c r="K58" t="s">
        <v>554</v>
      </c>
      <c r="L58">
        <v>1348</v>
      </c>
      <c r="N58">
        <v>1009</v>
      </c>
      <c r="O58" t="s">
        <v>500</v>
      </c>
      <c r="P58" t="s">
        <v>500</v>
      </c>
      <c r="Q58">
        <v>1000</v>
      </c>
      <c r="W58">
        <v>0</v>
      </c>
      <c r="X58">
        <v>859929720</v>
      </c>
      <c r="Y58">
        <f t="shared" si="152"/>
        <v>0.00020000000000000001</v>
      </c>
      <c r="AA58">
        <v>161872.5</v>
      </c>
      <c r="AB58">
        <v>0</v>
      </c>
      <c r="AC58">
        <v>0</v>
      </c>
      <c r="AD58">
        <v>0</v>
      </c>
      <c r="AE58">
        <v>16950</v>
      </c>
      <c r="AF58">
        <v>0</v>
      </c>
      <c r="AG58">
        <v>0</v>
      </c>
      <c r="AH58">
        <v>0</v>
      </c>
      <c r="AI58">
        <v>9.5500000000000007</v>
      </c>
      <c r="AJ58">
        <v>1</v>
      </c>
      <c r="AK58">
        <v>1</v>
      </c>
      <c r="AL58">
        <v>1</v>
      </c>
      <c r="AM58">
        <v>4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242</v>
      </c>
      <c r="AT58">
        <v>0.00020000000000000001</v>
      </c>
      <c r="AU58" t="s">
        <v>242</v>
      </c>
      <c r="AV58">
        <v>0</v>
      </c>
      <c r="AW58">
        <v>2</v>
      </c>
      <c r="AX58">
        <v>65099424</v>
      </c>
      <c r="AY58">
        <v>1</v>
      </c>
      <c r="AZ58">
        <v>0</v>
      </c>
      <c r="BA58">
        <v>66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V58">
        <v>0</v>
      </c>
      <c r="CW58">
        <v>0</v>
      </c>
      <c r="CX58">
        <f>ROUND(Y58*Source!I34,7)</f>
        <v>9.9999999999999991e-05</v>
      </c>
      <c r="CY58">
        <f t="shared" si="233"/>
        <v>161872.5</v>
      </c>
      <c r="CZ58">
        <f t="shared" si="234"/>
        <v>16950</v>
      </c>
      <c r="DA58">
        <f t="shared" si="235"/>
        <v>9.5500000000000007</v>
      </c>
      <c r="DB58">
        <f t="shared" si="156"/>
        <v>3.3900000000000001</v>
      </c>
      <c r="DC58">
        <f t="shared" si="157"/>
        <v>0</v>
      </c>
      <c r="DD58" t="s">
        <v>242</v>
      </c>
      <c r="DE58" t="s">
        <v>242</v>
      </c>
      <c r="DF58">
        <f t="shared" si="236"/>
        <v>16.190000000000001</v>
      </c>
      <c r="DG58">
        <f t="shared" si="237"/>
        <v>0</v>
      </c>
      <c r="DH58">
        <f t="shared" si="238"/>
        <v>0</v>
      </c>
      <c r="DI58">
        <f t="shared" si="227"/>
        <v>0</v>
      </c>
      <c r="DJ58">
        <f t="shared" si="239"/>
        <v>16.190000000000001</v>
      </c>
      <c r="DK58">
        <v>0</v>
      </c>
      <c r="DL58" t="s">
        <v>242</v>
      </c>
      <c r="DM58">
        <v>0</v>
      </c>
      <c r="DN58" t="s">
        <v>242</v>
      </c>
      <c r="DO58">
        <v>0</v>
      </c>
    </row>
    <row r="59">
      <c r="A59">
        <f>ROW(Source!A34)</f>
        <v>34</v>
      </c>
      <c r="B59">
        <v>65099320</v>
      </c>
      <c r="C59">
        <v>65099412</v>
      </c>
      <c r="D59">
        <v>0</v>
      </c>
      <c r="E59">
        <v>0</v>
      </c>
      <c r="F59">
        <v>1</v>
      </c>
      <c r="G59">
        <v>1</v>
      </c>
      <c r="H59">
        <v>3</v>
      </c>
      <c r="I59" t="s">
        <v>196</v>
      </c>
      <c r="J59" t="s">
        <v>242</v>
      </c>
      <c r="K59" t="s">
        <v>307</v>
      </c>
      <c r="L59">
        <v>1377</v>
      </c>
      <c r="N59">
        <v>1013</v>
      </c>
      <c r="O59" t="s">
        <v>300</v>
      </c>
      <c r="P59" t="s">
        <v>300</v>
      </c>
      <c r="Q59">
        <v>1</v>
      </c>
      <c r="W59">
        <v>0</v>
      </c>
      <c r="X59">
        <v>-939260484</v>
      </c>
      <c r="Y59">
        <f t="shared" si="152"/>
        <v>10</v>
      </c>
      <c r="AA59">
        <v>51729.199999999997</v>
      </c>
      <c r="AB59">
        <v>0</v>
      </c>
      <c r="AC59">
        <v>0</v>
      </c>
      <c r="AD59">
        <v>0</v>
      </c>
      <c r="AE59">
        <v>5416.6700000000001</v>
      </c>
      <c r="AF59">
        <v>0</v>
      </c>
      <c r="AG59">
        <v>0</v>
      </c>
      <c r="AH59">
        <v>0</v>
      </c>
      <c r="AI59">
        <v>9.5500000000000007</v>
      </c>
      <c r="AJ59">
        <v>1</v>
      </c>
      <c r="AK59">
        <v>1</v>
      </c>
      <c r="AL59">
        <v>1</v>
      </c>
      <c r="AM59">
        <v>0</v>
      </c>
      <c r="AN59">
        <v>0</v>
      </c>
      <c r="AO59">
        <v>0</v>
      </c>
      <c r="AP59">
        <v>1</v>
      </c>
      <c r="AQ59">
        <v>0</v>
      </c>
      <c r="AR59">
        <v>0</v>
      </c>
      <c r="AS59" t="s">
        <v>242</v>
      </c>
      <c r="AT59">
        <v>10</v>
      </c>
      <c r="AU59" t="s">
        <v>242</v>
      </c>
      <c r="AV59">
        <v>0</v>
      </c>
      <c r="AW59">
        <v>1</v>
      </c>
      <c r="AX59">
        <v>-1</v>
      </c>
      <c r="AY59">
        <v>0</v>
      </c>
      <c r="AZ59">
        <v>0</v>
      </c>
      <c r="BA59" t="s">
        <v>242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ROUND(Y59*Source!I34,7)</f>
        <v>5</v>
      </c>
      <c r="CY59">
        <f t="shared" si="233"/>
        <v>51729.199999999997</v>
      </c>
      <c r="CZ59">
        <f t="shared" si="234"/>
        <v>5416.6700000000001</v>
      </c>
      <c r="DA59">
        <f t="shared" si="235"/>
        <v>9.5500000000000007</v>
      </c>
      <c r="DB59">
        <f t="shared" si="156"/>
        <v>54166.700000000004</v>
      </c>
      <c r="DC59">
        <f t="shared" si="157"/>
        <v>0</v>
      </c>
      <c r="DD59" t="s">
        <v>242</v>
      </c>
      <c r="DE59" t="s">
        <v>242</v>
      </c>
      <c r="DF59">
        <f t="shared" si="236"/>
        <v>258646</v>
      </c>
      <c r="DG59">
        <f t="shared" si="237"/>
        <v>0</v>
      </c>
      <c r="DH59">
        <f t="shared" si="238"/>
        <v>0</v>
      </c>
      <c r="DI59">
        <f t="shared" si="227"/>
        <v>0</v>
      </c>
      <c r="DJ59">
        <f t="shared" si="239"/>
        <v>258646</v>
      </c>
      <c r="DK59">
        <v>0</v>
      </c>
      <c r="DL59" t="s">
        <v>242</v>
      </c>
      <c r="DM59">
        <v>0</v>
      </c>
      <c r="DN59" t="s">
        <v>242</v>
      </c>
      <c r="DO59">
        <v>0</v>
      </c>
    </row>
    <row r="60">
      <c r="A60">
        <f>ROW(Source!A36)</f>
        <v>36</v>
      </c>
      <c r="B60">
        <v>65099320</v>
      </c>
      <c r="C60">
        <v>65099427</v>
      </c>
      <c r="D60">
        <v>55684279</v>
      </c>
      <c r="E60">
        <v>70</v>
      </c>
      <c r="F60">
        <v>1</v>
      </c>
      <c r="G60">
        <v>1</v>
      </c>
      <c r="H60">
        <v>1</v>
      </c>
      <c r="I60" t="s">
        <v>491</v>
      </c>
      <c r="J60" t="s">
        <v>242</v>
      </c>
      <c r="K60" t="s">
        <v>492</v>
      </c>
      <c r="L60">
        <v>1191</v>
      </c>
      <c r="N60">
        <v>1013</v>
      </c>
      <c r="O60" t="s">
        <v>30</v>
      </c>
      <c r="P60" t="s">
        <v>30</v>
      </c>
      <c r="Q60">
        <v>1</v>
      </c>
      <c r="W60">
        <v>0</v>
      </c>
      <c r="X60">
        <v>1903864200</v>
      </c>
      <c r="Y60">
        <f t="shared" si="152"/>
        <v>67.700000000000003</v>
      </c>
      <c r="AA60">
        <v>0</v>
      </c>
      <c r="AB60">
        <v>0</v>
      </c>
      <c r="AC60">
        <v>0</v>
      </c>
      <c r="AD60">
        <v>443.67000000000002</v>
      </c>
      <c r="AE60">
        <v>0</v>
      </c>
      <c r="AF60">
        <v>0</v>
      </c>
      <c r="AG60">
        <v>0</v>
      </c>
      <c r="AH60">
        <v>8.0199999999999996</v>
      </c>
      <c r="AI60">
        <v>1</v>
      </c>
      <c r="AJ60">
        <v>1</v>
      </c>
      <c r="AK60">
        <v>1</v>
      </c>
      <c r="AL60">
        <v>55.32</v>
      </c>
      <c r="AM60">
        <v>4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242</v>
      </c>
      <c r="AT60">
        <v>67.700000000000003</v>
      </c>
      <c r="AU60" t="s">
        <v>242</v>
      </c>
      <c r="AV60">
        <v>1</v>
      </c>
      <c r="AW60">
        <v>2</v>
      </c>
      <c r="AX60">
        <v>65099428</v>
      </c>
      <c r="AY60">
        <v>1</v>
      </c>
      <c r="AZ60">
        <v>0</v>
      </c>
      <c r="BA60">
        <v>68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U60">
        <f>ROUND(AT60*Source!I36*AH60*AL60,2)</f>
        <v>1501.8099999999999</v>
      </c>
      <c r="CV60">
        <f>ROUND(Y60*Source!I36,7)</f>
        <v>3.3849999999999998</v>
      </c>
      <c r="CW60">
        <v>0</v>
      </c>
      <c r="CX60">
        <f>ROUND(Y60*Source!I36,7)</f>
        <v>3.3849999999999998</v>
      </c>
      <c r="CY60">
        <f t="shared" ref="CY60:CY61" si="240">AD60</f>
        <v>443.67000000000002</v>
      </c>
      <c r="CZ60">
        <f t="shared" ref="CZ60:CZ61" si="241">AH60</f>
        <v>8.0199999999999996</v>
      </c>
      <c r="DA60">
        <f t="shared" ref="DA60:DA61" si="242">AL60</f>
        <v>55.32</v>
      </c>
      <c r="DB60">
        <f t="shared" si="156"/>
        <v>542.95000000000005</v>
      </c>
      <c r="DC60">
        <f t="shared" si="157"/>
        <v>0</v>
      </c>
      <c r="DD60" t="s">
        <v>242</v>
      </c>
      <c r="DE60" t="s">
        <v>242</v>
      </c>
      <c r="DF60">
        <f t="shared" ref="DF60:DF63" si="243">ROUND(ROUND(AE60,2)*CX60,2)</f>
        <v>0</v>
      </c>
      <c r="DG60">
        <f t="shared" si="237"/>
        <v>0</v>
      </c>
      <c r="DH60">
        <f t="shared" si="238"/>
        <v>0</v>
      </c>
      <c r="DI60">
        <f>ROUND(ROUND(AH60*AL60,2)*CX60,2)</f>
        <v>1501.8199999999999</v>
      </c>
      <c r="DJ60">
        <f t="shared" ref="DJ60:DJ61" si="244">DI60</f>
        <v>1501.8199999999999</v>
      </c>
      <c r="DK60">
        <v>0</v>
      </c>
      <c r="DL60" t="s">
        <v>242</v>
      </c>
      <c r="DM60">
        <v>0</v>
      </c>
      <c r="DN60" t="s">
        <v>242</v>
      </c>
      <c r="DO60">
        <v>0</v>
      </c>
    </row>
    <row r="61">
      <c r="A61">
        <f>ROW(Source!A36)</f>
        <v>36</v>
      </c>
      <c r="B61">
        <v>65099320</v>
      </c>
      <c r="C61">
        <v>65099427</v>
      </c>
      <c r="D61">
        <v>55684491</v>
      </c>
      <c r="E61">
        <v>70</v>
      </c>
      <c r="F61">
        <v>1</v>
      </c>
      <c r="G61">
        <v>1</v>
      </c>
      <c r="H61">
        <v>1</v>
      </c>
      <c r="I61" t="s">
        <v>485</v>
      </c>
      <c r="J61" t="s">
        <v>242</v>
      </c>
      <c r="K61" t="s">
        <v>486</v>
      </c>
      <c r="L61">
        <v>1191</v>
      </c>
      <c r="N61">
        <v>1013</v>
      </c>
      <c r="O61" t="s">
        <v>30</v>
      </c>
      <c r="P61" t="s">
        <v>30</v>
      </c>
      <c r="Q61">
        <v>1</v>
      </c>
      <c r="W61">
        <v>0</v>
      </c>
      <c r="X61">
        <v>-1417349443</v>
      </c>
      <c r="Y61">
        <f t="shared" si="152"/>
        <v>4.2000000000000002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55.32</v>
      </c>
      <c r="AL61">
        <v>1</v>
      </c>
      <c r="AM61">
        <v>4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242</v>
      </c>
      <c r="AT61">
        <v>4.2000000000000002</v>
      </c>
      <c r="AU61" t="s">
        <v>242</v>
      </c>
      <c r="AV61">
        <v>2</v>
      </c>
      <c r="AW61">
        <v>2</v>
      </c>
      <c r="AX61">
        <v>65099429</v>
      </c>
      <c r="AY61">
        <v>1</v>
      </c>
      <c r="AZ61">
        <v>0</v>
      </c>
      <c r="BA61">
        <v>69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V61">
        <v>0</v>
      </c>
      <c r="CW61">
        <v>0</v>
      </c>
      <c r="CX61">
        <f>ROUND(Y61*Source!I36,7)</f>
        <v>0.20999999999999999</v>
      </c>
      <c r="CY61">
        <f t="shared" si="240"/>
        <v>0</v>
      </c>
      <c r="CZ61">
        <f t="shared" si="241"/>
        <v>0</v>
      </c>
      <c r="DA61">
        <f t="shared" si="242"/>
        <v>1</v>
      </c>
      <c r="DB61">
        <f t="shared" si="156"/>
        <v>0</v>
      </c>
      <c r="DC61">
        <f t="shared" si="157"/>
        <v>0</v>
      </c>
      <c r="DD61" t="s">
        <v>242</v>
      </c>
      <c r="DE61" t="s">
        <v>242</v>
      </c>
      <c r="DF61">
        <f t="shared" si="243"/>
        <v>0</v>
      </c>
      <c r="DG61">
        <f t="shared" si="237"/>
        <v>0</v>
      </c>
      <c r="DH61">
        <f t="shared" ref="DH61:DH63" si="245">ROUND(ROUND(AG61*AK61,2)*CX61,2)</f>
        <v>0</v>
      </c>
      <c r="DI61">
        <f t="shared" ref="DI61:DI67" si="246">ROUND(ROUND(AH61,2)*CX61,2)</f>
        <v>0</v>
      </c>
      <c r="DJ61">
        <f t="shared" si="244"/>
        <v>0</v>
      </c>
      <c r="DK61">
        <v>0</v>
      </c>
      <c r="DL61" t="s">
        <v>242</v>
      </c>
      <c r="DM61">
        <v>0</v>
      </c>
      <c r="DN61" t="s">
        <v>242</v>
      </c>
      <c r="DO61">
        <v>0</v>
      </c>
    </row>
    <row r="62">
      <c r="A62">
        <f>ROW(Source!A36)</f>
        <v>36</v>
      </c>
      <c r="B62">
        <v>65099320</v>
      </c>
      <c r="C62">
        <v>65099427</v>
      </c>
      <c r="D62">
        <v>55846353</v>
      </c>
      <c r="E62">
        <v>1</v>
      </c>
      <c r="F62">
        <v>1</v>
      </c>
      <c r="G62">
        <v>1</v>
      </c>
      <c r="H62">
        <v>2</v>
      </c>
      <c r="I62" t="s">
        <v>487</v>
      </c>
      <c r="J62" t="s">
        <v>488</v>
      </c>
      <c r="K62" t="s">
        <v>489</v>
      </c>
      <c r="L62">
        <v>1367</v>
      </c>
      <c r="N62">
        <v>1011</v>
      </c>
      <c r="O62" t="s">
        <v>490</v>
      </c>
      <c r="P62" t="s">
        <v>490</v>
      </c>
      <c r="Q62">
        <v>1</v>
      </c>
      <c r="W62">
        <v>0</v>
      </c>
      <c r="X62">
        <v>1232162608</v>
      </c>
      <c r="Y62">
        <f t="shared" si="152"/>
        <v>1.73</v>
      </c>
      <c r="AA62">
        <v>0</v>
      </c>
      <c r="AB62">
        <v>512.65999999999997</v>
      </c>
      <c r="AC62">
        <v>746.82000000000005</v>
      </c>
      <c r="AD62">
        <v>0</v>
      </c>
      <c r="AE62">
        <v>0</v>
      </c>
      <c r="AF62">
        <v>31.260000000000002</v>
      </c>
      <c r="AG62">
        <v>13.5</v>
      </c>
      <c r="AH62">
        <v>0</v>
      </c>
      <c r="AI62">
        <v>1</v>
      </c>
      <c r="AJ62">
        <v>16.399999999999999</v>
      </c>
      <c r="AK62">
        <v>55.32</v>
      </c>
      <c r="AL62">
        <v>1</v>
      </c>
      <c r="AM62">
        <v>4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242</v>
      </c>
      <c r="AT62">
        <v>1.73</v>
      </c>
      <c r="AU62" t="s">
        <v>242</v>
      </c>
      <c r="AV62">
        <v>0</v>
      </c>
      <c r="AW62">
        <v>2</v>
      </c>
      <c r="AX62">
        <v>65099430</v>
      </c>
      <c r="AY62">
        <v>1</v>
      </c>
      <c r="AZ62">
        <v>0</v>
      </c>
      <c r="BA62">
        <v>70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f>ROUND(Y62*Source!I36*DO62,7)</f>
        <v>0</v>
      </c>
      <c r="CX62">
        <f>ROUND(Y62*Source!I36,7)</f>
        <v>0.086499999999999994</v>
      </c>
      <c r="CY62">
        <f t="shared" ref="CY62:CY63" si="247">AB62</f>
        <v>512.65999999999997</v>
      </c>
      <c r="CZ62">
        <f t="shared" ref="CZ62:CZ63" si="248">AF62</f>
        <v>31.260000000000002</v>
      </c>
      <c r="DA62">
        <f t="shared" ref="DA62:DA63" si="249">AJ62</f>
        <v>16.399999999999999</v>
      </c>
      <c r="DB62">
        <f t="shared" si="156"/>
        <v>54.079999999999998</v>
      </c>
      <c r="DC62">
        <f t="shared" si="157"/>
        <v>23.359999999999999</v>
      </c>
      <c r="DD62" t="s">
        <v>242</v>
      </c>
      <c r="DE62" t="s">
        <v>242</v>
      </c>
      <c r="DF62">
        <f t="shared" si="243"/>
        <v>0</v>
      </c>
      <c r="DG62">
        <f t="shared" ref="DG62:DG63" si="250">ROUND(ROUND(AF62*AJ62,2)*CX62,2)</f>
        <v>44.350000000000001</v>
      </c>
      <c r="DH62">
        <f t="shared" si="245"/>
        <v>64.599999999999994</v>
      </c>
      <c r="DI62">
        <f t="shared" si="246"/>
        <v>0</v>
      </c>
      <c r="DJ62">
        <f t="shared" ref="DJ62:DJ63" si="251">DG62</f>
        <v>44.350000000000001</v>
      </c>
      <c r="DK62">
        <v>0</v>
      </c>
      <c r="DL62" t="s">
        <v>242</v>
      </c>
      <c r="DM62">
        <v>0</v>
      </c>
      <c r="DN62" t="s">
        <v>242</v>
      </c>
      <c r="DO62">
        <v>0</v>
      </c>
    </row>
    <row r="63">
      <c r="A63">
        <f>ROW(Source!A36)</f>
        <v>36</v>
      </c>
      <c r="B63">
        <v>65099320</v>
      </c>
      <c r="C63">
        <v>65099427</v>
      </c>
      <c r="D63">
        <v>55847089</v>
      </c>
      <c r="E63">
        <v>1</v>
      </c>
      <c r="F63">
        <v>1</v>
      </c>
      <c r="G63">
        <v>1</v>
      </c>
      <c r="H63">
        <v>2</v>
      </c>
      <c r="I63" t="s">
        <v>494</v>
      </c>
      <c r="J63" t="s">
        <v>495</v>
      </c>
      <c r="K63" t="s">
        <v>496</v>
      </c>
      <c r="L63">
        <v>1367</v>
      </c>
      <c r="N63">
        <v>1011</v>
      </c>
      <c r="O63" t="s">
        <v>490</v>
      </c>
      <c r="P63" t="s">
        <v>490</v>
      </c>
      <c r="Q63">
        <v>1</v>
      </c>
      <c r="W63">
        <v>0</v>
      </c>
      <c r="X63">
        <v>509054691</v>
      </c>
      <c r="Y63">
        <f t="shared" si="152"/>
        <v>2.4700000000000002</v>
      </c>
      <c r="AA63">
        <v>0</v>
      </c>
      <c r="AB63">
        <v>1077.6400000000001</v>
      </c>
      <c r="AC63">
        <v>641.71000000000004</v>
      </c>
      <c r="AD63">
        <v>0</v>
      </c>
      <c r="AE63">
        <v>0</v>
      </c>
      <c r="AF63">
        <v>65.709999999999994</v>
      </c>
      <c r="AG63">
        <v>11.6</v>
      </c>
      <c r="AH63">
        <v>0</v>
      </c>
      <c r="AI63">
        <v>1</v>
      </c>
      <c r="AJ63">
        <v>16.399999999999999</v>
      </c>
      <c r="AK63">
        <v>55.32</v>
      </c>
      <c r="AL63">
        <v>1</v>
      </c>
      <c r="AM63">
        <v>4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242</v>
      </c>
      <c r="AT63">
        <v>2.4700000000000002</v>
      </c>
      <c r="AU63" t="s">
        <v>242</v>
      </c>
      <c r="AV63">
        <v>0</v>
      </c>
      <c r="AW63">
        <v>2</v>
      </c>
      <c r="AX63">
        <v>65099431</v>
      </c>
      <c r="AY63">
        <v>1</v>
      </c>
      <c r="AZ63">
        <v>0</v>
      </c>
      <c r="BA63">
        <v>71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V63">
        <v>0</v>
      </c>
      <c r="CW63">
        <f>ROUND(Y63*Source!I36*DO63,7)</f>
        <v>0</v>
      </c>
      <c r="CX63">
        <f>ROUND(Y63*Source!I36,7)</f>
        <v>0.1235</v>
      </c>
      <c r="CY63">
        <f t="shared" si="247"/>
        <v>1077.6400000000001</v>
      </c>
      <c r="CZ63">
        <f t="shared" si="248"/>
        <v>65.709999999999994</v>
      </c>
      <c r="DA63">
        <f t="shared" si="249"/>
        <v>16.399999999999999</v>
      </c>
      <c r="DB63">
        <f t="shared" si="156"/>
        <v>162.30000000000001</v>
      </c>
      <c r="DC63">
        <f t="shared" si="157"/>
        <v>28.650000000000002</v>
      </c>
      <c r="DD63" t="s">
        <v>242</v>
      </c>
      <c r="DE63" t="s">
        <v>242</v>
      </c>
      <c r="DF63">
        <f t="shared" si="243"/>
        <v>0</v>
      </c>
      <c r="DG63">
        <f t="shared" si="250"/>
        <v>133.09</v>
      </c>
      <c r="DH63">
        <f t="shared" si="245"/>
        <v>79.25</v>
      </c>
      <c r="DI63">
        <f t="shared" si="246"/>
        <v>0</v>
      </c>
      <c r="DJ63">
        <f t="shared" si="251"/>
        <v>133.09</v>
      </c>
      <c r="DK63">
        <v>0</v>
      </c>
      <c r="DL63" t="s">
        <v>242</v>
      </c>
      <c r="DM63">
        <v>0</v>
      </c>
      <c r="DN63" t="s">
        <v>242</v>
      </c>
      <c r="DO63">
        <v>0</v>
      </c>
    </row>
    <row r="64">
      <c r="A64">
        <f>ROW(Source!A36)</f>
        <v>36</v>
      </c>
      <c r="B64">
        <v>65099320</v>
      </c>
      <c r="C64">
        <v>65099427</v>
      </c>
      <c r="D64">
        <v>55699173</v>
      </c>
      <c r="E64">
        <v>1</v>
      </c>
      <c r="F64">
        <v>1</v>
      </c>
      <c r="G64">
        <v>1</v>
      </c>
      <c r="H64">
        <v>3</v>
      </c>
      <c r="I64" t="s">
        <v>497</v>
      </c>
      <c r="J64" t="s">
        <v>498</v>
      </c>
      <c r="K64" t="s">
        <v>499</v>
      </c>
      <c r="L64">
        <v>1348</v>
      </c>
      <c r="N64">
        <v>1009</v>
      </c>
      <c r="O64" t="s">
        <v>500</v>
      </c>
      <c r="P64" t="s">
        <v>500</v>
      </c>
      <c r="Q64">
        <v>1000</v>
      </c>
      <c r="W64">
        <v>0</v>
      </c>
      <c r="X64">
        <v>-45966985</v>
      </c>
      <c r="Y64">
        <f t="shared" si="152"/>
        <v>0.012</v>
      </c>
      <c r="AA64">
        <v>114389.89999999999</v>
      </c>
      <c r="AB64">
        <v>0</v>
      </c>
      <c r="AC64">
        <v>0</v>
      </c>
      <c r="AD64">
        <v>0</v>
      </c>
      <c r="AE64">
        <v>11978</v>
      </c>
      <c r="AF64">
        <v>0</v>
      </c>
      <c r="AG64">
        <v>0</v>
      </c>
      <c r="AH64">
        <v>0</v>
      </c>
      <c r="AI64">
        <v>9.5500000000000007</v>
      </c>
      <c r="AJ64">
        <v>1</v>
      </c>
      <c r="AK64">
        <v>1</v>
      </c>
      <c r="AL64">
        <v>1</v>
      </c>
      <c r="AM64">
        <v>4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242</v>
      </c>
      <c r="AT64">
        <v>0.012</v>
      </c>
      <c r="AU64" t="s">
        <v>242</v>
      </c>
      <c r="AV64">
        <v>0</v>
      </c>
      <c r="AW64">
        <v>2</v>
      </c>
      <c r="AX64">
        <v>65099432</v>
      </c>
      <c r="AY64">
        <v>1</v>
      </c>
      <c r="AZ64">
        <v>0</v>
      </c>
      <c r="BA64">
        <v>72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V64">
        <v>0</v>
      </c>
      <c r="CW64">
        <v>0</v>
      </c>
      <c r="CX64">
        <f>ROUND(Y64*Source!I36,7)</f>
        <v>0.00059999999999999995</v>
      </c>
      <c r="CY64">
        <f t="shared" ref="CY64:CY67" si="252">AA64</f>
        <v>114389.89999999999</v>
      </c>
      <c r="CZ64">
        <f t="shared" ref="CZ64:CZ67" si="253">AE64</f>
        <v>11978</v>
      </c>
      <c r="DA64">
        <f t="shared" ref="DA64:DA67" si="254">AI64</f>
        <v>9.5500000000000007</v>
      </c>
      <c r="DB64">
        <f t="shared" si="156"/>
        <v>143.74000000000001</v>
      </c>
      <c r="DC64">
        <f t="shared" si="157"/>
        <v>0</v>
      </c>
      <c r="DD64" t="s">
        <v>242</v>
      </c>
      <c r="DE64" t="s">
        <v>242</v>
      </c>
      <c r="DF64">
        <f t="shared" ref="DF64:DF67" si="255">ROUND(ROUND(AE64*AI64,2)*CX64,2)</f>
        <v>68.629999999999995</v>
      </c>
      <c r="DG64">
        <f t="shared" ref="DG64:DG69" si="256">ROUND(ROUND(AF64,2)*CX64,2)</f>
        <v>0</v>
      </c>
      <c r="DH64">
        <f t="shared" ref="DH64:DH68" si="257">ROUND(ROUND(AG64,2)*CX64,2)</f>
        <v>0</v>
      </c>
      <c r="DI64">
        <f t="shared" si="246"/>
        <v>0</v>
      </c>
      <c r="DJ64">
        <f t="shared" ref="DJ64:DJ67" si="258">DF64</f>
        <v>68.629999999999995</v>
      </c>
      <c r="DK64">
        <v>0</v>
      </c>
      <c r="DL64" t="s">
        <v>242</v>
      </c>
      <c r="DM64">
        <v>0</v>
      </c>
      <c r="DN64" t="s">
        <v>242</v>
      </c>
      <c r="DO64">
        <v>0</v>
      </c>
    </row>
    <row r="65">
      <c r="A65">
        <f>ROW(Source!A36)</f>
        <v>36</v>
      </c>
      <c r="B65">
        <v>65099320</v>
      </c>
      <c r="C65">
        <v>65099427</v>
      </c>
      <c r="D65">
        <v>55714803</v>
      </c>
      <c r="E65">
        <v>1</v>
      </c>
      <c r="F65">
        <v>1</v>
      </c>
      <c r="G65">
        <v>1</v>
      </c>
      <c r="H65">
        <v>3</v>
      </c>
      <c r="I65" t="s">
        <v>502</v>
      </c>
      <c r="J65" t="s">
        <v>503</v>
      </c>
      <c r="K65" t="s">
        <v>504</v>
      </c>
      <c r="L65">
        <v>1348</v>
      </c>
      <c r="N65">
        <v>1009</v>
      </c>
      <c r="O65" t="s">
        <v>500</v>
      </c>
      <c r="P65" t="s">
        <v>500</v>
      </c>
      <c r="Q65">
        <v>1000</v>
      </c>
      <c r="W65">
        <v>0</v>
      </c>
      <c r="X65">
        <v>-807853778</v>
      </c>
      <c r="Y65">
        <f t="shared" si="152"/>
        <v>0.035000000000000003</v>
      </c>
      <c r="AA65">
        <v>57194.949999999997</v>
      </c>
      <c r="AB65">
        <v>0</v>
      </c>
      <c r="AC65">
        <v>0</v>
      </c>
      <c r="AD65">
        <v>0</v>
      </c>
      <c r="AE65">
        <v>5989</v>
      </c>
      <c r="AF65">
        <v>0</v>
      </c>
      <c r="AG65">
        <v>0</v>
      </c>
      <c r="AH65">
        <v>0</v>
      </c>
      <c r="AI65">
        <v>9.5500000000000007</v>
      </c>
      <c r="AJ65">
        <v>1</v>
      </c>
      <c r="AK65">
        <v>1</v>
      </c>
      <c r="AL65">
        <v>1</v>
      </c>
      <c r="AM65">
        <v>4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242</v>
      </c>
      <c r="AT65">
        <v>0.035000000000000003</v>
      </c>
      <c r="AU65" t="s">
        <v>242</v>
      </c>
      <c r="AV65">
        <v>0</v>
      </c>
      <c r="AW65">
        <v>2</v>
      </c>
      <c r="AX65">
        <v>65099433</v>
      </c>
      <c r="AY65">
        <v>1</v>
      </c>
      <c r="AZ65">
        <v>0</v>
      </c>
      <c r="BA65">
        <v>73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V65">
        <v>0</v>
      </c>
      <c r="CW65">
        <v>0</v>
      </c>
      <c r="CX65">
        <f>ROUND(Y65*Source!I36,7)</f>
        <v>0.0017499999999999998</v>
      </c>
      <c r="CY65">
        <f t="shared" si="252"/>
        <v>57194.949999999997</v>
      </c>
      <c r="CZ65">
        <f t="shared" si="253"/>
        <v>5989</v>
      </c>
      <c r="DA65">
        <f t="shared" si="254"/>
        <v>9.5500000000000007</v>
      </c>
      <c r="DB65">
        <f t="shared" si="156"/>
        <v>209.62</v>
      </c>
      <c r="DC65">
        <f t="shared" si="157"/>
        <v>0</v>
      </c>
      <c r="DD65" t="s">
        <v>242</v>
      </c>
      <c r="DE65" t="s">
        <v>242</v>
      </c>
      <c r="DF65">
        <f t="shared" si="255"/>
        <v>100.09</v>
      </c>
      <c r="DG65">
        <f t="shared" si="256"/>
        <v>0</v>
      </c>
      <c r="DH65">
        <f t="shared" si="257"/>
        <v>0</v>
      </c>
      <c r="DI65">
        <f t="shared" si="246"/>
        <v>0</v>
      </c>
      <c r="DJ65">
        <f t="shared" si="258"/>
        <v>100.09</v>
      </c>
      <c r="DK65">
        <v>0</v>
      </c>
      <c r="DL65" t="s">
        <v>242</v>
      </c>
      <c r="DM65">
        <v>0</v>
      </c>
      <c r="DN65" t="s">
        <v>242</v>
      </c>
      <c r="DO65">
        <v>0</v>
      </c>
    </row>
    <row r="66">
      <c r="A66">
        <f>ROW(Source!A36)</f>
        <v>36</v>
      </c>
      <c r="B66">
        <v>65099320</v>
      </c>
      <c r="C66">
        <v>65099427</v>
      </c>
      <c r="D66">
        <v>55721136</v>
      </c>
      <c r="E66">
        <v>1</v>
      </c>
      <c r="F66">
        <v>1</v>
      </c>
      <c r="G66">
        <v>1</v>
      </c>
      <c r="H66">
        <v>3</v>
      </c>
      <c r="I66" t="s">
        <v>505</v>
      </c>
      <c r="J66" t="s">
        <v>506</v>
      </c>
      <c r="K66" t="s">
        <v>507</v>
      </c>
      <c r="L66">
        <v>1301</v>
      </c>
      <c r="N66">
        <v>1003</v>
      </c>
      <c r="O66" t="s">
        <v>327</v>
      </c>
      <c r="P66" t="s">
        <v>327</v>
      </c>
      <c r="Q66">
        <v>1</v>
      </c>
      <c r="W66">
        <v>0</v>
      </c>
      <c r="X66">
        <v>1217145207</v>
      </c>
      <c r="Y66">
        <f t="shared" si="152"/>
        <v>400</v>
      </c>
      <c r="AA66">
        <v>30.559999999999999</v>
      </c>
      <c r="AB66">
        <v>0</v>
      </c>
      <c r="AC66">
        <v>0</v>
      </c>
      <c r="AD66">
        <v>0</v>
      </c>
      <c r="AE66">
        <v>3.2000000000000002</v>
      </c>
      <c r="AF66">
        <v>0</v>
      </c>
      <c r="AG66">
        <v>0</v>
      </c>
      <c r="AH66">
        <v>0</v>
      </c>
      <c r="AI66">
        <v>9.5500000000000007</v>
      </c>
      <c r="AJ66">
        <v>1</v>
      </c>
      <c r="AK66">
        <v>1</v>
      </c>
      <c r="AL66">
        <v>1</v>
      </c>
      <c r="AM66">
        <v>4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242</v>
      </c>
      <c r="AT66">
        <v>400</v>
      </c>
      <c r="AU66" t="s">
        <v>242</v>
      </c>
      <c r="AV66">
        <v>0</v>
      </c>
      <c r="AW66">
        <v>2</v>
      </c>
      <c r="AX66">
        <v>65099435</v>
      </c>
      <c r="AY66">
        <v>1</v>
      </c>
      <c r="AZ66">
        <v>0</v>
      </c>
      <c r="BA66">
        <v>75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ROUND(Y66*Source!I36,7)</f>
        <v>20</v>
      </c>
      <c r="CY66">
        <f t="shared" si="252"/>
        <v>30.559999999999999</v>
      </c>
      <c r="CZ66">
        <f t="shared" si="253"/>
        <v>3.2000000000000002</v>
      </c>
      <c r="DA66">
        <f t="shared" si="254"/>
        <v>9.5500000000000007</v>
      </c>
      <c r="DB66">
        <f t="shared" si="156"/>
        <v>1280</v>
      </c>
      <c r="DC66">
        <f t="shared" si="157"/>
        <v>0</v>
      </c>
      <c r="DD66" t="s">
        <v>242</v>
      </c>
      <c r="DE66" t="s">
        <v>242</v>
      </c>
      <c r="DF66">
        <f t="shared" si="255"/>
        <v>611.20000000000005</v>
      </c>
      <c r="DG66">
        <f t="shared" si="256"/>
        <v>0</v>
      </c>
      <c r="DH66">
        <f t="shared" si="257"/>
        <v>0</v>
      </c>
      <c r="DI66">
        <f t="shared" si="246"/>
        <v>0</v>
      </c>
      <c r="DJ66">
        <f t="shared" si="258"/>
        <v>611.20000000000005</v>
      </c>
      <c r="DK66">
        <v>0</v>
      </c>
      <c r="DL66" t="s">
        <v>242</v>
      </c>
      <c r="DM66">
        <v>0</v>
      </c>
      <c r="DN66" t="s">
        <v>242</v>
      </c>
      <c r="DO66">
        <v>0</v>
      </c>
    </row>
    <row r="67">
      <c r="A67">
        <f>ROW(Source!A36)</f>
        <v>36</v>
      </c>
      <c r="B67">
        <v>65099320</v>
      </c>
      <c r="C67">
        <v>65099427</v>
      </c>
      <c r="D67">
        <v>0</v>
      </c>
      <c r="E67">
        <v>0</v>
      </c>
      <c r="F67">
        <v>1</v>
      </c>
      <c r="G67">
        <v>1</v>
      </c>
      <c r="H67">
        <v>3</v>
      </c>
      <c r="I67" t="s">
        <v>197</v>
      </c>
      <c r="J67" t="s">
        <v>242</v>
      </c>
      <c r="K67" t="s">
        <v>311</v>
      </c>
      <c r="L67">
        <v>1371</v>
      </c>
      <c r="N67">
        <v>1013</v>
      </c>
      <c r="O67" t="s">
        <v>312</v>
      </c>
      <c r="P67" t="s">
        <v>312</v>
      </c>
      <c r="Q67">
        <v>1</v>
      </c>
      <c r="W67">
        <v>0</v>
      </c>
      <c r="X67">
        <v>-662041550</v>
      </c>
      <c r="Y67">
        <f t="shared" si="152"/>
        <v>100</v>
      </c>
      <c r="AA67">
        <v>39791.699999999997</v>
      </c>
      <c r="AB67">
        <v>0</v>
      </c>
      <c r="AC67">
        <v>0</v>
      </c>
      <c r="AD67">
        <v>0</v>
      </c>
      <c r="AE67">
        <v>4166.6700000000001</v>
      </c>
      <c r="AF67">
        <v>0</v>
      </c>
      <c r="AG67">
        <v>0</v>
      </c>
      <c r="AH67">
        <v>0</v>
      </c>
      <c r="AI67">
        <v>9.5500000000000007</v>
      </c>
      <c r="AJ67">
        <v>1</v>
      </c>
      <c r="AK67">
        <v>1</v>
      </c>
      <c r="AL67">
        <v>1</v>
      </c>
      <c r="AM67">
        <v>0</v>
      </c>
      <c r="AN67">
        <v>0</v>
      </c>
      <c r="AO67">
        <v>0</v>
      </c>
      <c r="AP67">
        <v>1</v>
      </c>
      <c r="AQ67">
        <v>0</v>
      </c>
      <c r="AR67">
        <v>0</v>
      </c>
      <c r="AS67" t="s">
        <v>242</v>
      </c>
      <c r="AT67">
        <v>100</v>
      </c>
      <c r="AU67" t="s">
        <v>242</v>
      </c>
      <c r="AV67">
        <v>0</v>
      </c>
      <c r="AW67">
        <v>1</v>
      </c>
      <c r="AX67">
        <v>-1</v>
      </c>
      <c r="AY67">
        <v>0</v>
      </c>
      <c r="AZ67">
        <v>0</v>
      </c>
      <c r="BA67" t="s">
        <v>242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V67">
        <v>0</v>
      </c>
      <c r="CW67">
        <v>0</v>
      </c>
      <c r="CX67">
        <f>ROUND(Y67*Source!I36,7)</f>
        <v>5</v>
      </c>
      <c r="CY67">
        <f t="shared" si="252"/>
        <v>39791.699999999997</v>
      </c>
      <c r="CZ67">
        <f t="shared" si="253"/>
        <v>4166.6700000000001</v>
      </c>
      <c r="DA67">
        <f t="shared" si="254"/>
        <v>9.5500000000000007</v>
      </c>
      <c r="DB67">
        <f t="shared" si="156"/>
        <v>416667</v>
      </c>
      <c r="DC67">
        <f t="shared" si="157"/>
        <v>0</v>
      </c>
      <c r="DD67" t="s">
        <v>242</v>
      </c>
      <c r="DE67" t="s">
        <v>242</v>
      </c>
      <c r="DF67">
        <f t="shared" si="255"/>
        <v>198958.5</v>
      </c>
      <c r="DG67">
        <f t="shared" si="256"/>
        <v>0</v>
      </c>
      <c r="DH67">
        <f t="shared" si="257"/>
        <v>0</v>
      </c>
      <c r="DI67">
        <f t="shared" si="246"/>
        <v>0</v>
      </c>
      <c r="DJ67">
        <f t="shared" si="258"/>
        <v>198958.5</v>
      </c>
      <c r="DK67">
        <v>0</v>
      </c>
      <c r="DL67" t="s">
        <v>242</v>
      </c>
      <c r="DM67">
        <v>0</v>
      </c>
      <c r="DN67" t="s">
        <v>242</v>
      </c>
      <c r="DO67">
        <v>0</v>
      </c>
    </row>
    <row r="68">
      <c r="A68">
        <f>ROW(Source!A38)</f>
        <v>38</v>
      </c>
      <c r="B68">
        <v>65099320</v>
      </c>
      <c r="C68">
        <v>65099438</v>
      </c>
      <c r="D68">
        <v>55684335</v>
      </c>
      <c r="E68">
        <v>70</v>
      </c>
      <c r="F68">
        <v>1</v>
      </c>
      <c r="G68">
        <v>1</v>
      </c>
      <c r="H68">
        <v>1</v>
      </c>
      <c r="I68" t="s">
        <v>566</v>
      </c>
      <c r="J68" t="s">
        <v>242</v>
      </c>
      <c r="K68" t="s">
        <v>567</v>
      </c>
      <c r="L68">
        <v>1191</v>
      </c>
      <c r="N68">
        <v>1013</v>
      </c>
      <c r="O68" t="s">
        <v>30</v>
      </c>
      <c r="P68" t="s">
        <v>30</v>
      </c>
      <c r="Q68">
        <v>1</v>
      </c>
      <c r="W68">
        <v>0</v>
      </c>
      <c r="X68">
        <v>-2012709214</v>
      </c>
      <c r="Y68">
        <f t="shared" si="152"/>
        <v>59.920000000000002</v>
      </c>
      <c r="AA68">
        <v>0</v>
      </c>
      <c r="AB68">
        <v>0</v>
      </c>
      <c r="AC68">
        <v>0</v>
      </c>
      <c r="AD68">
        <v>520.00999999999999</v>
      </c>
      <c r="AE68">
        <v>0</v>
      </c>
      <c r="AF68">
        <v>0</v>
      </c>
      <c r="AG68">
        <v>0</v>
      </c>
      <c r="AH68">
        <v>9.4000000000000004</v>
      </c>
      <c r="AI68">
        <v>1</v>
      </c>
      <c r="AJ68">
        <v>1</v>
      </c>
      <c r="AK68">
        <v>1</v>
      </c>
      <c r="AL68">
        <v>55.32</v>
      </c>
      <c r="AM68">
        <v>4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242</v>
      </c>
      <c r="AT68">
        <v>59.920000000000002</v>
      </c>
      <c r="AU68" t="s">
        <v>242</v>
      </c>
      <c r="AV68">
        <v>1</v>
      </c>
      <c r="AW68">
        <v>2</v>
      </c>
      <c r="AX68">
        <v>65099439</v>
      </c>
      <c r="AY68">
        <v>1</v>
      </c>
      <c r="AZ68">
        <v>0</v>
      </c>
      <c r="BA68">
        <v>76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U68">
        <f>ROUND(AT68*Source!I38*AH68*AL68,2)</f>
        <v>3115.8899999999999</v>
      </c>
      <c r="CV68">
        <f>ROUND(Y68*Source!I38,7)</f>
        <v>5.992</v>
      </c>
      <c r="CW68">
        <v>0</v>
      </c>
      <c r="CX68">
        <f>ROUND(Y68*Source!I38,7)</f>
        <v>5.992</v>
      </c>
      <c r="CY68">
        <f t="shared" ref="CY68:CY69" si="259">AD68</f>
        <v>520.00999999999999</v>
      </c>
      <c r="CZ68">
        <f t="shared" ref="CZ68:CZ69" si="260">AH68</f>
        <v>9.4000000000000004</v>
      </c>
      <c r="DA68">
        <f t="shared" ref="DA68:DA69" si="261">AL68</f>
        <v>55.32</v>
      </c>
      <c r="DB68">
        <f t="shared" si="156"/>
        <v>563.25</v>
      </c>
      <c r="DC68">
        <f t="shared" si="157"/>
        <v>0</v>
      </c>
      <c r="DD68" t="s">
        <v>242</v>
      </c>
      <c r="DE68" t="s">
        <v>242</v>
      </c>
      <c r="DF68">
        <f t="shared" ref="DF68:DF72" si="262">ROUND(ROUND(AE68,2)*CX68,2)</f>
        <v>0</v>
      </c>
      <c r="DG68">
        <f t="shared" si="256"/>
        <v>0</v>
      </c>
      <c r="DH68">
        <f t="shared" si="257"/>
        <v>0</v>
      </c>
      <c r="DI68">
        <f>ROUND(ROUND(AH68*AL68,2)*CX68,2)</f>
        <v>3115.9000000000001</v>
      </c>
      <c r="DJ68">
        <f t="shared" ref="DJ68:DJ69" si="263">DI68</f>
        <v>3115.9000000000001</v>
      </c>
      <c r="DK68">
        <v>0</v>
      </c>
      <c r="DL68" t="s">
        <v>242</v>
      </c>
      <c r="DM68">
        <v>0</v>
      </c>
      <c r="DN68" t="s">
        <v>242</v>
      </c>
      <c r="DO68">
        <v>0</v>
      </c>
    </row>
    <row r="69">
      <c r="A69">
        <f>ROW(Source!A38)</f>
        <v>38</v>
      </c>
      <c r="B69">
        <v>65099320</v>
      </c>
      <c r="C69">
        <v>65099438</v>
      </c>
      <c r="D69">
        <v>55684491</v>
      </c>
      <c r="E69">
        <v>70</v>
      </c>
      <c r="F69">
        <v>1</v>
      </c>
      <c r="G69">
        <v>1</v>
      </c>
      <c r="H69">
        <v>1</v>
      </c>
      <c r="I69" t="s">
        <v>485</v>
      </c>
      <c r="J69" t="s">
        <v>242</v>
      </c>
      <c r="K69" t="s">
        <v>486</v>
      </c>
      <c r="L69">
        <v>1191</v>
      </c>
      <c r="N69">
        <v>1013</v>
      </c>
      <c r="O69" t="s">
        <v>30</v>
      </c>
      <c r="P69" t="s">
        <v>30</v>
      </c>
      <c r="Q69">
        <v>1</v>
      </c>
      <c r="W69">
        <v>0</v>
      </c>
      <c r="X69">
        <v>-1417349443</v>
      </c>
      <c r="Y69">
        <f t="shared" si="152"/>
        <v>0.10000000000000001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55.32</v>
      </c>
      <c r="AL69">
        <v>1</v>
      </c>
      <c r="AM69">
        <v>4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242</v>
      </c>
      <c r="AT69">
        <v>0.10000000000000001</v>
      </c>
      <c r="AU69" t="s">
        <v>242</v>
      </c>
      <c r="AV69">
        <v>2</v>
      </c>
      <c r="AW69">
        <v>2</v>
      </c>
      <c r="AX69">
        <v>65099440</v>
      </c>
      <c r="AY69">
        <v>1</v>
      </c>
      <c r="AZ69">
        <v>0</v>
      </c>
      <c r="BA69">
        <v>77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v>0</v>
      </c>
      <c r="CX69">
        <f>ROUND(Y69*Source!I38,7)</f>
        <v>0.01</v>
      </c>
      <c r="CY69">
        <f t="shared" si="259"/>
        <v>0</v>
      </c>
      <c r="CZ69">
        <f t="shared" si="260"/>
        <v>0</v>
      </c>
      <c r="DA69">
        <f t="shared" si="261"/>
        <v>1</v>
      </c>
      <c r="DB69">
        <f t="shared" si="156"/>
        <v>0</v>
      </c>
      <c r="DC69">
        <f t="shared" si="157"/>
        <v>0</v>
      </c>
      <c r="DD69" t="s">
        <v>242</v>
      </c>
      <c r="DE69" t="s">
        <v>242</v>
      </c>
      <c r="DF69">
        <f t="shared" si="262"/>
        <v>0</v>
      </c>
      <c r="DG69">
        <f t="shared" si="256"/>
        <v>0</v>
      </c>
      <c r="DH69">
        <f t="shared" ref="DH69:DH72" si="264">ROUND(ROUND(AG69*AK69,2)*CX69,2)</f>
        <v>0</v>
      </c>
      <c r="DI69">
        <f t="shared" ref="DI69:DI78" si="265">ROUND(ROUND(AH69,2)*CX69,2)</f>
        <v>0</v>
      </c>
      <c r="DJ69">
        <f t="shared" si="263"/>
        <v>0</v>
      </c>
      <c r="DK69">
        <v>0</v>
      </c>
      <c r="DL69" t="s">
        <v>242</v>
      </c>
      <c r="DM69">
        <v>0</v>
      </c>
      <c r="DN69" t="s">
        <v>242</v>
      </c>
      <c r="DO69">
        <v>0</v>
      </c>
    </row>
    <row r="70">
      <c r="A70">
        <f>ROW(Source!A38)</f>
        <v>38</v>
      </c>
      <c r="B70">
        <v>65099320</v>
      </c>
      <c r="C70">
        <v>65099438</v>
      </c>
      <c r="D70">
        <v>55846101</v>
      </c>
      <c r="E70">
        <v>1</v>
      </c>
      <c r="F70">
        <v>1</v>
      </c>
      <c r="G70">
        <v>1</v>
      </c>
      <c r="H70">
        <v>2</v>
      </c>
      <c r="I70" t="s">
        <v>568</v>
      </c>
      <c r="J70" t="s">
        <v>569</v>
      </c>
      <c r="K70" t="s">
        <v>570</v>
      </c>
      <c r="L70">
        <v>1367</v>
      </c>
      <c r="N70">
        <v>1011</v>
      </c>
      <c r="O70" t="s">
        <v>490</v>
      </c>
      <c r="P70" t="s">
        <v>490</v>
      </c>
      <c r="Q70">
        <v>1</v>
      </c>
      <c r="W70">
        <v>0</v>
      </c>
      <c r="X70">
        <v>-130837057</v>
      </c>
      <c r="Y70">
        <f t="shared" si="152"/>
        <v>0.02</v>
      </c>
      <c r="AA70">
        <v>0</v>
      </c>
      <c r="AB70">
        <v>1416.96</v>
      </c>
      <c r="AC70">
        <v>746.82000000000005</v>
      </c>
      <c r="AD70">
        <v>0</v>
      </c>
      <c r="AE70">
        <v>0</v>
      </c>
      <c r="AF70">
        <v>86.400000000000006</v>
      </c>
      <c r="AG70">
        <v>13.5</v>
      </c>
      <c r="AH70">
        <v>0</v>
      </c>
      <c r="AI70">
        <v>1</v>
      </c>
      <c r="AJ70">
        <v>16.399999999999999</v>
      </c>
      <c r="AK70">
        <v>55.32</v>
      </c>
      <c r="AL70">
        <v>1</v>
      </c>
      <c r="AM70">
        <v>4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242</v>
      </c>
      <c r="AT70">
        <v>0.02</v>
      </c>
      <c r="AU70" t="s">
        <v>242</v>
      </c>
      <c r="AV70">
        <v>0</v>
      </c>
      <c r="AW70">
        <v>2</v>
      </c>
      <c r="AX70">
        <v>65099441</v>
      </c>
      <c r="AY70">
        <v>1</v>
      </c>
      <c r="AZ70">
        <v>0</v>
      </c>
      <c r="BA70">
        <v>78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V70">
        <v>0</v>
      </c>
      <c r="CW70">
        <f>ROUND(Y70*Source!I38*DO70,7)</f>
        <v>0</v>
      </c>
      <c r="CX70">
        <f>ROUND(Y70*Source!I38,7)</f>
        <v>0.002</v>
      </c>
      <c r="CY70">
        <f t="shared" ref="CY70:CY72" si="266">AB70</f>
        <v>1416.96</v>
      </c>
      <c r="CZ70">
        <f t="shared" ref="CZ70:CZ72" si="267">AF70</f>
        <v>86.400000000000006</v>
      </c>
      <c r="DA70">
        <f t="shared" ref="DA70:DA72" si="268">AJ70</f>
        <v>16.399999999999999</v>
      </c>
      <c r="DB70">
        <f t="shared" si="156"/>
        <v>1.73</v>
      </c>
      <c r="DC70">
        <f t="shared" si="157"/>
        <v>0.27000000000000002</v>
      </c>
      <c r="DD70" t="s">
        <v>242</v>
      </c>
      <c r="DE70" t="s">
        <v>242</v>
      </c>
      <c r="DF70">
        <f t="shared" si="262"/>
        <v>0</v>
      </c>
      <c r="DG70">
        <f t="shared" ref="DG70:DG72" si="269">ROUND(ROUND(AF70*AJ70,2)*CX70,2)</f>
        <v>2.8300000000000001</v>
      </c>
      <c r="DH70">
        <f t="shared" si="264"/>
        <v>1.49</v>
      </c>
      <c r="DI70">
        <f t="shared" si="265"/>
        <v>0</v>
      </c>
      <c r="DJ70">
        <f t="shared" ref="DJ70:DJ72" si="270">DG70</f>
        <v>2.8300000000000001</v>
      </c>
      <c r="DK70">
        <v>0</v>
      </c>
      <c r="DL70" t="s">
        <v>242</v>
      </c>
      <c r="DM70">
        <v>0</v>
      </c>
      <c r="DN70" t="s">
        <v>242</v>
      </c>
      <c r="DO70">
        <v>0</v>
      </c>
    </row>
    <row r="71">
      <c r="A71">
        <f>ROW(Source!A38)</f>
        <v>38</v>
      </c>
      <c r="B71">
        <v>65099320</v>
      </c>
      <c r="C71">
        <v>65099438</v>
      </c>
      <c r="D71">
        <v>55846159</v>
      </c>
      <c r="E71">
        <v>1</v>
      </c>
      <c r="F71">
        <v>1</v>
      </c>
      <c r="G71">
        <v>1</v>
      </c>
      <c r="H71">
        <v>2</v>
      </c>
      <c r="I71" t="s">
        <v>571</v>
      </c>
      <c r="J71" t="s">
        <v>572</v>
      </c>
      <c r="K71" t="s">
        <v>573</v>
      </c>
      <c r="L71">
        <v>1367</v>
      </c>
      <c r="N71">
        <v>1011</v>
      </c>
      <c r="O71" t="s">
        <v>490</v>
      </c>
      <c r="P71" t="s">
        <v>490</v>
      </c>
      <c r="Q71">
        <v>1</v>
      </c>
      <c r="W71">
        <v>0</v>
      </c>
      <c r="X71">
        <v>-430484415</v>
      </c>
      <c r="Y71">
        <f t="shared" si="152"/>
        <v>0.040000000000000001</v>
      </c>
      <c r="AA71">
        <v>0</v>
      </c>
      <c r="AB71">
        <v>1892.5599999999999</v>
      </c>
      <c r="AC71">
        <v>746.82000000000005</v>
      </c>
      <c r="AD71">
        <v>0</v>
      </c>
      <c r="AE71">
        <v>0</v>
      </c>
      <c r="AF71">
        <v>115.40000000000001</v>
      </c>
      <c r="AG71">
        <v>13.5</v>
      </c>
      <c r="AH71">
        <v>0</v>
      </c>
      <c r="AI71">
        <v>1</v>
      </c>
      <c r="AJ71">
        <v>16.399999999999999</v>
      </c>
      <c r="AK71">
        <v>55.32</v>
      </c>
      <c r="AL71">
        <v>1</v>
      </c>
      <c r="AM71">
        <v>4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242</v>
      </c>
      <c r="AT71">
        <v>0.040000000000000001</v>
      </c>
      <c r="AU71" t="s">
        <v>242</v>
      </c>
      <c r="AV71">
        <v>0</v>
      </c>
      <c r="AW71">
        <v>2</v>
      </c>
      <c r="AX71">
        <v>65099442</v>
      </c>
      <c r="AY71">
        <v>1</v>
      </c>
      <c r="AZ71">
        <v>0</v>
      </c>
      <c r="BA71">
        <v>79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f>ROUND(Y71*Source!I38*DO71,7)</f>
        <v>0</v>
      </c>
      <c r="CX71">
        <f>ROUND(Y71*Source!I38,7)</f>
        <v>0.0040000000000000001</v>
      </c>
      <c r="CY71">
        <f t="shared" si="266"/>
        <v>1892.5599999999999</v>
      </c>
      <c r="CZ71">
        <f t="shared" si="267"/>
        <v>115.40000000000001</v>
      </c>
      <c r="DA71">
        <f t="shared" si="268"/>
        <v>16.399999999999999</v>
      </c>
      <c r="DB71">
        <f t="shared" si="156"/>
        <v>4.6200000000000001</v>
      </c>
      <c r="DC71">
        <f t="shared" si="157"/>
        <v>0.54000000000000004</v>
      </c>
      <c r="DD71" t="s">
        <v>242</v>
      </c>
      <c r="DE71" t="s">
        <v>242</v>
      </c>
      <c r="DF71">
        <f t="shared" si="262"/>
        <v>0</v>
      </c>
      <c r="DG71">
        <f t="shared" si="269"/>
        <v>7.5700000000000003</v>
      </c>
      <c r="DH71">
        <f t="shared" si="264"/>
        <v>2.9900000000000002</v>
      </c>
      <c r="DI71">
        <f t="shared" si="265"/>
        <v>0</v>
      </c>
      <c r="DJ71">
        <f t="shared" si="270"/>
        <v>7.5700000000000003</v>
      </c>
      <c r="DK71">
        <v>0</v>
      </c>
      <c r="DL71" t="s">
        <v>242</v>
      </c>
      <c r="DM71">
        <v>0</v>
      </c>
      <c r="DN71" t="s">
        <v>242</v>
      </c>
      <c r="DO71">
        <v>0</v>
      </c>
    </row>
    <row r="72">
      <c r="A72">
        <f>ROW(Source!A38)</f>
        <v>38</v>
      </c>
      <c r="B72">
        <v>65099320</v>
      </c>
      <c r="C72">
        <v>65099438</v>
      </c>
      <c r="D72">
        <v>55847089</v>
      </c>
      <c r="E72">
        <v>1</v>
      </c>
      <c r="F72">
        <v>1</v>
      </c>
      <c r="G72">
        <v>1</v>
      </c>
      <c r="H72">
        <v>2</v>
      </c>
      <c r="I72" t="s">
        <v>494</v>
      </c>
      <c r="J72" t="s">
        <v>495</v>
      </c>
      <c r="K72" t="s">
        <v>496</v>
      </c>
      <c r="L72">
        <v>1367</v>
      </c>
      <c r="N72">
        <v>1011</v>
      </c>
      <c r="O72" t="s">
        <v>490</v>
      </c>
      <c r="P72" t="s">
        <v>490</v>
      </c>
      <c r="Q72">
        <v>1</v>
      </c>
      <c r="W72">
        <v>0</v>
      </c>
      <c r="X72">
        <v>509054691</v>
      </c>
      <c r="Y72">
        <f t="shared" si="152"/>
        <v>0.040000000000000001</v>
      </c>
      <c r="AA72">
        <v>0</v>
      </c>
      <c r="AB72">
        <v>1077.6400000000001</v>
      </c>
      <c r="AC72">
        <v>641.71000000000004</v>
      </c>
      <c r="AD72">
        <v>0</v>
      </c>
      <c r="AE72">
        <v>0</v>
      </c>
      <c r="AF72">
        <v>65.709999999999994</v>
      </c>
      <c r="AG72">
        <v>11.6</v>
      </c>
      <c r="AH72">
        <v>0</v>
      </c>
      <c r="AI72">
        <v>1</v>
      </c>
      <c r="AJ72">
        <v>16.399999999999999</v>
      </c>
      <c r="AK72">
        <v>55.32</v>
      </c>
      <c r="AL72">
        <v>1</v>
      </c>
      <c r="AM72">
        <v>4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242</v>
      </c>
      <c r="AT72">
        <v>0.040000000000000001</v>
      </c>
      <c r="AU72" t="s">
        <v>242</v>
      </c>
      <c r="AV72">
        <v>0</v>
      </c>
      <c r="AW72">
        <v>2</v>
      </c>
      <c r="AX72">
        <v>65099443</v>
      </c>
      <c r="AY72">
        <v>1</v>
      </c>
      <c r="AZ72">
        <v>0</v>
      </c>
      <c r="BA72">
        <v>80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V72">
        <v>0</v>
      </c>
      <c r="CW72">
        <f>ROUND(Y72*Source!I38*DO72,7)</f>
        <v>0</v>
      </c>
      <c r="CX72">
        <f>ROUND(Y72*Source!I38,7)</f>
        <v>0.0040000000000000001</v>
      </c>
      <c r="CY72">
        <f t="shared" si="266"/>
        <v>1077.6400000000001</v>
      </c>
      <c r="CZ72">
        <f t="shared" si="267"/>
        <v>65.709999999999994</v>
      </c>
      <c r="DA72">
        <f t="shared" si="268"/>
        <v>16.399999999999999</v>
      </c>
      <c r="DB72">
        <f t="shared" si="156"/>
        <v>2.6299999999999999</v>
      </c>
      <c r="DC72">
        <f t="shared" si="157"/>
        <v>0.46000000000000002</v>
      </c>
      <c r="DD72" t="s">
        <v>242</v>
      </c>
      <c r="DE72" t="s">
        <v>242</v>
      </c>
      <c r="DF72">
        <f t="shared" si="262"/>
        <v>0</v>
      </c>
      <c r="DG72">
        <f t="shared" si="269"/>
        <v>4.3100000000000005</v>
      </c>
      <c r="DH72">
        <f t="shared" si="264"/>
        <v>2.5699999999999998</v>
      </c>
      <c r="DI72">
        <f t="shared" si="265"/>
        <v>0</v>
      </c>
      <c r="DJ72">
        <f t="shared" si="270"/>
        <v>4.3100000000000005</v>
      </c>
      <c r="DK72">
        <v>0</v>
      </c>
      <c r="DL72" t="s">
        <v>242</v>
      </c>
      <c r="DM72">
        <v>0</v>
      </c>
      <c r="DN72" t="s">
        <v>242</v>
      </c>
      <c r="DO72">
        <v>0</v>
      </c>
    </row>
    <row r="73">
      <c r="A73">
        <f>ROW(Source!A38)</f>
        <v>38</v>
      </c>
      <c r="B73">
        <v>65099320</v>
      </c>
      <c r="C73">
        <v>65099438</v>
      </c>
      <c r="D73">
        <v>55696789</v>
      </c>
      <c r="E73">
        <v>1</v>
      </c>
      <c r="F73">
        <v>1</v>
      </c>
      <c r="G73">
        <v>1</v>
      </c>
      <c r="H73">
        <v>3</v>
      </c>
      <c r="I73" t="s">
        <v>574</v>
      </c>
      <c r="J73" t="s">
        <v>575</v>
      </c>
      <c r="K73" t="s">
        <v>576</v>
      </c>
      <c r="L73">
        <v>1339</v>
      </c>
      <c r="N73">
        <v>1007</v>
      </c>
      <c r="O73" t="s">
        <v>516</v>
      </c>
      <c r="P73" t="s">
        <v>516</v>
      </c>
      <c r="Q73">
        <v>1</v>
      </c>
      <c r="W73">
        <v>0</v>
      </c>
      <c r="X73">
        <v>-143474561</v>
      </c>
      <c r="Y73">
        <f t="shared" si="152"/>
        <v>0.19700000000000001</v>
      </c>
      <c r="AA73">
        <v>23.300000000000001</v>
      </c>
      <c r="AB73">
        <v>0</v>
      </c>
      <c r="AC73">
        <v>0</v>
      </c>
      <c r="AD73">
        <v>0</v>
      </c>
      <c r="AE73">
        <v>2.4399999999999999</v>
      </c>
      <c r="AF73">
        <v>0</v>
      </c>
      <c r="AG73">
        <v>0</v>
      </c>
      <c r="AH73">
        <v>0</v>
      </c>
      <c r="AI73">
        <v>9.5500000000000007</v>
      </c>
      <c r="AJ73">
        <v>1</v>
      </c>
      <c r="AK73">
        <v>1</v>
      </c>
      <c r="AL73">
        <v>1</v>
      </c>
      <c r="AM73">
        <v>4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242</v>
      </c>
      <c r="AT73">
        <v>0.19700000000000001</v>
      </c>
      <c r="AU73" t="s">
        <v>242</v>
      </c>
      <c r="AV73">
        <v>0</v>
      </c>
      <c r="AW73">
        <v>2</v>
      </c>
      <c r="AX73">
        <v>65099444</v>
      </c>
      <c r="AY73">
        <v>1</v>
      </c>
      <c r="AZ73">
        <v>0</v>
      </c>
      <c r="BA73">
        <v>81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v>0</v>
      </c>
      <c r="CX73">
        <f>ROUND(Y73*Source!I38,7)</f>
        <v>0.019699999999999999</v>
      </c>
      <c r="CY73">
        <f t="shared" ref="CY73:CY78" si="271">AA73</f>
        <v>23.300000000000001</v>
      </c>
      <c r="CZ73">
        <f t="shared" ref="CZ73:CZ78" si="272">AE73</f>
        <v>2.4399999999999999</v>
      </c>
      <c r="DA73">
        <f t="shared" ref="DA73:DA78" si="273">AI73</f>
        <v>9.5500000000000007</v>
      </c>
      <c r="DB73">
        <f t="shared" si="156"/>
        <v>0.47999999999999998</v>
      </c>
      <c r="DC73">
        <f t="shared" si="157"/>
        <v>0</v>
      </c>
      <c r="DD73" t="s">
        <v>242</v>
      </c>
      <c r="DE73" t="s">
        <v>242</v>
      </c>
      <c r="DF73">
        <f t="shared" ref="DF73:DF78" si="274">ROUND(ROUND(AE73*AI73,2)*CX73,2)</f>
        <v>0.46000000000000002</v>
      </c>
      <c r="DG73">
        <f t="shared" ref="DG73:DG80" si="275">ROUND(ROUND(AF73,2)*CX73,2)</f>
        <v>0</v>
      </c>
      <c r="DH73">
        <f t="shared" ref="DH73:DH79" si="276">ROUND(ROUND(AG73,2)*CX73,2)</f>
        <v>0</v>
      </c>
      <c r="DI73">
        <f t="shared" si="265"/>
        <v>0</v>
      </c>
      <c r="DJ73">
        <f t="shared" ref="DJ73:DJ78" si="277">DF73</f>
        <v>0.46000000000000002</v>
      </c>
      <c r="DK73">
        <v>0</v>
      </c>
      <c r="DL73" t="s">
        <v>242</v>
      </c>
      <c r="DM73">
        <v>0</v>
      </c>
      <c r="DN73" t="s">
        <v>242</v>
      </c>
      <c r="DO73">
        <v>0</v>
      </c>
    </row>
    <row r="74">
      <c r="A74">
        <f>ROW(Source!A38)</f>
        <v>38</v>
      </c>
      <c r="B74">
        <v>65099320</v>
      </c>
      <c r="C74">
        <v>65099438</v>
      </c>
      <c r="D74">
        <v>55699057</v>
      </c>
      <c r="E74">
        <v>1</v>
      </c>
      <c r="F74">
        <v>1</v>
      </c>
      <c r="G74">
        <v>1</v>
      </c>
      <c r="H74">
        <v>3</v>
      </c>
      <c r="I74" t="s">
        <v>577</v>
      </c>
      <c r="J74" t="s">
        <v>578</v>
      </c>
      <c r="K74" t="s">
        <v>579</v>
      </c>
      <c r="L74">
        <v>1348</v>
      </c>
      <c r="N74">
        <v>1009</v>
      </c>
      <c r="O74" t="s">
        <v>500</v>
      </c>
      <c r="P74" t="s">
        <v>500</v>
      </c>
      <c r="Q74">
        <v>1000</v>
      </c>
      <c r="W74">
        <v>0</v>
      </c>
      <c r="X74">
        <v>-1292822538</v>
      </c>
      <c r="Y74">
        <f t="shared" si="152"/>
        <v>0.0011999999999999999</v>
      </c>
      <c r="AA74">
        <v>141626.5</v>
      </c>
      <c r="AB74">
        <v>0</v>
      </c>
      <c r="AC74">
        <v>0</v>
      </c>
      <c r="AD74">
        <v>0</v>
      </c>
      <c r="AE74">
        <v>14830</v>
      </c>
      <c r="AF74">
        <v>0</v>
      </c>
      <c r="AG74">
        <v>0</v>
      </c>
      <c r="AH74">
        <v>0</v>
      </c>
      <c r="AI74">
        <v>9.5500000000000007</v>
      </c>
      <c r="AJ74">
        <v>1</v>
      </c>
      <c r="AK74">
        <v>1</v>
      </c>
      <c r="AL74">
        <v>1</v>
      </c>
      <c r="AM74">
        <v>4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242</v>
      </c>
      <c r="AT74">
        <v>0.0011999999999999999</v>
      </c>
      <c r="AU74" t="s">
        <v>242</v>
      </c>
      <c r="AV74">
        <v>0</v>
      </c>
      <c r="AW74">
        <v>2</v>
      </c>
      <c r="AX74">
        <v>65099445</v>
      </c>
      <c r="AY74">
        <v>1</v>
      </c>
      <c r="AZ74">
        <v>0</v>
      </c>
      <c r="BA74">
        <v>82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V74">
        <v>0</v>
      </c>
      <c r="CW74">
        <v>0</v>
      </c>
      <c r="CX74">
        <f>ROUND(Y74*Source!I38,7)</f>
        <v>0.00011999999999999999</v>
      </c>
      <c r="CY74">
        <f t="shared" si="271"/>
        <v>141626.5</v>
      </c>
      <c r="CZ74">
        <f t="shared" si="272"/>
        <v>14830</v>
      </c>
      <c r="DA74">
        <f t="shared" si="273"/>
        <v>9.5500000000000007</v>
      </c>
      <c r="DB74">
        <f t="shared" si="156"/>
        <v>17.800000000000001</v>
      </c>
      <c r="DC74">
        <f t="shared" si="157"/>
        <v>0</v>
      </c>
      <c r="DD74" t="s">
        <v>242</v>
      </c>
      <c r="DE74" t="s">
        <v>242</v>
      </c>
      <c r="DF74">
        <f t="shared" si="274"/>
        <v>17</v>
      </c>
      <c r="DG74">
        <f t="shared" si="275"/>
        <v>0</v>
      </c>
      <c r="DH74">
        <f t="shared" si="276"/>
        <v>0</v>
      </c>
      <c r="DI74">
        <f t="shared" si="265"/>
        <v>0</v>
      </c>
      <c r="DJ74">
        <f t="shared" si="277"/>
        <v>17</v>
      </c>
      <c r="DK74">
        <v>0</v>
      </c>
      <c r="DL74" t="s">
        <v>242</v>
      </c>
      <c r="DM74">
        <v>0</v>
      </c>
      <c r="DN74" t="s">
        <v>242</v>
      </c>
      <c r="DO74">
        <v>0</v>
      </c>
    </row>
    <row r="75">
      <c r="A75">
        <f>ROW(Source!A38)</f>
        <v>38</v>
      </c>
      <c r="B75">
        <v>65099320</v>
      </c>
      <c r="C75">
        <v>65099438</v>
      </c>
      <c r="D75">
        <v>55700034</v>
      </c>
      <c r="E75">
        <v>1</v>
      </c>
      <c r="F75">
        <v>1</v>
      </c>
      <c r="G75">
        <v>1</v>
      </c>
      <c r="H75">
        <v>3</v>
      </c>
      <c r="I75" t="s">
        <v>580</v>
      </c>
      <c r="J75" t="s">
        <v>581</v>
      </c>
      <c r="K75" t="s">
        <v>582</v>
      </c>
      <c r="L75">
        <v>1425</v>
      </c>
      <c r="N75">
        <v>1013</v>
      </c>
      <c r="O75" t="s">
        <v>255</v>
      </c>
      <c r="P75" t="s">
        <v>255</v>
      </c>
      <c r="Q75">
        <v>1</v>
      </c>
      <c r="W75">
        <v>0</v>
      </c>
      <c r="X75">
        <v>35675083</v>
      </c>
      <c r="Y75">
        <f t="shared" si="152"/>
        <v>0.12</v>
      </c>
      <c r="AA75">
        <v>706.70000000000005</v>
      </c>
      <c r="AB75">
        <v>0</v>
      </c>
      <c r="AC75">
        <v>0</v>
      </c>
      <c r="AD75">
        <v>0</v>
      </c>
      <c r="AE75">
        <v>74</v>
      </c>
      <c r="AF75">
        <v>0</v>
      </c>
      <c r="AG75">
        <v>0</v>
      </c>
      <c r="AH75">
        <v>0</v>
      </c>
      <c r="AI75">
        <v>9.5500000000000007</v>
      </c>
      <c r="AJ75">
        <v>1</v>
      </c>
      <c r="AK75">
        <v>1</v>
      </c>
      <c r="AL75">
        <v>1</v>
      </c>
      <c r="AM75">
        <v>4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242</v>
      </c>
      <c r="AT75">
        <v>0.12</v>
      </c>
      <c r="AU75" t="s">
        <v>242</v>
      </c>
      <c r="AV75">
        <v>0</v>
      </c>
      <c r="AW75">
        <v>2</v>
      </c>
      <c r="AX75">
        <v>65099446</v>
      </c>
      <c r="AY75">
        <v>1</v>
      </c>
      <c r="AZ75">
        <v>0</v>
      </c>
      <c r="BA75">
        <v>83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>
        <f>ROUND(Y75*Source!I38,7)</f>
        <v>0.012</v>
      </c>
      <c r="CY75">
        <f t="shared" si="271"/>
        <v>706.70000000000005</v>
      </c>
      <c r="CZ75">
        <f t="shared" si="272"/>
        <v>74</v>
      </c>
      <c r="DA75">
        <f t="shared" si="273"/>
        <v>9.5500000000000007</v>
      </c>
      <c r="DB75">
        <f t="shared" si="156"/>
        <v>8.8800000000000008</v>
      </c>
      <c r="DC75">
        <f t="shared" si="157"/>
        <v>0</v>
      </c>
      <c r="DD75" t="s">
        <v>242</v>
      </c>
      <c r="DE75" t="s">
        <v>242</v>
      </c>
      <c r="DF75">
        <f t="shared" si="274"/>
        <v>8.4800000000000004</v>
      </c>
      <c r="DG75">
        <f t="shared" si="275"/>
        <v>0</v>
      </c>
      <c r="DH75">
        <f t="shared" si="276"/>
        <v>0</v>
      </c>
      <c r="DI75">
        <f t="shared" si="265"/>
        <v>0</v>
      </c>
      <c r="DJ75">
        <f t="shared" si="277"/>
        <v>8.4800000000000004</v>
      </c>
      <c r="DK75">
        <v>0</v>
      </c>
      <c r="DL75" t="s">
        <v>242</v>
      </c>
      <c r="DM75">
        <v>0</v>
      </c>
      <c r="DN75" t="s">
        <v>242</v>
      </c>
      <c r="DO75">
        <v>0</v>
      </c>
    </row>
    <row r="76">
      <c r="A76">
        <f>ROW(Source!A38)</f>
        <v>38</v>
      </c>
      <c r="B76">
        <v>65099320</v>
      </c>
      <c r="C76">
        <v>65099438</v>
      </c>
      <c r="D76">
        <v>55750553</v>
      </c>
      <c r="E76">
        <v>1</v>
      </c>
      <c r="F76">
        <v>1</v>
      </c>
      <c r="G76">
        <v>1</v>
      </c>
      <c r="H76">
        <v>3</v>
      </c>
      <c r="I76" t="s">
        <v>320</v>
      </c>
      <c r="J76" t="s">
        <v>323</v>
      </c>
      <c r="K76" t="s">
        <v>321</v>
      </c>
      <c r="L76">
        <v>1346</v>
      </c>
      <c r="N76">
        <v>1009</v>
      </c>
      <c r="O76" t="s">
        <v>322</v>
      </c>
      <c r="P76" t="s">
        <v>322</v>
      </c>
      <c r="Q76">
        <v>1</v>
      </c>
      <c r="W76">
        <v>0</v>
      </c>
      <c r="X76">
        <v>-1055274942</v>
      </c>
      <c r="Y76">
        <f t="shared" si="152"/>
        <v>10</v>
      </c>
      <c r="AA76">
        <v>114.5</v>
      </c>
      <c r="AB76">
        <v>0</v>
      </c>
      <c r="AC76">
        <v>0</v>
      </c>
      <c r="AD76">
        <v>0</v>
      </c>
      <c r="AE76">
        <v>11.99</v>
      </c>
      <c r="AF76">
        <v>0</v>
      </c>
      <c r="AG76">
        <v>0</v>
      </c>
      <c r="AH76">
        <v>0</v>
      </c>
      <c r="AI76">
        <v>9.5500000000000007</v>
      </c>
      <c r="AJ76">
        <v>1</v>
      </c>
      <c r="AK76">
        <v>1</v>
      </c>
      <c r="AL76">
        <v>1</v>
      </c>
      <c r="AM76">
        <v>0</v>
      </c>
      <c r="AN76">
        <v>1</v>
      </c>
      <c r="AO76">
        <v>0</v>
      </c>
      <c r="AP76">
        <v>1</v>
      </c>
      <c r="AQ76">
        <v>0</v>
      </c>
      <c r="AR76">
        <v>0</v>
      </c>
      <c r="AS76" t="s">
        <v>242</v>
      </c>
      <c r="AT76">
        <v>10</v>
      </c>
      <c r="AU76" t="s">
        <v>242</v>
      </c>
      <c r="AV76">
        <v>0</v>
      </c>
      <c r="AW76">
        <v>1</v>
      </c>
      <c r="AX76">
        <v>-1</v>
      </c>
      <c r="AY76">
        <v>0</v>
      </c>
      <c r="AZ76">
        <v>0</v>
      </c>
      <c r="BA76" t="s">
        <v>242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>
        <f>ROUND(Y76*Source!I38,7)</f>
        <v>1</v>
      </c>
      <c r="CY76">
        <f t="shared" si="271"/>
        <v>114.5</v>
      </c>
      <c r="CZ76">
        <f t="shared" si="272"/>
        <v>11.99</v>
      </c>
      <c r="DA76">
        <f t="shared" si="273"/>
        <v>9.5500000000000007</v>
      </c>
      <c r="DB76">
        <f t="shared" si="156"/>
        <v>119.90000000000001</v>
      </c>
      <c r="DC76">
        <f t="shared" si="157"/>
        <v>0</v>
      </c>
      <c r="DD76" t="s">
        <v>242</v>
      </c>
      <c r="DE76" t="s">
        <v>242</v>
      </c>
      <c r="DF76">
        <f t="shared" si="274"/>
        <v>114.5</v>
      </c>
      <c r="DG76">
        <f t="shared" si="275"/>
        <v>0</v>
      </c>
      <c r="DH76">
        <f t="shared" si="276"/>
        <v>0</v>
      </c>
      <c r="DI76">
        <f t="shared" si="265"/>
        <v>0</v>
      </c>
      <c r="DJ76">
        <f t="shared" si="277"/>
        <v>114.5</v>
      </c>
      <c r="DK76">
        <v>0</v>
      </c>
      <c r="DL76" t="s">
        <v>242</v>
      </c>
      <c r="DM76">
        <v>0</v>
      </c>
      <c r="DN76" t="s">
        <v>242</v>
      </c>
      <c r="DO76">
        <v>0</v>
      </c>
    </row>
    <row r="77">
      <c r="A77">
        <f>ROW(Source!A38)</f>
        <v>38</v>
      </c>
      <c r="B77">
        <v>65099320</v>
      </c>
      <c r="C77">
        <v>65099438</v>
      </c>
      <c r="D77">
        <v>55756915</v>
      </c>
      <c r="E77">
        <v>1</v>
      </c>
      <c r="F77">
        <v>1</v>
      </c>
      <c r="G77">
        <v>1</v>
      </c>
      <c r="H77">
        <v>3</v>
      </c>
      <c r="I77" t="s">
        <v>325</v>
      </c>
      <c r="J77" t="s">
        <v>328</v>
      </c>
      <c r="K77" t="s">
        <v>326</v>
      </c>
      <c r="L77">
        <v>1301</v>
      </c>
      <c r="N77">
        <v>1003</v>
      </c>
      <c r="O77" t="s">
        <v>327</v>
      </c>
      <c r="P77" t="s">
        <v>327</v>
      </c>
      <c r="Q77">
        <v>1</v>
      </c>
      <c r="W77">
        <v>0</v>
      </c>
      <c r="X77">
        <v>961120767</v>
      </c>
      <c r="Y77">
        <f t="shared" si="152"/>
        <v>99.799999999999997</v>
      </c>
      <c r="AA77">
        <v>99.129999999999995</v>
      </c>
      <c r="AB77">
        <v>0</v>
      </c>
      <c r="AC77">
        <v>0</v>
      </c>
      <c r="AD77">
        <v>0</v>
      </c>
      <c r="AE77">
        <v>10.380000000000001</v>
      </c>
      <c r="AF77">
        <v>0</v>
      </c>
      <c r="AG77">
        <v>0</v>
      </c>
      <c r="AH77">
        <v>0</v>
      </c>
      <c r="AI77">
        <v>9.5500000000000007</v>
      </c>
      <c r="AJ77">
        <v>1</v>
      </c>
      <c r="AK77">
        <v>1</v>
      </c>
      <c r="AL77">
        <v>1</v>
      </c>
      <c r="AM77">
        <v>0</v>
      </c>
      <c r="AN77">
        <v>0</v>
      </c>
      <c r="AO77">
        <v>0</v>
      </c>
      <c r="AP77">
        <v>1</v>
      </c>
      <c r="AQ77">
        <v>0</v>
      </c>
      <c r="AR77">
        <v>0</v>
      </c>
      <c r="AS77" t="s">
        <v>242</v>
      </c>
      <c r="AT77">
        <v>99.799999999999997</v>
      </c>
      <c r="AU77" t="s">
        <v>242</v>
      </c>
      <c r="AV77">
        <v>0</v>
      </c>
      <c r="AW77">
        <v>1</v>
      </c>
      <c r="AX77">
        <v>-1</v>
      </c>
      <c r="AY77">
        <v>0</v>
      </c>
      <c r="AZ77">
        <v>0</v>
      </c>
      <c r="BA77" t="s">
        <v>242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V77">
        <v>0</v>
      </c>
      <c r="CW77">
        <v>0</v>
      </c>
      <c r="CX77">
        <f>ROUND(Y77*Source!I38,7)</f>
        <v>9.9800000000000004</v>
      </c>
      <c r="CY77">
        <f t="shared" si="271"/>
        <v>99.129999999999995</v>
      </c>
      <c r="CZ77">
        <f t="shared" si="272"/>
        <v>10.380000000000001</v>
      </c>
      <c r="DA77">
        <f t="shared" si="273"/>
        <v>9.5500000000000007</v>
      </c>
      <c r="DB77">
        <f t="shared" si="156"/>
        <v>1035.9200000000001</v>
      </c>
      <c r="DC77">
        <f t="shared" si="157"/>
        <v>0</v>
      </c>
      <c r="DD77" t="s">
        <v>242</v>
      </c>
      <c r="DE77" t="s">
        <v>242</v>
      </c>
      <c r="DF77">
        <f t="shared" si="274"/>
        <v>989.32000000000005</v>
      </c>
      <c r="DG77">
        <f t="shared" si="275"/>
        <v>0</v>
      </c>
      <c r="DH77">
        <f t="shared" si="276"/>
        <v>0</v>
      </c>
      <c r="DI77">
        <f t="shared" si="265"/>
        <v>0</v>
      </c>
      <c r="DJ77">
        <f t="shared" si="277"/>
        <v>989.32000000000005</v>
      </c>
      <c r="DK77">
        <v>0</v>
      </c>
      <c r="DL77" t="s">
        <v>242</v>
      </c>
      <c r="DM77">
        <v>0</v>
      </c>
      <c r="DN77" t="s">
        <v>242</v>
      </c>
      <c r="DO77">
        <v>0</v>
      </c>
    </row>
    <row r="78">
      <c r="A78">
        <f>ROW(Source!A38)</f>
        <v>38</v>
      </c>
      <c r="B78">
        <v>65099320</v>
      </c>
      <c r="C78">
        <v>65099438</v>
      </c>
      <c r="D78">
        <v>55689036</v>
      </c>
      <c r="E78">
        <v>70</v>
      </c>
      <c r="F78">
        <v>1</v>
      </c>
      <c r="G78">
        <v>1</v>
      </c>
      <c r="H78">
        <v>3</v>
      </c>
      <c r="I78" t="s">
        <v>201</v>
      </c>
      <c r="J78" t="s">
        <v>242</v>
      </c>
      <c r="K78" t="s">
        <v>330</v>
      </c>
      <c r="L78">
        <v>1371</v>
      </c>
      <c r="N78">
        <v>1013</v>
      </c>
      <c r="O78" t="s">
        <v>312</v>
      </c>
      <c r="P78" t="s">
        <v>312</v>
      </c>
      <c r="Q78">
        <v>1</v>
      </c>
      <c r="W78">
        <v>0</v>
      </c>
      <c r="X78">
        <v>2066278353</v>
      </c>
      <c r="Y78">
        <f t="shared" ref="Y78:Y102" si="278">AT78</f>
        <v>50</v>
      </c>
      <c r="AA78">
        <v>636.70000000000005</v>
      </c>
      <c r="AB78">
        <v>0</v>
      </c>
      <c r="AC78">
        <v>0</v>
      </c>
      <c r="AD78">
        <v>0</v>
      </c>
      <c r="AE78">
        <v>66.670000000000002</v>
      </c>
      <c r="AF78">
        <v>0</v>
      </c>
      <c r="AG78">
        <v>0</v>
      </c>
      <c r="AH78">
        <v>0</v>
      </c>
      <c r="AI78">
        <v>9.5500000000000007</v>
      </c>
      <c r="AJ78">
        <v>1</v>
      </c>
      <c r="AK78">
        <v>1</v>
      </c>
      <c r="AL78">
        <v>1</v>
      </c>
      <c r="AM78">
        <v>0</v>
      </c>
      <c r="AN78">
        <v>1</v>
      </c>
      <c r="AO78">
        <v>0</v>
      </c>
      <c r="AP78">
        <v>1</v>
      </c>
      <c r="AQ78">
        <v>0</v>
      </c>
      <c r="AR78">
        <v>0</v>
      </c>
      <c r="AS78" t="s">
        <v>242</v>
      </c>
      <c r="AT78">
        <v>50</v>
      </c>
      <c r="AU78" t="s">
        <v>242</v>
      </c>
      <c r="AV78">
        <v>0</v>
      </c>
      <c r="AW78">
        <v>2</v>
      </c>
      <c r="AX78">
        <v>65099450</v>
      </c>
      <c r="AY78">
        <v>2</v>
      </c>
      <c r="AZ78">
        <v>22528</v>
      </c>
      <c r="BA78">
        <v>87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ROUND(Y78*Source!I38,7)</f>
        <v>5</v>
      </c>
      <c r="CY78">
        <f t="shared" si="271"/>
        <v>636.70000000000005</v>
      </c>
      <c r="CZ78">
        <f t="shared" si="272"/>
        <v>66.670000000000002</v>
      </c>
      <c r="DA78">
        <f t="shared" si="273"/>
        <v>9.5500000000000007</v>
      </c>
      <c r="DB78">
        <f t="shared" ref="DB78:DB102" si="279">ROUND(ROUND(AT78*CZ78,2),2)</f>
        <v>3333.5</v>
      </c>
      <c r="DC78">
        <f t="shared" ref="DC78:DC102" si="280">ROUND(ROUND(AT78*AG78,2),2)</f>
        <v>0</v>
      </c>
      <c r="DD78" t="s">
        <v>242</v>
      </c>
      <c r="DE78" t="s">
        <v>242</v>
      </c>
      <c r="DF78">
        <f t="shared" si="274"/>
        <v>3183.5</v>
      </c>
      <c r="DG78">
        <f t="shared" si="275"/>
        <v>0</v>
      </c>
      <c r="DH78">
        <f t="shared" si="276"/>
        <v>0</v>
      </c>
      <c r="DI78">
        <f t="shared" si="265"/>
        <v>0</v>
      </c>
      <c r="DJ78">
        <f t="shared" si="277"/>
        <v>3183.5</v>
      </c>
      <c r="DK78">
        <v>0</v>
      </c>
      <c r="DL78" t="s">
        <v>242</v>
      </c>
      <c r="DM78">
        <v>0</v>
      </c>
      <c r="DN78" t="s">
        <v>242</v>
      </c>
      <c r="DO78">
        <v>0</v>
      </c>
    </row>
    <row r="79">
      <c r="A79">
        <f>ROW(Source!A42)</f>
        <v>42</v>
      </c>
      <c r="B79">
        <v>65099320</v>
      </c>
      <c r="C79">
        <v>65099459</v>
      </c>
      <c r="D79">
        <v>55684335</v>
      </c>
      <c r="E79">
        <v>70</v>
      </c>
      <c r="F79">
        <v>1</v>
      </c>
      <c r="G79">
        <v>1</v>
      </c>
      <c r="H79">
        <v>1</v>
      </c>
      <c r="I79" t="s">
        <v>566</v>
      </c>
      <c r="J79" t="s">
        <v>242</v>
      </c>
      <c r="K79" t="s">
        <v>567</v>
      </c>
      <c r="L79">
        <v>1191</v>
      </c>
      <c r="N79">
        <v>1013</v>
      </c>
      <c r="O79" t="s">
        <v>30</v>
      </c>
      <c r="P79" t="s">
        <v>30</v>
      </c>
      <c r="Q79">
        <v>1</v>
      </c>
      <c r="W79">
        <v>0</v>
      </c>
      <c r="X79">
        <v>-2012709214</v>
      </c>
      <c r="Y79">
        <f t="shared" si="278"/>
        <v>55.829999999999998</v>
      </c>
      <c r="AA79">
        <v>0</v>
      </c>
      <c r="AB79">
        <v>0</v>
      </c>
      <c r="AC79">
        <v>0</v>
      </c>
      <c r="AD79">
        <v>520.00999999999999</v>
      </c>
      <c r="AE79">
        <v>0</v>
      </c>
      <c r="AF79">
        <v>0</v>
      </c>
      <c r="AG79">
        <v>0</v>
      </c>
      <c r="AH79">
        <v>9.4000000000000004</v>
      </c>
      <c r="AI79">
        <v>1</v>
      </c>
      <c r="AJ79">
        <v>1</v>
      </c>
      <c r="AK79">
        <v>1</v>
      </c>
      <c r="AL79">
        <v>55.32</v>
      </c>
      <c r="AM79">
        <v>4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242</v>
      </c>
      <c r="AT79">
        <v>55.829999999999998</v>
      </c>
      <c r="AU79" t="s">
        <v>242</v>
      </c>
      <c r="AV79">
        <v>1</v>
      </c>
      <c r="AW79">
        <v>2</v>
      </c>
      <c r="AX79">
        <v>65099460</v>
      </c>
      <c r="AY79">
        <v>1</v>
      </c>
      <c r="AZ79">
        <v>0</v>
      </c>
      <c r="BA79">
        <v>88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U79">
        <f>ROUND(AT79*Source!I42*AH79*AL79,2)</f>
        <v>1451.6000000000001</v>
      </c>
      <c r="CV79">
        <f>ROUND(Y79*Source!I42,7)</f>
        <v>2.7915000000000001</v>
      </c>
      <c r="CW79">
        <v>0</v>
      </c>
      <c r="CX79">
        <f>ROUND(Y79*Source!I42,7)</f>
        <v>2.7915000000000001</v>
      </c>
      <c r="CY79">
        <f t="shared" ref="CY79:CY80" si="281">AD79</f>
        <v>520.00999999999999</v>
      </c>
      <c r="CZ79">
        <f t="shared" ref="CZ79:CZ80" si="282">AH79</f>
        <v>9.4000000000000004</v>
      </c>
      <c r="DA79">
        <f t="shared" ref="DA79:DA80" si="283">AL79</f>
        <v>55.32</v>
      </c>
      <c r="DB79">
        <f t="shared" si="279"/>
        <v>524.79999999999995</v>
      </c>
      <c r="DC79">
        <f t="shared" si="280"/>
        <v>0</v>
      </c>
      <c r="DD79" t="s">
        <v>242</v>
      </c>
      <c r="DE79" t="s">
        <v>242</v>
      </c>
      <c r="DF79">
        <f t="shared" ref="DF79:DF83" si="284">ROUND(ROUND(AE79,2)*CX79,2)</f>
        <v>0</v>
      </c>
      <c r="DG79">
        <f t="shared" si="275"/>
        <v>0</v>
      </c>
      <c r="DH79">
        <f t="shared" si="276"/>
        <v>0</v>
      </c>
      <c r="DI79">
        <f>ROUND(ROUND(AH79*AL79,2)*CX79,2)</f>
        <v>1451.6100000000001</v>
      </c>
      <c r="DJ79">
        <f t="shared" ref="DJ79:DJ80" si="285">DI79</f>
        <v>1451.6100000000001</v>
      </c>
      <c r="DK79">
        <v>0</v>
      </c>
      <c r="DL79" t="s">
        <v>242</v>
      </c>
      <c r="DM79">
        <v>0</v>
      </c>
      <c r="DN79" t="s">
        <v>242</v>
      </c>
      <c r="DO79">
        <v>0</v>
      </c>
    </row>
    <row r="80">
      <c r="A80">
        <f>ROW(Source!A42)</f>
        <v>42</v>
      </c>
      <c r="B80">
        <v>65099320</v>
      </c>
      <c r="C80">
        <v>65099459</v>
      </c>
      <c r="D80">
        <v>55684491</v>
      </c>
      <c r="E80">
        <v>70</v>
      </c>
      <c r="F80">
        <v>1</v>
      </c>
      <c r="G80">
        <v>1</v>
      </c>
      <c r="H80">
        <v>1</v>
      </c>
      <c r="I80" t="s">
        <v>485</v>
      </c>
      <c r="J80" t="s">
        <v>242</v>
      </c>
      <c r="K80" t="s">
        <v>486</v>
      </c>
      <c r="L80">
        <v>1191</v>
      </c>
      <c r="N80">
        <v>1013</v>
      </c>
      <c r="O80" t="s">
        <v>30</v>
      </c>
      <c r="P80" t="s">
        <v>30</v>
      </c>
      <c r="Q80">
        <v>1</v>
      </c>
      <c r="W80">
        <v>0</v>
      </c>
      <c r="X80">
        <v>-1417349443</v>
      </c>
      <c r="Y80">
        <f t="shared" si="278"/>
        <v>0.46000000000000002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55.32</v>
      </c>
      <c r="AL80">
        <v>1</v>
      </c>
      <c r="AM80">
        <v>4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242</v>
      </c>
      <c r="AT80">
        <v>0.46000000000000002</v>
      </c>
      <c r="AU80" t="s">
        <v>242</v>
      </c>
      <c r="AV80">
        <v>2</v>
      </c>
      <c r="AW80">
        <v>2</v>
      </c>
      <c r="AX80">
        <v>65099461</v>
      </c>
      <c r="AY80">
        <v>1</v>
      </c>
      <c r="AZ80">
        <v>0</v>
      </c>
      <c r="BA80">
        <v>89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V80">
        <v>0</v>
      </c>
      <c r="CW80">
        <v>0</v>
      </c>
      <c r="CX80">
        <f>ROUND(Y80*Source!I42,7)</f>
        <v>0.023</v>
      </c>
      <c r="CY80">
        <f t="shared" si="281"/>
        <v>0</v>
      </c>
      <c r="CZ80">
        <f t="shared" si="282"/>
        <v>0</v>
      </c>
      <c r="DA80">
        <f t="shared" si="283"/>
        <v>1</v>
      </c>
      <c r="DB80">
        <f t="shared" si="279"/>
        <v>0</v>
      </c>
      <c r="DC80">
        <f t="shared" si="280"/>
        <v>0</v>
      </c>
      <c r="DD80" t="s">
        <v>242</v>
      </c>
      <c r="DE80" t="s">
        <v>242</v>
      </c>
      <c r="DF80">
        <f t="shared" si="284"/>
        <v>0</v>
      </c>
      <c r="DG80">
        <f t="shared" si="275"/>
        <v>0</v>
      </c>
      <c r="DH80">
        <f t="shared" ref="DH80:DH83" si="286">ROUND(ROUND(AG80*AK80,2)*CX80,2)</f>
        <v>0</v>
      </c>
      <c r="DI80">
        <f t="shared" ref="DI80:DI89" si="287">ROUND(ROUND(AH80,2)*CX80,2)</f>
        <v>0</v>
      </c>
      <c r="DJ80">
        <f t="shared" si="285"/>
        <v>0</v>
      </c>
      <c r="DK80">
        <v>0</v>
      </c>
      <c r="DL80" t="s">
        <v>242</v>
      </c>
      <c r="DM80">
        <v>0</v>
      </c>
      <c r="DN80" t="s">
        <v>242</v>
      </c>
      <c r="DO80">
        <v>0</v>
      </c>
    </row>
    <row r="81">
      <c r="A81">
        <f>ROW(Source!A42)</f>
        <v>42</v>
      </c>
      <c r="B81">
        <v>65099320</v>
      </c>
      <c r="C81">
        <v>65099459</v>
      </c>
      <c r="D81">
        <v>55846101</v>
      </c>
      <c r="E81">
        <v>1</v>
      </c>
      <c r="F81">
        <v>1</v>
      </c>
      <c r="G81">
        <v>1</v>
      </c>
      <c r="H81">
        <v>2</v>
      </c>
      <c r="I81" t="s">
        <v>568</v>
      </c>
      <c r="J81" t="s">
        <v>569</v>
      </c>
      <c r="K81" t="s">
        <v>570</v>
      </c>
      <c r="L81">
        <v>1367</v>
      </c>
      <c r="N81">
        <v>1011</v>
      </c>
      <c r="O81" t="s">
        <v>490</v>
      </c>
      <c r="P81" t="s">
        <v>490</v>
      </c>
      <c r="Q81">
        <v>1</v>
      </c>
      <c r="W81">
        <v>0</v>
      </c>
      <c r="X81">
        <v>-130837057</v>
      </c>
      <c r="Y81">
        <f t="shared" si="278"/>
        <v>0.10000000000000001</v>
      </c>
      <c r="AA81">
        <v>0</v>
      </c>
      <c r="AB81">
        <v>1416.96</v>
      </c>
      <c r="AC81">
        <v>746.82000000000005</v>
      </c>
      <c r="AD81">
        <v>0</v>
      </c>
      <c r="AE81">
        <v>0</v>
      </c>
      <c r="AF81">
        <v>86.400000000000006</v>
      </c>
      <c r="AG81">
        <v>13.5</v>
      </c>
      <c r="AH81">
        <v>0</v>
      </c>
      <c r="AI81">
        <v>1</v>
      </c>
      <c r="AJ81">
        <v>16.399999999999999</v>
      </c>
      <c r="AK81">
        <v>55.32</v>
      </c>
      <c r="AL81">
        <v>1</v>
      </c>
      <c r="AM81">
        <v>4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242</v>
      </c>
      <c r="AT81">
        <v>0.10000000000000001</v>
      </c>
      <c r="AU81" t="s">
        <v>242</v>
      </c>
      <c r="AV81">
        <v>0</v>
      </c>
      <c r="AW81">
        <v>2</v>
      </c>
      <c r="AX81">
        <v>65099462</v>
      </c>
      <c r="AY81">
        <v>1</v>
      </c>
      <c r="AZ81">
        <v>0</v>
      </c>
      <c r="BA81">
        <v>90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V81">
        <v>0</v>
      </c>
      <c r="CW81">
        <f>ROUND(Y81*Source!I42*DO81,7)</f>
        <v>0</v>
      </c>
      <c r="CX81">
        <f>ROUND(Y81*Source!I42,7)</f>
        <v>0.0050000000000000001</v>
      </c>
      <c r="CY81">
        <f t="shared" ref="CY81:CY83" si="288">AB81</f>
        <v>1416.96</v>
      </c>
      <c r="CZ81">
        <f t="shared" ref="CZ81:CZ83" si="289">AF81</f>
        <v>86.400000000000006</v>
      </c>
      <c r="DA81">
        <f t="shared" ref="DA81:DA83" si="290">AJ81</f>
        <v>16.399999999999999</v>
      </c>
      <c r="DB81">
        <f t="shared" si="279"/>
        <v>8.6400000000000006</v>
      </c>
      <c r="DC81">
        <f t="shared" si="280"/>
        <v>1.3500000000000001</v>
      </c>
      <c r="DD81" t="s">
        <v>242</v>
      </c>
      <c r="DE81" t="s">
        <v>242</v>
      </c>
      <c r="DF81">
        <f t="shared" si="284"/>
        <v>0</v>
      </c>
      <c r="DG81">
        <f t="shared" ref="DG81:DG83" si="291">ROUND(ROUND(AF81*AJ81,2)*CX81,2)</f>
        <v>7.0800000000000001</v>
      </c>
      <c r="DH81">
        <f t="shared" si="286"/>
        <v>3.73</v>
      </c>
      <c r="DI81">
        <f t="shared" si="287"/>
        <v>0</v>
      </c>
      <c r="DJ81">
        <f t="shared" ref="DJ81:DJ83" si="292">DG81</f>
        <v>7.0800000000000001</v>
      </c>
      <c r="DK81">
        <v>0</v>
      </c>
      <c r="DL81" t="s">
        <v>242</v>
      </c>
      <c r="DM81">
        <v>0</v>
      </c>
      <c r="DN81" t="s">
        <v>242</v>
      </c>
      <c r="DO81">
        <v>0</v>
      </c>
    </row>
    <row r="82">
      <c r="A82">
        <f>ROW(Source!A42)</f>
        <v>42</v>
      </c>
      <c r="B82">
        <v>65099320</v>
      </c>
      <c r="C82">
        <v>65099459</v>
      </c>
      <c r="D82">
        <v>55846159</v>
      </c>
      <c r="E82">
        <v>1</v>
      </c>
      <c r="F82">
        <v>1</v>
      </c>
      <c r="G82">
        <v>1</v>
      </c>
      <c r="H82">
        <v>2</v>
      </c>
      <c r="I82" t="s">
        <v>571</v>
      </c>
      <c r="J82" t="s">
        <v>572</v>
      </c>
      <c r="K82" t="s">
        <v>573</v>
      </c>
      <c r="L82">
        <v>1367</v>
      </c>
      <c r="N82">
        <v>1011</v>
      </c>
      <c r="O82" t="s">
        <v>490</v>
      </c>
      <c r="P82" t="s">
        <v>490</v>
      </c>
      <c r="Q82">
        <v>1</v>
      </c>
      <c r="W82">
        <v>0</v>
      </c>
      <c r="X82">
        <v>-430484415</v>
      </c>
      <c r="Y82">
        <f t="shared" si="278"/>
        <v>0.17999999999999999</v>
      </c>
      <c r="AA82">
        <v>0</v>
      </c>
      <c r="AB82">
        <v>1892.5599999999999</v>
      </c>
      <c r="AC82">
        <v>746.82000000000005</v>
      </c>
      <c r="AD82">
        <v>0</v>
      </c>
      <c r="AE82">
        <v>0</v>
      </c>
      <c r="AF82">
        <v>115.40000000000001</v>
      </c>
      <c r="AG82">
        <v>13.5</v>
      </c>
      <c r="AH82">
        <v>0</v>
      </c>
      <c r="AI82">
        <v>1</v>
      </c>
      <c r="AJ82">
        <v>16.399999999999999</v>
      </c>
      <c r="AK82">
        <v>55.32</v>
      </c>
      <c r="AL82">
        <v>1</v>
      </c>
      <c r="AM82">
        <v>4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242</v>
      </c>
      <c r="AT82">
        <v>0.17999999999999999</v>
      </c>
      <c r="AU82" t="s">
        <v>242</v>
      </c>
      <c r="AV82">
        <v>0</v>
      </c>
      <c r="AW82">
        <v>2</v>
      </c>
      <c r="AX82">
        <v>65099463</v>
      </c>
      <c r="AY82">
        <v>1</v>
      </c>
      <c r="AZ82">
        <v>0</v>
      </c>
      <c r="BA82">
        <v>91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V82">
        <v>0</v>
      </c>
      <c r="CW82">
        <f>ROUND(Y82*Source!I42*DO82,7)</f>
        <v>0</v>
      </c>
      <c r="CX82">
        <f>ROUND(Y82*Source!I42,7)</f>
        <v>0.0089999999999999993</v>
      </c>
      <c r="CY82">
        <f t="shared" si="288"/>
        <v>1892.5599999999999</v>
      </c>
      <c r="CZ82">
        <f t="shared" si="289"/>
        <v>115.40000000000001</v>
      </c>
      <c r="DA82">
        <f t="shared" si="290"/>
        <v>16.399999999999999</v>
      </c>
      <c r="DB82">
        <f t="shared" si="279"/>
        <v>20.77</v>
      </c>
      <c r="DC82">
        <f t="shared" si="280"/>
        <v>2.4300000000000002</v>
      </c>
      <c r="DD82" t="s">
        <v>242</v>
      </c>
      <c r="DE82" t="s">
        <v>242</v>
      </c>
      <c r="DF82">
        <f t="shared" si="284"/>
        <v>0</v>
      </c>
      <c r="DG82">
        <f t="shared" si="291"/>
        <v>17.030000000000001</v>
      </c>
      <c r="DH82">
        <f t="shared" si="286"/>
        <v>6.7199999999999998</v>
      </c>
      <c r="DI82">
        <f t="shared" si="287"/>
        <v>0</v>
      </c>
      <c r="DJ82">
        <f t="shared" si="292"/>
        <v>17.030000000000001</v>
      </c>
      <c r="DK82">
        <v>0</v>
      </c>
      <c r="DL82" t="s">
        <v>242</v>
      </c>
      <c r="DM82">
        <v>0</v>
      </c>
      <c r="DN82" t="s">
        <v>242</v>
      </c>
      <c r="DO82">
        <v>0</v>
      </c>
    </row>
    <row r="83">
      <c r="A83">
        <f>ROW(Source!A42)</f>
        <v>42</v>
      </c>
      <c r="B83">
        <v>65099320</v>
      </c>
      <c r="C83">
        <v>65099459</v>
      </c>
      <c r="D83">
        <v>55847089</v>
      </c>
      <c r="E83">
        <v>1</v>
      </c>
      <c r="F83">
        <v>1</v>
      </c>
      <c r="G83">
        <v>1</v>
      </c>
      <c r="H83">
        <v>2</v>
      </c>
      <c r="I83" t="s">
        <v>494</v>
      </c>
      <c r="J83" t="s">
        <v>495</v>
      </c>
      <c r="K83" t="s">
        <v>496</v>
      </c>
      <c r="L83">
        <v>1367</v>
      </c>
      <c r="N83">
        <v>1011</v>
      </c>
      <c r="O83" t="s">
        <v>490</v>
      </c>
      <c r="P83" t="s">
        <v>490</v>
      </c>
      <c r="Q83">
        <v>1</v>
      </c>
      <c r="W83">
        <v>0</v>
      </c>
      <c r="X83">
        <v>509054691</v>
      </c>
      <c r="Y83">
        <f t="shared" si="278"/>
        <v>0.17999999999999999</v>
      </c>
      <c r="AA83">
        <v>0</v>
      </c>
      <c r="AB83">
        <v>1077.6400000000001</v>
      </c>
      <c r="AC83">
        <v>641.71000000000004</v>
      </c>
      <c r="AD83">
        <v>0</v>
      </c>
      <c r="AE83">
        <v>0</v>
      </c>
      <c r="AF83">
        <v>65.709999999999994</v>
      </c>
      <c r="AG83">
        <v>11.6</v>
      </c>
      <c r="AH83">
        <v>0</v>
      </c>
      <c r="AI83">
        <v>1</v>
      </c>
      <c r="AJ83">
        <v>16.399999999999999</v>
      </c>
      <c r="AK83">
        <v>55.32</v>
      </c>
      <c r="AL83">
        <v>1</v>
      </c>
      <c r="AM83">
        <v>4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242</v>
      </c>
      <c r="AT83">
        <v>0.17999999999999999</v>
      </c>
      <c r="AU83" t="s">
        <v>242</v>
      </c>
      <c r="AV83">
        <v>0</v>
      </c>
      <c r="AW83">
        <v>2</v>
      </c>
      <c r="AX83">
        <v>65099464</v>
      </c>
      <c r="AY83">
        <v>1</v>
      </c>
      <c r="AZ83">
        <v>0</v>
      </c>
      <c r="BA83">
        <v>92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V83">
        <v>0</v>
      </c>
      <c r="CW83">
        <f>ROUND(Y83*Source!I42*DO83,7)</f>
        <v>0</v>
      </c>
      <c r="CX83">
        <f>ROUND(Y83*Source!I42,7)</f>
        <v>0.0089999999999999993</v>
      </c>
      <c r="CY83">
        <f t="shared" si="288"/>
        <v>1077.6400000000001</v>
      </c>
      <c r="CZ83">
        <f t="shared" si="289"/>
        <v>65.709999999999994</v>
      </c>
      <c r="DA83">
        <f t="shared" si="290"/>
        <v>16.399999999999999</v>
      </c>
      <c r="DB83">
        <f t="shared" si="279"/>
        <v>11.83</v>
      </c>
      <c r="DC83">
        <f t="shared" si="280"/>
        <v>2.0899999999999999</v>
      </c>
      <c r="DD83" t="s">
        <v>242</v>
      </c>
      <c r="DE83" t="s">
        <v>242</v>
      </c>
      <c r="DF83">
        <f t="shared" si="284"/>
        <v>0</v>
      </c>
      <c r="DG83">
        <f t="shared" si="291"/>
        <v>9.7000000000000011</v>
      </c>
      <c r="DH83">
        <f t="shared" si="286"/>
        <v>5.7800000000000002</v>
      </c>
      <c r="DI83">
        <f t="shared" si="287"/>
        <v>0</v>
      </c>
      <c r="DJ83">
        <f t="shared" si="292"/>
        <v>9.7000000000000011</v>
      </c>
      <c r="DK83">
        <v>0</v>
      </c>
      <c r="DL83" t="s">
        <v>242</v>
      </c>
      <c r="DM83">
        <v>0</v>
      </c>
      <c r="DN83" t="s">
        <v>242</v>
      </c>
      <c r="DO83">
        <v>0</v>
      </c>
    </row>
    <row r="84">
      <c r="A84">
        <f>ROW(Source!A42)</f>
        <v>42</v>
      </c>
      <c r="B84">
        <v>65099320</v>
      </c>
      <c r="C84">
        <v>65099459</v>
      </c>
      <c r="D84">
        <v>55696789</v>
      </c>
      <c r="E84">
        <v>1</v>
      </c>
      <c r="F84">
        <v>1</v>
      </c>
      <c r="G84">
        <v>1</v>
      </c>
      <c r="H84">
        <v>3</v>
      </c>
      <c r="I84" t="s">
        <v>574</v>
      </c>
      <c r="J84" t="s">
        <v>575</v>
      </c>
      <c r="K84" t="s">
        <v>576</v>
      </c>
      <c r="L84">
        <v>1339</v>
      </c>
      <c r="N84">
        <v>1007</v>
      </c>
      <c r="O84" t="s">
        <v>516</v>
      </c>
      <c r="P84" t="s">
        <v>516</v>
      </c>
      <c r="Q84">
        <v>1</v>
      </c>
      <c r="W84">
        <v>0</v>
      </c>
      <c r="X84">
        <v>-143474561</v>
      </c>
      <c r="Y84">
        <f t="shared" si="278"/>
        <v>0.78600000000000003</v>
      </c>
      <c r="AA84">
        <v>23.300000000000001</v>
      </c>
      <c r="AB84">
        <v>0</v>
      </c>
      <c r="AC84">
        <v>0</v>
      </c>
      <c r="AD84">
        <v>0</v>
      </c>
      <c r="AE84">
        <v>2.4399999999999999</v>
      </c>
      <c r="AF84">
        <v>0</v>
      </c>
      <c r="AG84">
        <v>0</v>
      </c>
      <c r="AH84">
        <v>0</v>
      </c>
      <c r="AI84">
        <v>9.5500000000000007</v>
      </c>
      <c r="AJ84">
        <v>1</v>
      </c>
      <c r="AK84">
        <v>1</v>
      </c>
      <c r="AL84">
        <v>1</v>
      </c>
      <c r="AM84">
        <v>4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242</v>
      </c>
      <c r="AT84">
        <v>0.78600000000000003</v>
      </c>
      <c r="AU84" t="s">
        <v>242</v>
      </c>
      <c r="AV84">
        <v>0</v>
      </c>
      <c r="AW84">
        <v>2</v>
      </c>
      <c r="AX84">
        <v>65099465</v>
      </c>
      <c r="AY84">
        <v>1</v>
      </c>
      <c r="AZ84">
        <v>0</v>
      </c>
      <c r="BA84">
        <v>93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V84">
        <v>0</v>
      </c>
      <c r="CW84">
        <v>0</v>
      </c>
      <c r="CX84">
        <f>ROUND(Y84*Source!I42,7)</f>
        <v>0.039300000000000002</v>
      </c>
      <c r="CY84">
        <f t="shared" ref="CY84:CY89" si="293">AA84</f>
        <v>23.300000000000001</v>
      </c>
      <c r="CZ84">
        <f t="shared" ref="CZ84:CZ89" si="294">AE84</f>
        <v>2.4399999999999999</v>
      </c>
      <c r="DA84">
        <f t="shared" ref="DA84:DA89" si="295">AI84</f>
        <v>9.5500000000000007</v>
      </c>
      <c r="DB84">
        <f t="shared" si="279"/>
        <v>1.9199999999999999</v>
      </c>
      <c r="DC84">
        <f t="shared" si="280"/>
        <v>0</v>
      </c>
      <c r="DD84" t="s">
        <v>242</v>
      </c>
      <c r="DE84" t="s">
        <v>242</v>
      </c>
      <c r="DF84">
        <f t="shared" ref="DF84:DF89" si="296">ROUND(ROUND(AE84*AI84,2)*CX84,2)</f>
        <v>0.92000000000000004</v>
      </c>
      <c r="DG84">
        <f t="shared" ref="DG84:DG91" si="297">ROUND(ROUND(AF84,2)*CX84,2)</f>
        <v>0</v>
      </c>
      <c r="DH84">
        <f t="shared" ref="DH84:DH90" si="298">ROUND(ROUND(AG84,2)*CX84,2)</f>
        <v>0</v>
      </c>
      <c r="DI84">
        <f t="shared" si="287"/>
        <v>0</v>
      </c>
      <c r="DJ84">
        <f t="shared" ref="DJ84:DJ89" si="299">DF84</f>
        <v>0.92000000000000004</v>
      </c>
      <c r="DK84">
        <v>0</v>
      </c>
      <c r="DL84" t="s">
        <v>242</v>
      </c>
      <c r="DM84">
        <v>0</v>
      </c>
      <c r="DN84" t="s">
        <v>242</v>
      </c>
      <c r="DO84">
        <v>0</v>
      </c>
    </row>
    <row r="85">
      <c r="A85">
        <f>ROW(Source!A42)</f>
        <v>42</v>
      </c>
      <c r="B85">
        <v>65099320</v>
      </c>
      <c r="C85">
        <v>65099459</v>
      </c>
      <c r="D85">
        <v>55699057</v>
      </c>
      <c r="E85">
        <v>1</v>
      </c>
      <c r="F85">
        <v>1</v>
      </c>
      <c r="G85">
        <v>1</v>
      </c>
      <c r="H85">
        <v>3</v>
      </c>
      <c r="I85" t="s">
        <v>577</v>
      </c>
      <c r="J85" t="s">
        <v>578</v>
      </c>
      <c r="K85" t="s">
        <v>579</v>
      </c>
      <c r="L85">
        <v>1348</v>
      </c>
      <c r="N85">
        <v>1009</v>
      </c>
      <c r="O85" t="s">
        <v>500</v>
      </c>
      <c r="P85" t="s">
        <v>500</v>
      </c>
      <c r="Q85">
        <v>1000</v>
      </c>
      <c r="W85">
        <v>0</v>
      </c>
      <c r="X85">
        <v>-1292822538</v>
      </c>
      <c r="Y85">
        <f t="shared" si="278"/>
        <v>0.00266</v>
      </c>
      <c r="AA85">
        <v>141626.5</v>
      </c>
      <c r="AB85">
        <v>0</v>
      </c>
      <c r="AC85">
        <v>0</v>
      </c>
      <c r="AD85">
        <v>0</v>
      </c>
      <c r="AE85">
        <v>14830</v>
      </c>
      <c r="AF85">
        <v>0</v>
      </c>
      <c r="AG85">
        <v>0</v>
      </c>
      <c r="AH85">
        <v>0</v>
      </c>
      <c r="AI85">
        <v>9.5500000000000007</v>
      </c>
      <c r="AJ85">
        <v>1</v>
      </c>
      <c r="AK85">
        <v>1</v>
      </c>
      <c r="AL85">
        <v>1</v>
      </c>
      <c r="AM85">
        <v>4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242</v>
      </c>
      <c r="AT85">
        <v>0.00266</v>
      </c>
      <c r="AU85" t="s">
        <v>242</v>
      </c>
      <c r="AV85">
        <v>0</v>
      </c>
      <c r="AW85">
        <v>2</v>
      </c>
      <c r="AX85">
        <v>65099466</v>
      </c>
      <c r="AY85">
        <v>1</v>
      </c>
      <c r="AZ85">
        <v>0</v>
      </c>
      <c r="BA85">
        <v>94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V85">
        <v>0</v>
      </c>
      <c r="CW85">
        <v>0</v>
      </c>
      <c r="CX85">
        <f>ROUND(Y85*Source!I42,7)</f>
        <v>0.00013300000000000001</v>
      </c>
      <c r="CY85">
        <f t="shared" si="293"/>
        <v>141626.5</v>
      </c>
      <c r="CZ85">
        <f t="shared" si="294"/>
        <v>14830</v>
      </c>
      <c r="DA85">
        <f t="shared" si="295"/>
        <v>9.5500000000000007</v>
      </c>
      <c r="DB85">
        <f t="shared" si="279"/>
        <v>39.450000000000003</v>
      </c>
      <c r="DC85">
        <f t="shared" si="280"/>
        <v>0</v>
      </c>
      <c r="DD85" t="s">
        <v>242</v>
      </c>
      <c r="DE85" t="s">
        <v>242</v>
      </c>
      <c r="DF85">
        <f t="shared" si="296"/>
        <v>18.84</v>
      </c>
      <c r="DG85">
        <f t="shared" si="297"/>
        <v>0</v>
      </c>
      <c r="DH85">
        <f t="shared" si="298"/>
        <v>0</v>
      </c>
      <c r="DI85">
        <f t="shared" si="287"/>
        <v>0</v>
      </c>
      <c r="DJ85">
        <f t="shared" si="299"/>
        <v>18.84</v>
      </c>
      <c r="DK85">
        <v>0</v>
      </c>
      <c r="DL85" t="s">
        <v>242</v>
      </c>
      <c r="DM85">
        <v>0</v>
      </c>
      <c r="DN85" t="s">
        <v>242</v>
      </c>
      <c r="DO85">
        <v>0</v>
      </c>
    </row>
    <row r="86">
      <c r="A86">
        <f>ROW(Source!A42)</f>
        <v>42</v>
      </c>
      <c r="B86">
        <v>65099320</v>
      </c>
      <c r="C86">
        <v>65099459</v>
      </c>
      <c r="D86">
        <v>55700035</v>
      </c>
      <c r="E86">
        <v>1</v>
      </c>
      <c r="F86">
        <v>1</v>
      </c>
      <c r="G86">
        <v>1</v>
      </c>
      <c r="H86">
        <v>3</v>
      </c>
      <c r="I86" t="s">
        <v>583</v>
      </c>
      <c r="J86" t="s">
        <v>584</v>
      </c>
      <c r="K86" t="s">
        <v>585</v>
      </c>
      <c r="L86">
        <v>1425</v>
      </c>
      <c r="N86">
        <v>1013</v>
      </c>
      <c r="O86" t="s">
        <v>255</v>
      </c>
      <c r="P86" t="s">
        <v>255</v>
      </c>
      <c r="Q86">
        <v>1</v>
      </c>
      <c r="W86">
        <v>0</v>
      </c>
      <c r="X86">
        <v>1576101839</v>
      </c>
      <c r="Y86">
        <f t="shared" si="278"/>
        <v>0.12</v>
      </c>
      <c r="AA86">
        <v>1346.55</v>
      </c>
      <c r="AB86">
        <v>0</v>
      </c>
      <c r="AC86">
        <v>0</v>
      </c>
      <c r="AD86">
        <v>0</v>
      </c>
      <c r="AE86">
        <v>141</v>
      </c>
      <c r="AF86">
        <v>0</v>
      </c>
      <c r="AG86">
        <v>0</v>
      </c>
      <c r="AH86">
        <v>0</v>
      </c>
      <c r="AI86">
        <v>9.5500000000000007</v>
      </c>
      <c r="AJ86">
        <v>1</v>
      </c>
      <c r="AK86">
        <v>1</v>
      </c>
      <c r="AL86">
        <v>1</v>
      </c>
      <c r="AM86">
        <v>4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242</v>
      </c>
      <c r="AT86">
        <v>0.12</v>
      </c>
      <c r="AU86" t="s">
        <v>242</v>
      </c>
      <c r="AV86">
        <v>0</v>
      </c>
      <c r="AW86">
        <v>2</v>
      </c>
      <c r="AX86">
        <v>65099467</v>
      </c>
      <c r="AY86">
        <v>1</v>
      </c>
      <c r="AZ86">
        <v>0</v>
      </c>
      <c r="BA86">
        <v>95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v>0</v>
      </c>
      <c r="CX86">
        <f>ROUND(Y86*Source!I42,7)</f>
        <v>0.0060000000000000001</v>
      </c>
      <c r="CY86">
        <f t="shared" si="293"/>
        <v>1346.55</v>
      </c>
      <c r="CZ86">
        <f t="shared" si="294"/>
        <v>141</v>
      </c>
      <c r="DA86">
        <f t="shared" si="295"/>
        <v>9.5500000000000007</v>
      </c>
      <c r="DB86">
        <f t="shared" si="279"/>
        <v>16.920000000000002</v>
      </c>
      <c r="DC86">
        <f t="shared" si="280"/>
        <v>0</v>
      </c>
      <c r="DD86" t="s">
        <v>242</v>
      </c>
      <c r="DE86" t="s">
        <v>242</v>
      </c>
      <c r="DF86">
        <f t="shared" si="296"/>
        <v>8.0800000000000001</v>
      </c>
      <c r="DG86">
        <f t="shared" si="297"/>
        <v>0</v>
      </c>
      <c r="DH86">
        <f t="shared" si="298"/>
        <v>0</v>
      </c>
      <c r="DI86">
        <f t="shared" si="287"/>
        <v>0</v>
      </c>
      <c r="DJ86">
        <f t="shared" si="299"/>
        <v>8.0800000000000001</v>
      </c>
      <c r="DK86">
        <v>0</v>
      </c>
      <c r="DL86" t="s">
        <v>242</v>
      </c>
      <c r="DM86">
        <v>0</v>
      </c>
      <c r="DN86" t="s">
        <v>242</v>
      </c>
      <c r="DO86">
        <v>0</v>
      </c>
    </row>
    <row r="87">
      <c r="A87">
        <f>ROW(Source!A42)</f>
        <v>42</v>
      </c>
      <c r="B87">
        <v>65099320</v>
      </c>
      <c r="C87">
        <v>65099459</v>
      </c>
      <c r="D87">
        <v>55750553</v>
      </c>
      <c r="E87">
        <v>1</v>
      </c>
      <c r="F87">
        <v>1</v>
      </c>
      <c r="G87">
        <v>1</v>
      </c>
      <c r="H87">
        <v>3</v>
      </c>
      <c r="I87" t="s">
        <v>320</v>
      </c>
      <c r="J87" t="s">
        <v>323</v>
      </c>
      <c r="K87" t="s">
        <v>321</v>
      </c>
      <c r="L87">
        <v>1346</v>
      </c>
      <c r="N87">
        <v>1009</v>
      </c>
      <c r="O87" t="s">
        <v>322</v>
      </c>
      <c r="P87" t="s">
        <v>322</v>
      </c>
      <c r="Q87">
        <v>1</v>
      </c>
      <c r="W87">
        <v>0</v>
      </c>
      <c r="X87">
        <v>-1055274942</v>
      </c>
      <c r="Y87">
        <f t="shared" si="278"/>
        <v>10</v>
      </c>
      <c r="AA87">
        <v>114.5</v>
      </c>
      <c r="AB87">
        <v>0</v>
      </c>
      <c r="AC87">
        <v>0</v>
      </c>
      <c r="AD87">
        <v>0</v>
      </c>
      <c r="AE87">
        <v>11.99</v>
      </c>
      <c r="AF87">
        <v>0</v>
      </c>
      <c r="AG87">
        <v>0</v>
      </c>
      <c r="AH87">
        <v>0</v>
      </c>
      <c r="AI87">
        <v>9.5500000000000007</v>
      </c>
      <c r="AJ87">
        <v>1</v>
      </c>
      <c r="AK87">
        <v>1</v>
      </c>
      <c r="AL87">
        <v>1</v>
      </c>
      <c r="AM87">
        <v>0</v>
      </c>
      <c r="AN87">
        <v>1</v>
      </c>
      <c r="AO87">
        <v>0</v>
      </c>
      <c r="AP87">
        <v>1</v>
      </c>
      <c r="AQ87">
        <v>0</v>
      </c>
      <c r="AR87">
        <v>0</v>
      </c>
      <c r="AS87" t="s">
        <v>242</v>
      </c>
      <c r="AT87">
        <v>10</v>
      </c>
      <c r="AU87" t="s">
        <v>242</v>
      </c>
      <c r="AV87">
        <v>0</v>
      </c>
      <c r="AW87">
        <v>1</v>
      </c>
      <c r="AX87">
        <v>-1</v>
      </c>
      <c r="AY87">
        <v>0</v>
      </c>
      <c r="AZ87">
        <v>0</v>
      </c>
      <c r="BA87" t="s">
        <v>242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V87">
        <v>0</v>
      </c>
      <c r="CW87">
        <v>0</v>
      </c>
      <c r="CX87">
        <f>ROUND(Y87*Source!I42,7)</f>
        <v>0.5</v>
      </c>
      <c r="CY87">
        <f t="shared" si="293"/>
        <v>114.5</v>
      </c>
      <c r="CZ87">
        <f t="shared" si="294"/>
        <v>11.99</v>
      </c>
      <c r="DA87">
        <f t="shared" si="295"/>
        <v>9.5500000000000007</v>
      </c>
      <c r="DB87">
        <f t="shared" si="279"/>
        <v>119.90000000000001</v>
      </c>
      <c r="DC87">
        <f t="shared" si="280"/>
        <v>0</v>
      </c>
      <c r="DD87" t="s">
        <v>242</v>
      </c>
      <c r="DE87" t="s">
        <v>242</v>
      </c>
      <c r="DF87">
        <f t="shared" si="296"/>
        <v>57.25</v>
      </c>
      <c r="DG87">
        <f t="shared" si="297"/>
        <v>0</v>
      </c>
      <c r="DH87">
        <f t="shared" si="298"/>
        <v>0</v>
      </c>
      <c r="DI87">
        <f t="shared" si="287"/>
        <v>0</v>
      </c>
      <c r="DJ87">
        <f t="shared" si="299"/>
        <v>57.25</v>
      </c>
      <c r="DK87">
        <v>0</v>
      </c>
      <c r="DL87" t="s">
        <v>242</v>
      </c>
      <c r="DM87">
        <v>0</v>
      </c>
      <c r="DN87" t="s">
        <v>242</v>
      </c>
      <c r="DO87">
        <v>0</v>
      </c>
    </row>
    <row r="88">
      <c r="A88">
        <f>ROW(Source!A42)</f>
        <v>42</v>
      </c>
      <c r="B88">
        <v>65099320</v>
      </c>
      <c r="C88">
        <v>65099459</v>
      </c>
      <c r="D88">
        <v>55756916</v>
      </c>
      <c r="E88">
        <v>1</v>
      </c>
      <c r="F88">
        <v>1</v>
      </c>
      <c r="G88">
        <v>1</v>
      </c>
      <c r="H88">
        <v>3</v>
      </c>
      <c r="I88" t="s">
        <v>337</v>
      </c>
      <c r="J88" t="s">
        <v>339</v>
      </c>
      <c r="K88" t="s">
        <v>338</v>
      </c>
      <c r="L88">
        <v>1301</v>
      </c>
      <c r="N88">
        <v>1003</v>
      </c>
      <c r="O88" t="s">
        <v>327</v>
      </c>
      <c r="P88" t="s">
        <v>327</v>
      </c>
      <c r="Q88">
        <v>1</v>
      </c>
      <c r="W88">
        <v>0</v>
      </c>
      <c r="X88">
        <v>-181672022</v>
      </c>
      <c r="Y88">
        <f t="shared" si="278"/>
        <v>99.799999999999997</v>
      </c>
      <c r="AA88">
        <v>415.62</v>
      </c>
      <c r="AB88">
        <v>0</v>
      </c>
      <c r="AC88">
        <v>0</v>
      </c>
      <c r="AD88">
        <v>0</v>
      </c>
      <c r="AE88">
        <v>43.520000000000003</v>
      </c>
      <c r="AF88">
        <v>0</v>
      </c>
      <c r="AG88">
        <v>0</v>
      </c>
      <c r="AH88">
        <v>0</v>
      </c>
      <c r="AI88">
        <v>9.5500000000000007</v>
      </c>
      <c r="AJ88">
        <v>1</v>
      </c>
      <c r="AK88">
        <v>1</v>
      </c>
      <c r="AL88">
        <v>1</v>
      </c>
      <c r="AM88">
        <v>0</v>
      </c>
      <c r="AN88">
        <v>0</v>
      </c>
      <c r="AO88">
        <v>0</v>
      </c>
      <c r="AP88">
        <v>1</v>
      </c>
      <c r="AQ88">
        <v>0</v>
      </c>
      <c r="AR88">
        <v>0</v>
      </c>
      <c r="AS88" t="s">
        <v>242</v>
      </c>
      <c r="AT88">
        <v>99.799999999999997</v>
      </c>
      <c r="AU88" t="s">
        <v>242</v>
      </c>
      <c r="AV88">
        <v>0</v>
      </c>
      <c r="AW88">
        <v>1</v>
      </c>
      <c r="AX88">
        <v>-1</v>
      </c>
      <c r="AY88">
        <v>0</v>
      </c>
      <c r="AZ88">
        <v>0</v>
      </c>
      <c r="BA88" t="s">
        <v>242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ROUND(Y88*Source!I42,7)</f>
        <v>4.9900000000000002</v>
      </c>
      <c r="CY88">
        <f t="shared" si="293"/>
        <v>415.62</v>
      </c>
      <c r="CZ88">
        <f t="shared" si="294"/>
        <v>43.520000000000003</v>
      </c>
      <c r="DA88">
        <f t="shared" si="295"/>
        <v>9.5500000000000007</v>
      </c>
      <c r="DB88">
        <f t="shared" si="279"/>
        <v>4343.3000000000002</v>
      </c>
      <c r="DC88">
        <f t="shared" si="280"/>
        <v>0</v>
      </c>
      <c r="DD88" t="s">
        <v>242</v>
      </c>
      <c r="DE88" t="s">
        <v>242</v>
      </c>
      <c r="DF88">
        <f t="shared" si="296"/>
        <v>2073.9400000000001</v>
      </c>
      <c r="DG88">
        <f t="shared" si="297"/>
        <v>0</v>
      </c>
      <c r="DH88">
        <f t="shared" si="298"/>
        <v>0</v>
      </c>
      <c r="DI88">
        <f t="shared" si="287"/>
        <v>0</v>
      </c>
      <c r="DJ88">
        <f t="shared" si="299"/>
        <v>2073.9400000000001</v>
      </c>
      <c r="DK88">
        <v>0</v>
      </c>
      <c r="DL88" t="s">
        <v>242</v>
      </c>
      <c r="DM88">
        <v>0</v>
      </c>
      <c r="DN88" t="s">
        <v>242</v>
      </c>
      <c r="DO88">
        <v>0</v>
      </c>
    </row>
    <row r="89">
      <c r="A89">
        <f>ROW(Source!A42)</f>
        <v>42</v>
      </c>
      <c r="B89">
        <v>65099320</v>
      </c>
      <c r="C89">
        <v>65099459</v>
      </c>
      <c r="D89">
        <v>55689036</v>
      </c>
      <c r="E89">
        <v>70</v>
      </c>
      <c r="F89">
        <v>1</v>
      </c>
      <c r="G89">
        <v>1</v>
      </c>
      <c r="H89">
        <v>3</v>
      </c>
      <c r="I89" t="s">
        <v>201</v>
      </c>
      <c r="J89" t="s">
        <v>242</v>
      </c>
      <c r="K89" t="s">
        <v>330</v>
      </c>
      <c r="L89">
        <v>1371</v>
      </c>
      <c r="N89">
        <v>1013</v>
      </c>
      <c r="O89" t="s">
        <v>312</v>
      </c>
      <c r="P89" t="s">
        <v>312</v>
      </c>
      <c r="Q89">
        <v>1</v>
      </c>
      <c r="W89">
        <v>0</v>
      </c>
      <c r="X89">
        <v>2066278353</v>
      </c>
      <c r="Y89">
        <f t="shared" si="278"/>
        <v>100</v>
      </c>
      <c r="AA89">
        <v>636.70000000000005</v>
      </c>
      <c r="AB89">
        <v>0</v>
      </c>
      <c r="AC89">
        <v>0</v>
      </c>
      <c r="AD89">
        <v>0</v>
      </c>
      <c r="AE89">
        <v>66.670000000000002</v>
      </c>
      <c r="AF89">
        <v>0</v>
      </c>
      <c r="AG89">
        <v>0</v>
      </c>
      <c r="AH89">
        <v>0</v>
      </c>
      <c r="AI89">
        <v>9.5500000000000007</v>
      </c>
      <c r="AJ89">
        <v>1</v>
      </c>
      <c r="AK89">
        <v>1</v>
      </c>
      <c r="AL89">
        <v>1</v>
      </c>
      <c r="AM89">
        <v>0</v>
      </c>
      <c r="AN89">
        <v>1</v>
      </c>
      <c r="AO89">
        <v>0</v>
      </c>
      <c r="AP89">
        <v>1</v>
      </c>
      <c r="AQ89">
        <v>0</v>
      </c>
      <c r="AR89">
        <v>0</v>
      </c>
      <c r="AS89" t="s">
        <v>242</v>
      </c>
      <c r="AT89">
        <v>100</v>
      </c>
      <c r="AU89" t="s">
        <v>242</v>
      </c>
      <c r="AV89">
        <v>0</v>
      </c>
      <c r="AW89">
        <v>2</v>
      </c>
      <c r="AX89">
        <v>65099471</v>
      </c>
      <c r="AY89">
        <v>2</v>
      </c>
      <c r="AZ89">
        <v>22528</v>
      </c>
      <c r="BA89">
        <v>99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V89">
        <v>0</v>
      </c>
      <c r="CW89">
        <v>0</v>
      </c>
      <c r="CX89">
        <f>ROUND(Y89*Source!I42,7)</f>
        <v>5</v>
      </c>
      <c r="CY89">
        <f t="shared" si="293"/>
        <v>636.70000000000005</v>
      </c>
      <c r="CZ89">
        <f t="shared" si="294"/>
        <v>66.670000000000002</v>
      </c>
      <c r="DA89">
        <f t="shared" si="295"/>
        <v>9.5500000000000007</v>
      </c>
      <c r="DB89">
        <f t="shared" si="279"/>
        <v>6667</v>
      </c>
      <c r="DC89">
        <f t="shared" si="280"/>
        <v>0</v>
      </c>
      <c r="DD89" t="s">
        <v>242</v>
      </c>
      <c r="DE89" t="s">
        <v>242</v>
      </c>
      <c r="DF89">
        <f t="shared" si="296"/>
        <v>3183.5</v>
      </c>
      <c r="DG89">
        <f t="shared" si="297"/>
        <v>0</v>
      </c>
      <c r="DH89">
        <f t="shared" si="298"/>
        <v>0</v>
      </c>
      <c r="DI89">
        <f t="shared" si="287"/>
        <v>0</v>
      </c>
      <c r="DJ89">
        <f t="shared" si="299"/>
        <v>3183.5</v>
      </c>
      <c r="DK89">
        <v>0</v>
      </c>
      <c r="DL89" t="s">
        <v>242</v>
      </c>
      <c r="DM89">
        <v>0</v>
      </c>
      <c r="DN89" t="s">
        <v>242</v>
      </c>
      <c r="DO89">
        <v>0</v>
      </c>
    </row>
    <row r="90">
      <c r="A90">
        <f>ROW(Source!A46)</f>
        <v>46</v>
      </c>
      <c r="B90">
        <v>65099320</v>
      </c>
      <c r="C90">
        <v>65099480</v>
      </c>
      <c r="D90">
        <v>55684335</v>
      </c>
      <c r="E90">
        <v>70</v>
      </c>
      <c r="F90">
        <v>1</v>
      </c>
      <c r="G90">
        <v>1</v>
      </c>
      <c r="H90">
        <v>1</v>
      </c>
      <c r="I90" t="s">
        <v>566</v>
      </c>
      <c r="J90" t="s">
        <v>242</v>
      </c>
      <c r="K90" t="s">
        <v>567</v>
      </c>
      <c r="L90">
        <v>1191</v>
      </c>
      <c r="N90">
        <v>1013</v>
      </c>
      <c r="O90" t="s">
        <v>30</v>
      </c>
      <c r="P90" t="s">
        <v>30</v>
      </c>
      <c r="Q90">
        <v>1</v>
      </c>
      <c r="W90">
        <v>0</v>
      </c>
      <c r="X90">
        <v>-2012709214</v>
      </c>
      <c r="Y90">
        <f t="shared" si="278"/>
        <v>13.18</v>
      </c>
      <c r="AA90">
        <v>0</v>
      </c>
      <c r="AB90">
        <v>0</v>
      </c>
      <c r="AC90">
        <v>0</v>
      </c>
      <c r="AD90">
        <v>520.00999999999999</v>
      </c>
      <c r="AE90">
        <v>0</v>
      </c>
      <c r="AF90">
        <v>0</v>
      </c>
      <c r="AG90">
        <v>0</v>
      </c>
      <c r="AH90">
        <v>9.4000000000000004</v>
      </c>
      <c r="AI90">
        <v>1</v>
      </c>
      <c r="AJ90">
        <v>1</v>
      </c>
      <c r="AK90">
        <v>1</v>
      </c>
      <c r="AL90">
        <v>55.32</v>
      </c>
      <c r="AM90">
        <v>4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242</v>
      </c>
      <c r="AT90">
        <v>13.18</v>
      </c>
      <c r="AU90" t="s">
        <v>242</v>
      </c>
      <c r="AV90">
        <v>1</v>
      </c>
      <c r="AW90">
        <v>2</v>
      </c>
      <c r="AX90">
        <v>65099481</v>
      </c>
      <c r="AY90">
        <v>1</v>
      </c>
      <c r="AZ90">
        <v>0</v>
      </c>
      <c r="BA90">
        <v>100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U90">
        <f>ROUND(AT90*Source!I46*AH90*AL90,2)</f>
        <v>2056.1100000000001</v>
      </c>
      <c r="CV90">
        <f>ROUND(Y90*Source!I46,7)</f>
        <v>3.9539999999999997</v>
      </c>
      <c r="CW90">
        <v>0</v>
      </c>
      <c r="CX90">
        <f>ROUND(Y90*Source!I46,7)</f>
        <v>3.9539999999999997</v>
      </c>
      <c r="CY90">
        <f t="shared" ref="CY90:CY91" si="300">AD90</f>
        <v>520.00999999999999</v>
      </c>
      <c r="CZ90">
        <f t="shared" ref="CZ90:CZ91" si="301">AH90</f>
        <v>9.4000000000000004</v>
      </c>
      <c r="DA90">
        <f t="shared" ref="DA90:DA91" si="302">AL90</f>
        <v>55.32</v>
      </c>
      <c r="DB90">
        <f t="shared" si="279"/>
        <v>123.89</v>
      </c>
      <c r="DC90">
        <f t="shared" si="280"/>
        <v>0</v>
      </c>
      <c r="DD90" t="s">
        <v>242</v>
      </c>
      <c r="DE90" t="s">
        <v>242</v>
      </c>
      <c r="DF90">
        <f t="shared" ref="DF90:DF94" si="303">ROUND(ROUND(AE90,2)*CX90,2)</f>
        <v>0</v>
      </c>
      <c r="DG90">
        <f t="shared" si="297"/>
        <v>0</v>
      </c>
      <c r="DH90">
        <f t="shared" si="298"/>
        <v>0</v>
      </c>
      <c r="DI90">
        <f>ROUND(ROUND(AH90*AL90,2)*CX90,2)</f>
        <v>2056.1199999999999</v>
      </c>
      <c r="DJ90">
        <f t="shared" ref="DJ90:DJ91" si="304">DI90</f>
        <v>2056.1199999999999</v>
      </c>
      <c r="DK90">
        <v>0</v>
      </c>
      <c r="DL90" t="s">
        <v>242</v>
      </c>
      <c r="DM90">
        <v>0</v>
      </c>
      <c r="DN90" t="s">
        <v>242</v>
      </c>
      <c r="DO90">
        <v>0</v>
      </c>
    </row>
    <row r="91">
      <c r="A91">
        <f>ROW(Source!A46)</f>
        <v>46</v>
      </c>
      <c r="B91">
        <v>65099320</v>
      </c>
      <c r="C91">
        <v>65099480</v>
      </c>
      <c r="D91">
        <v>55684491</v>
      </c>
      <c r="E91">
        <v>70</v>
      </c>
      <c r="F91">
        <v>1</v>
      </c>
      <c r="G91">
        <v>1</v>
      </c>
      <c r="H91">
        <v>1</v>
      </c>
      <c r="I91" t="s">
        <v>485</v>
      </c>
      <c r="J91" t="s">
        <v>242</v>
      </c>
      <c r="K91" t="s">
        <v>486</v>
      </c>
      <c r="L91">
        <v>1191</v>
      </c>
      <c r="N91">
        <v>1013</v>
      </c>
      <c r="O91" t="s">
        <v>30</v>
      </c>
      <c r="P91" t="s">
        <v>30</v>
      </c>
      <c r="Q91">
        <v>1</v>
      </c>
      <c r="W91">
        <v>0</v>
      </c>
      <c r="X91">
        <v>-1417349443</v>
      </c>
      <c r="Y91">
        <f t="shared" si="278"/>
        <v>0.040000000000000001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55.32</v>
      </c>
      <c r="AL91">
        <v>1</v>
      </c>
      <c r="AM91">
        <v>4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242</v>
      </c>
      <c r="AT91">
        <v>0.040000000000000001</v>
      </c>
      <c r="AU91" t="s">
        <v>242</v>
      </c>
      <c r="AV91">
        <v>2</v>
      </c>
      <c r="AW91">
        <v>2</v>
      </c>
      <c r="AX91">
        <v>65099482</v>
      </c>
      <c r="AY91">
        <v>1</v>
      </c>
      <c r="AZ91">
        <v>0</v>
      </c>
      <c r="BA91">
        <v>101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V91">
        <v>0</v>
      </c>
      <c r="CW91">
        <v>0</v>
      </c>
      <c r="CX91">
        <f>ROUND(Y91*Source!I46,7)</f>
        <v>0.012</v>
      </c>
      <c r="CY91">
        <f t="shared" si="300"/>
        <v>0</v>
      </c>
      <c r="CZ91">
        <f t="shared" si="301"/>
        <v>0</v>
      </c>
      <c r="DA91">
        <f t="shared" si="302"/>
        <v>1</v>
      </c>
      <c r="DB91">
        <f t="shared" si="279"/>
        <v>0</v>
      </c>
      <c r="DC91">
        <f t="shared" si="280"/>
        <v>0</v>
      </c>
      <c r="DD91" t="s">
        <v>242</v>
      </c>
      <c r="DE91" t="s">
        <v>242</v>
      </c>
      <c r="DF91">
        <f t="shared" si="303"/>
        <v>0</v>
      </c>
      <c r="DG91">
        <f t="shared" si="297"/>
        <v>0</v>
      </c>
      <c r="DH91">
        <f t="shared" ref="DH91:DH94" si="305">ROUND(ROUND(AG91*AK91,2)*CX91,2)</f>
        <v>0</v>
      </c>
      <c r="DI91">
        <f t="shared" ref="DI91:DI101" si="306">ROUND(ROUND(AH91,2)*CX91,2)</f>
        <v>0</v>
      </c>
      <c r="DJ91">
        <f t="shared" si="304"/>
        <v>0</v>
      </c>
      <c r="DK91">
        <v>0</v>
      </c>
      <c r="DL91" t="s">
        <v>242</v>
      </c>
      <c r="DM91">
        <v>0</v>
      </c>
      <c r="DN91" t="s">
        <v>242</v>
      </c>
      <c r="DO91">
        <v>0</v>
      </c>
    </row>
    <row r="92">
      <c r="A92">
        <f>ROW(Source!A46)</f>
        <v>46</v>
      </c>
      <c r="B92">
        <v>65099320</v>
      </c>
      <c r="C92">
        <v>65099480</v>
      </c>
      <c r="D92">
        <v>55846101</v>
      </c>
      <c r="E92">
        <v>1</v>
      </c>
      <c r="F92">
        <v>1</v>
      </c>
      <c r="G92">
        <v>1</v>
      </c>
      <c r="H92">
        <v>2</v>
      </c>
      <c r="I92" t="s">
        <v>568</v>
      </c>
      <c r="J92" t="s">
        <v>569</v>
      </c>
      <c r="K92" t="s">
        <v>570</v>
      </c>
      <c r="L92">
        <v>1367</v>
      </c>
      <c r="N92">
        <v>1011</v>
      </c>
      <c r="O92" t="s">
        <v>490</v>
      </c>
      <c r="P92" t="s">
        <v>490</v>
      </c>
      <c r="Q92">
        <v>1</v>
      </c>
      <c r="W92">
        <v>0</v>
      </c>
      <c r="X92">
        <v>-130837057</v>
      </c>
      <c r="Y92">
        <f t="shared" si="278"/>
        <v>0.01</v>
      </c>
      <c r="AA92">
        <v>0</v>
      </c>
      <c r="AB92">
        <v>1416.96</v>
      </c>
      <c r="AC92">
        <v>746.82000000000005</v>
      </c>
      <c r="AD92">
        <v>0</v>
      </c>
      <c r="AE92">
        <v>0</v>
      </c>
      <c r="AF92">
        <v>86.400000000000006</v>
      </c>
      <c r="AG92">
        <v>13.5</v>
      </c>
      <c r="AH92">
        <v>0</v>
      </c>
      <c r="AI92">
        <v>1</v>
      </c>
      <c r="AJ92">
        <v>16.399999999999999</v>
      </c>
      <c r="AK92">
        <v>55.32</v>
      </c>
      <c r="AL92">
        <v>1</v>
      </c>
      <c r="AM92">
        <v>4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242</v>
      </c>
      <c r="AT92">
        <v>0.01</v>
      </c>
      <c r="AU92" t="s">
        <v>242</v>
      </c>
      <c r="AV92">
        <v>0</v>
      </c>
      <c r="AW92">
        <v>2</v>
      </c>
      <c r="AX92">
        <v>65099483</v>
      </c>
      <c r="AY92">
        <v>1</v>
      </c>
      <c r="AZ92">
        <v>0</v>
      </c>
      <c r="BA92">
        <v>102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V92">
        <v>0</v>
      </c>
      <c r="CW92">
        <f>ROUND(Y92*Source!I46*DO92,7)</f>
        <v>0</v>
      </c>
      <c r="CX92">
        <f>ROUND(Y92*Source!I46,7)</f>
        <v>0.0030000000000000001</v>
      </c>
      <c r="CY92">
        <f t="shared" ref="CY92:CY94" si="307">AB92</f>
        <v>1416.96</v>
      </c>
      <c r="CZ92">
        <f t="shared" ref="CZ92:CZ94" si="308">AF92</f>
        <v>86.400000000000006</v>
      </c>
      <c r="DA92">
        <f t="shared" ref="DA92:DA94" si="309">AJ92</f>
        <v>16.399999999999999</v>
      </c>
      <c r="DB92">
        <f t="shared" si="279"/>
        <v>0.85999999999999999</v>
      </c>
      <c r="DC92">
        <f t="shared" si="280"/>
        <v>0.14000000000000001</v>
      </c>
      <c r="DD92" t="s">
        <v>242</v>
      </c>
      <c r="DE92" t="s">
        <v>242</v>
      </c>
      <c r="DF92">
        <f t="shared" si="303"/>
        <v>0</v>
      </c>
      <c r="DG92">
        <f t="shared" ref="DG92:DG94" si="310">ROUND(ROUND(AF92*AJ92,2)*CX92,2)</f>
        <v>4.25</v>
      </c>
      <c r="DH92">
        <f t="shared" si="305"/>
        <v>2.2400000000000002</v>
      </c>
      <c r="DI92">
        <f t="shared" si="306"/>
        <v>0</v>
      </c>
      <c r="DJ92">
        <f t="shared" ref="DJ92:DJ94" si="311">DG92</f>
        <v>4.25</v>
      </c>
      <c r="DK92">
        <v>0</v>
      </c>
      <c r="DL92" t="s">
        <v>242</v>
      </c>
      <c r="DM92">
        <v>0</v>
      </c>
      <c r="DN92" t="s">
        <v>242</v>
      </c>
      <c r="DO92">
        <v>0</v>
      </c>
    </row>
    <row r="93">
      <c r="A93">
        <f>ROW(Source!A46)</f>
        <v>46</v>
      </c>
      <c r="B93">
        <v>65099320</v>
      </c>
      <c r="C93">
        <v>65099480</v>
      </c>
      <c r="D93">
        <v>55846894</v>
      </c>
      <c r="E93">
        <v>1</v>
      </c>
      <c r="F93">
        <v>1</v>
      </c>
      <c r="G93">
        <v>1</v>
      </c>
      <c r="H93">
        <v>2</v>
      </c>
      <c r="I93" t="s">
        <v>586</v>
      </c>
      <c r="J93" t="s">
        <v>587</v>
      </c>
      <c r="K93" t="s">
        <v>588</v>
      </c>
      <c r="L93">
        <v>1367</v>
      </c>
      <c r="N93">
        <v>1011</v>
      </c>
      <c r="O93" t="s">
        <v>490</v>
      </c>
      <c r="P93" t="s">
        <v>490</v>
      </c>
      <c r="Q93">
        <v>1</v>
      </c>
      <c r="W93">
        <v>0</v>
      </c>
      <c r="X93">
        <v>-1049284970</v>
      </c>
      <c r="Y93">
        <f t="shared" si="278"/>
        <v>1.27</v>
      </c>
      <c r="AA93">
        <v>0</v>
      </c>
      <c r="AB93">
        <v>486.58999999999997</v>
      </c>
      <c r="AC93">
        <v>0</v>
      </c>
      <c r="AD93">
        <v>0</v>
      </c>
      <c r="AE93">
        <v>0</v>
      </c>
      <c r="AF93">
        <v>29.670000000000002</v>
      </c>
      <c r="AG93">
        <v>0</v>
      </c>
      <c r="AH93">
        <v>0</v>
      </c>
      <c r="AI93">
        <v>1</v>
      </c>
      <c r="AJ93">
        <v>16.399999999999999</v>
      </c>
      <c r="AK93">
        <v>55.32</v>
      </c>
      <c r="AL93">
        <v>1</v>
      </c>
      <c r="AM93">
        <v>4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242</v>
      </c>
      <c r="AT93">
        <v>1.27</v>
      </c>
      <c r="AU93" t="s">
        <v>242</v>
      </c>
      <c r="AV93">
        <v>0</v>
      </c>
      <c r="AW93">
        <v>2</v>
      </c>
      <c r="AX93">
        <v>65099484</v>
      </c>
      <c r="AY93">
        <v>1</v>
      </c>
      <c r="AZ93">
        <v>0</v>
      </c>
      <c r="BA93">
        <v>103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V93">
        <v>0</v>
      </c>
      <c r="CW93">
        <f>ROUND(Y93*Source!I46*DO93,7)</f>
        <v>0</v>
      </c>
      <c r="CX93">
        <f>ROUND(Y93*Source!I46,7)</f>
        <v>0.38100000000000001</v>
      </c>
      <c r="CY93">
        <f t="shared" si="307"/>
        <v>486.58999999999997</v>
      </c>
      <c r="CZ93">
        <f t="shared" si="308"/>
        <v>29.670000000000002</v>
      </c>
      <c r="DA93">
        <f t="shared" si="309"/>
        <v>16.399999999999999</v>
      </c>
      <c r="DB93">
        <f t="shared" si="279"/>
        <v>37.68</v>
      </c>
      <c r="DC93">
        <f t="shared" si="280"/>
        <v>0</v>
      </c>
      <c r="DD93" t="s">
        <v>242</v>
      </c>
      <c r="DE93" t="s">
        <v>242</v>
      </c>
      <c r="DF93">
        <f t="shared" si="303"/>
        <v>0</v>
      </c>
      <c r="DG93">
        <f t="shared" si="310"/>
        <v>185.39000000000001</v>
      </c>
      <c r="DH93">
        <f t="shared" si="305"/>
        <v>0</v>
      </c>
      <c r="DI93">
        <f t="shared" si="306"/>
        <v>0</v>
      </c>
      <c r="DJ93">
        <f t="shared" si="311"/>
        <v>185.39000000000001</v>
      </c>
      <c r="DK93">
        <v>0</v>
      </c>
      <c r="DL93" t="s">
        <v>242</v>
      </c>
      <c r="DM93">
        <v>0</v>
      </c>
      <c r="DN93" t="s">
        <v>242</v>
      </c>
      <c r="DO93">
        <v>0</v>
      </c>
    </row>
    <row r="94">
      <c r="A94">
        <f>ROW(Source!A46)</f>
        <v>46</v>
      </c>
      <c r="B94">
        <v>65099320</v>
      </c>
      <c r="C94">
        <v>65099480</v>
      </c>
      <c r="D94">
        <v>55847089</v>
      </c>
      <c r="E94">
        <v>1</v>
      </c>
      <c r="F94">
        <v>1</v>
      </c>
      <c r="G94">
        <v>1</v>
      </c>
      <c r="H94">
        <v>2</v>
      </c>
      <c r="I94" t="s">
        <v>494</v>
      </c>
      <c r="J94" t="s">
        <v>495</v>
      </c>
      <c r="K94" t="s">
        <v>496</v>
      </c>
      <c r="L94">
        <v>1367</v>
      </c>
      <c r="N94">
        <v>1011</v>
      </c>
      <c r="O94" t="s">
        <v>490</v>
      </c>
      <c r="P94" t="s">
        <v>490</v>
      </c>
      <c r="Q94">
        <v>1</v>
      </c>
      <c r="W94">
        <v>0</v>
      </c>
      <c r="X94">
        <v>509054691</v>
      </c>
      <c r="Y94">
        <f t="shared" si="278"/>
        <v>0.029999999999999999</v>
      </c>
      <c r="AA94">
        <v>0</v>
      </c>
      <c r="AB94">
        <v>1077.6400000000001</v>
      </c>
      <c r="AC94">
        <v>641.71000000000004</v>
      </c>
      <c r="AD94">
        <v>0</v>
      </c>
      <c r="AE94">
        <v>0</v>
      </c>
      <c r="AF94">
        <v>65.709999999999994</v>
      </c>
      <c r="AG94">
        <v>11.6</v>
      </c>
      <c r="AH94">
        <v>0</v>
      </c>
      <c r="AI94">
        <v>1</v>
      </c>
      <c r="AJ94">
        <v>16.399999999999999</v>
      </c>
      <c r="AK94">
        <v>55.32</v>
      </c>
      <c r="AL94">
        <v>1</v>
      </c>
      <c r="AM94">
        <v>4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242</v>
      </c>
      <c r="AT94">
        <v>0.029999999999999999</v>
      </c>
      <c r="AU94" t="s">
        <v>242</v>
      </c>
      <c r="AV94">
        <v>0</v>
      </c>
      <c r="AW94">
        <v>2</v>
      </c>
      <c r="AX94">
        <v>65099485</v>
      </c>
      <c r="AY94">
        <v>1</v>
      </c>
      <c r="AZ94">
        <v>0</v>
      </c>
      <c r="BA94">
        <v>104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V94">
        <v>0</v>
      </c>
      <c r="CW94">
        <f>ROUND(Y94*Source!I46*DO94,7)</f>
        <v>0</v>
      </c>
      <c r="CX94">
        <f>ROUND(Y94*Source!I46,7)</f>
        <v>0.0089999999999999993</v>
      </c>
      <c r="CY94">
        <f t="shared" si="307"/>
        <v>1077.6400000000001</v>
      </c>
      <c r="CZ94">
        <f t="shared" si="308"/>
        <v>65.709999999999994</v>
      </c>
      <c r="DA94">
        <f t="shared" si="309"/>
        <v>16.399999999999999</v>
      </c>
      <c r="DB94">
        <f t="shared" si="279"/>
        <v>1.97</v>
      </c>
      <c r="DC94">
        <f t="shared" si="280"/>
        <v>0.35000000000000003</v>
      </c>
      <c r="DD94" t="s">
        <v>242</v>
      </c>
      <c r="DE94" t="s">
        <v>242</v>
      </c>
      <c r="DF94">
        <f t="shared" si="303"/>
        <v>0</v>
      </c>
      <c r="DG94">
        <f t="shared" si="310"/>
        <v>9.7000000000000011</v>
      </c>
      <c r="DH94">
        <f t="shared" si="305"/>
        <v>5.7800000000000002</v>
      </c>
      <c r="DI94">
        <f t="shared" si="306"/>
        <v>0</v>
      </c>
      <c r="DJ94">
        <f t="shared" si="311"/>
        <v>9.7000000000000011</v>
      </c>
      <c r="DK94">
        <v>0</v>
      </c>
      <c r="DL94" t="s">
        <v>242</v>
      </c>
      <c r="DM94">
        <v>0</v>
      </c>
      <c r="DN94" t="s">
        <v>242</v>
      </c>
      <c r="DO94">
        <v>0</v>
      </c>
    </row>
    <row r="95">
      <c r="A95">
        <f>ROW(Source!A46)</f>
        <v>46</v>
      </c>
      <c r="B95">
        <v>65099320</v>
      </c>
      <c r="C95">
        <v>65099480</v>
      </c>
      <c r="D95">
        <v>55696789</v>
      </c>
      <c r="E95">
        <v>1</v>
      </c>
      <c r="F95">
        <v>1</v>
      </c>
      <c r="G95">
        <v>1</v>
      </c>
      <c r="H95">
        <v>3</v>
      </c>
      <c r="I95" t="s">
        <v>574</v>
      </c>
      <c r="J95" t="s">
        <v>575</v>
      </c>
      <c r="K95" t="s">
        <v>576</v>
      </c>
      <c r="L95">
        <v>1339</v>
      </c>
      <c r="N95">
        <v>1007</v>
      </c>
      <c r="O95" t="s">
        <v>516</v>
      </c>
      <c r="P95" t="s">
        <v>516</v>
      </c>
      <c r="Q95">
        <v>1</v>
      </c>
      <c r="W95">
        <v>0</v>
      </c>
      <c r="X95">
        <v>-143474561</v>
      </c>
      <c r="Y95">
        <f t="shared" si="278"/>
        <v>0.45779999999999998</v>
      </c>
      <c r="AA95">
        <v>23.300000000000001</v>
      </c>
      <c r="AB95">
        <v>0</v>
      </c>
      <c r="AC95">
        <v>0</v>
      </c>
      <c r="AD95">
        <v>0</v>
      </c>
      <c r="AE95">
        <v>2.4399999999999999</v>
      </c>
      <c r="AF95">
        <v>0</v>
      </c>
      <c r="AG95">
        <v>0</v>
      </c>
      <c r="AH95">
        <v>0</v>
      </c>
      <c r="AI95">
        <v>9.5500000000000007</v>
      </c>
      <c r="AJ95">
        <v>1</v>
      </c>
      <c r="AK95">
        <v>1</v>
      </c>
      <c r="AL95">
        <v>1</v>
      </c>
      <c r="AM95">
        <v>4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242</v>
      </c>
      <c r="AT95">
        <v>0.45779999999999998</v>
      </c>
      <c r="AU95" t="s">
        <v>242</v>
      </c>
      <c r="AV95">
        <v>0</v>
      </c>
      <c r="AW95">
        <v>2</v>
      </c>
      <c r="AX95">
        <v>65099486</v>
      </c>
      <c r="AY95">
        <v>1</v>
      </c>
      <c r="AZ95">
        <v>0</v>
      </c>
      <c r="BA95">
        <v>105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V95">
        <v>0</v>
      </c>
      <c r="CW95">
        <v>0</v>
      </c>
      <c r="CX95">
        <f>ROUND(Y95*Source!I46,7)</f>
        <v>0.13733999999999999</v>
      </c>
      <c r="CY95">
        <f t="shared" ref="CY95:CY101" si="312">AA95</f>
        <v>23.300000000000001</v>
      </c>
      <c r="CZ95">
        <f t="shared" ref="CZ95:CZ101" si="313">AE95</f>
        <v>2.4399999999999999</v>
      </c>
      <c r="DA95">
        <f t="shared" ref="DA95:DA101" si="314">AI95</f>
        <v>9.5500000000000007</v>
      </c>
      <c r="DB95">
        <f t="shared" si="279"/>
        <v>1.1200000000000001</v>
      </c>
      <c r="DC95">
        <f t="shared" si="280"/>
        <v>0</v>
      </c>
      <c r="DD95" t="s">
        <v>242</v>
      </c>
      <c r="DE95" t="s">
        <v>242</v>
      </c>
      <c r="DF95">
        <f t="shared" ref="DF95:DF101" si="315">ROUND(ROUND(AE95*AI95,2)*CX95,2)</f>
        <v>3.2000000000000002</v>
      </c>
      <c r="DG95">
        <f t="shared" ref="DG95:DG102" si="316">ROUND(ROUND(AF95,2)*CX95,2)</f>
        <v>0</v>
      </c>
      <c r="DH95">
        <f t="shared" ref="DH95:DH102" si="317">ROUND(ROUND(AG95,2)*CX95,2)</f>
        <v>0</v>
      </c>
      <c r="DI95">
        <f t="shared" si="306"/>
        <v>0</v>
      </c>
      <c r="DJ95">
        <f t="shared" ref="DJ95:DJ101" si="318">DF95</f>
        <v>3.2000000000000002</v>
      </c>
      <c r="DK95">
        <v>0</v>
      </c>
      <c r="DL95" t="s">
        <v>242</v>
      </c>
      <c r="DM95">
        <v>0</v>
      </c>
      <c r="DN95" t="s">
        <v>242</v>
      </c>
      <c r="DO95">
        <v>0</v>
      </c>
    </row>
    <row r="96">
      <c r="A96">
        <f>ROW(Source!A46)</f>
        <v>46</v>
      </c>
      <c r="B96">
        <v>65099320</v>
      </c>
      <c r="C96">
        <v>65099480</v>
      </c>
      <c r="D96">
        <v>55699211</v>
      </c>
      <c r="E96">
        <v>1</v>
      </c>
      <c r="F96">
        <v>1</v>
      </c>
      <c r="G96">
        <v>1</v>
      </c>
      <c r="H96">
        <v>3</v>
      </c>
      <c r="I96" t="s">
        <v>589</v>
      </c>
      <c r="J96" t="s">
        <v>590</v>
      </c>
      <c r="K96" t="s">
        <v>591</v>
      </c>
      <c r="L96">
        <v>1407</v>
      </c>
      <c r="N96">
        <v>1013</v>
      </c>
      <c r="O96" t="s">
        <v>533</v>
      </c>
      <c r="P96" t="s">
        <v>533</v>
      </c>
      <c r="Q96">
        <v>1</v>
      </c>
      <c r="W96">
        <v>0</v>
      </c>
      <c r="X96">
        <v>-613484815</v>
      </c>
      <c r="Y96">
        <f t="shared" si="278"/>
        <v>0.14299999999999999</v>
      </c>
      <c r="AA96">
        <v>2578.5</v>
      </c>
      <c r="AB96">
        <v>0</v>
      </c>
      <c r="AC96">
        <v>0</v>
      </c>
      <c r="AD96">
        <v>0</v>
      </c>
      <c r="AE96">
        <v>270</v>
      </c>
      <c r="AF96">
        <v>0</v>
      </c>
      <c r="AG96">
        <v>0</v>
      </c>
      <c r="AH96">
        <v>0</v>
      </c>
      <c r="AI96">
        <v>9.5500000000000007</v>
      </c>
      <c r="AJ96">
        <v>1</v>
      </c>
      <c r="AK96">
        <v>1</v>
      </c>
      <c r="AL96">
        <v>1</v>
      </c>
      <c r="AM96">
        <v>4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242</v>
      </c>
      <c r="AT96">
        <v>0.14299999999999999</v>
      </c>
      <c r="AU96" t="s">
        <v>242</v>
      </c>
      <c r="AV96">
        <v>0</v>
      </c>
      <c r="AW96">
        <v>2</v>
      </c>
      <c r="AX96">
        <v>65099487</v>
      </c>
      <c r="AY96">
        <v>1</v>
      </c>
      <c r="AZ96">
        <v>0</v>
      </c>
      <c r="BA96">
        <v>106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V96">
        <v>0</v>
      </c>
      <c r="CW96">
        <v>0</v>
      </c>
      <c r="CX96">
        <f>ROUND(Y96*Source!I46,7)</f>
        <v>0.042900000000000001</v>
      </c>
      <c r="CY96">
        <f t="shared" si="312"/>
        <v>2578.5</v>
      </c>
      <c r="CZ96">
        <f t="shared" si="313"/>
        <v>270</v>
      </c>
      <c r="DA96">
        <f t="shared" si="314"/>
        <v>9.5500000000000007</v>
      </c>
      <c r="DB96">
        <f t="shared" si="279"/>
        <v>38.609999999999999</v>
      </c>
      <c r="DC96">
        <f t="shared" si="280"/>
        <v>0</v>
      </c>
      <c r="DD96" t="s">
        <v>242</v>
      </c>
      <c r="DE96" t="s">
        <v>242</v>
      </c>
      <c r="DF96">
        <f t="shared" si="315"/>
        <v>110.62</v>
      </c>
      <c r="DG96">
        <f t="shared" si="316"/>
        <v>0</v>
      </c>
      <c r="DH96">
        <f t="shared" si="317"/>
        <v>0</v>
      </c>
      <c r="DI96">
        <f t="shared" si="306"/>
        <v>0</v>
      </c>
      <c r="DJ96">
        <f t="shared" si="318"/>
        <v>110.62</v>
      </c>
      <c r="DK96">
        <v>0</v>
      </c>
      <c r="DL96" t="s">
        <v>242</v>
      </c>
      <c r="DM96">
        <v>0</v>
      </c>
      <c r="DN96" t="s">
        <v>242</v>
      </c>
      <c r="DO96">
        <v>0</v>
      </c>
    </row>
    <row r="97">
      <c r="A97">
        <f>ROW(Source!A46)</f>
        <v>46</v>
      </c>
      <c r="B97">
        <v>65099320</v>
      </c>
      <c r="C97">
        <v>65099480</v>
      </c>
      <c r="D97">
        <v>55699411</v>
      </c>
      <c r="E97">
        <v>1</v>
      </c>
      <c r="F97">
        <v>1</v>
      </c>
      <c r="G97">
        <v>1</v>
      </c>
      <c r="H97">
        <v>3</v>
      </c>
      <c r="I97" t="s">
        <v>592</v>
      </c>
      <c r="J97" t="s">
        <v>593</v>
      </c>
      <c r="K97" t="s">
        <v>594</v>
      </c>
      <c r="L97">
        <v>1348</v>
      </c>
      <c r="N97">
        <v>1009</v>
      </c>
      <c r="O97" t="s">
        <v>500</v>
      </c>
      <c r="P97" t="s">
        <v>500</v>
      </c>
      <c r="Q97">
        <v>1000</v>
      </c>
      <c r="W97">
        <v>0</v>
      </c>
      <c r="X97">
        <v>1639636952</v>
      </c>
      <c r="Y97">
        <f t="shared" si="278"/>
        <v>0.0027200000000000002</v>
      </c>
      <c r="AA97">
        <v>132644.25</v>
      </c>
      <c r="AB97">
        <v>0</v>
      </c>
      <c r="AC97">
        <v>0</v>
      </c>
      <c r="AD97">
        <v>0</v>
      </c>
      <c r="AE97">
        <v>13889.450000000001</v>
      </c>
      <c r="AF97">
        <v>0</v>
      </c>
      <c r="AG97">
        <v>0</v>
      </c>
      <c r="AH97">
        <v>0</v>
      </c>
      <c r="AI97">
        <v>9.5500000000000007</v>
      </c>
      <c r="AJ97">
        <v>1</v>
      </c>
      <c r="AK97">
        <v>1</v>
      </c>
      <c r="AL97">
        <v>1</v>
      </c>
      <c r="AM97">
        <v>4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242</v>
      </c>
      <c r="AT97">
        <v>0.0027200000000000002</v>
      </c>
      <c r="AU97" t="s">
        <v>242</v>
      </c>
      <c r="AV97">
        <v>0</v>
      </c>
      <c r="AW97">
        <v>2</v>
      </c>
      <c r="AX97">
        <v>65099488</v>
      </c>
      <c r="AY97">
        <v>1</v>
      </c>
      <c r="AZ97">
        <v>0</v>
      </c>
      <c r="BA97">
        <v>107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V97">
        <v>0</v>
      </c>
      <c r="CW97">
        <v>0</v>
      </c>
      <c r="CX97">
        <f>ROUND(Y97*Source!I46,7)</f>
        <v>0.00081599999999999999</v>
      </c>
      <c r="CY97">
        <f t="shared" si="312"/>
        <v>132644.25</v>
      </c>
      <c r="CZ97">
        <f t="shared" si="313"/>
        <v>13889.450000000001</v>
      </c>
      <c r="DA97">
        <f t="shared" si="314"/>
        <v>9.5500000000000007</v>
      </c>
      <c r="DB97">
        <f t="shared" si="279"/>
        <v>37.780000000000001</v>
      </c>
      <c r="DC97">
        <f t="shared" si="280"/>
        <v>0</v>
      </c>
      <c r="DD97" t="s">
        <v>242</v>
      </c>
      <c r="DE97" t="s">
        <v>242</v>
      </c>
      <c r="DF97">
        <f t="shared" si="315"/>
        <v>108.24000000000001</v>
      </c>
      <c r="DG97">
        <f t="shared" si="316"/>
        <v>0</v>
      </c>
      <c r="DH97">
        <f t="shared" si="317"/>
        <v>0</v>
      </c>
      <c r="DI97">
        <f t="shared" si="306"/>
        <v>0</v>
      </c>
      <c r="DJ97">
        <f t="shared" si="318"/>
        <v>108.24000000000001</v>
      </c>
      <c r="DK97">
        <v>0</v>
      </c>
      <c r="DL97" t="s">
        <v>242</v>
      </c>
      <c r="DM97">
        <v>0</v>
      </c>
      <c r="DN97" t="s">
        <v>242</v>
      </c>
      <c r="DO97">
        <v>0</v>
      </c>
    </row>
    <row r="98">
      <c r="A98">
        <f>ROW(Source!A46)</f>
        <v>46</v>
      </c>
      <c r="B98">
        <v>65099320</v>
      </c>
      <c r="C98">
        <v>65099480</v>
      </c>
      <c r="D98">
        <v>55734698</v>
      </c>
      <c r="E98">
        <v>1</v>
      </c>
      <c r="F98">
        <v>1</v>
      </c>
      <c r="G98">
        <v>1</v>
      </c>
      <c r="H98">
        <v>3</v>
      </c>
      <c r="I98" t="s">
        <v>345</v>
      </c>
      <c r="J98" t="s">
        <v>347</v>
      </c>
      <c r="K98" t="s">
        <v>346</v>
      </c>
      <c r="L98">
        <v>1371</v>
      </c>
      <c r="N98">
        <v>1013</v>
      </c>
      <c r="O98" t="s">
        <v>312</v>
      </c>
      <c r="P98" t="s">
        <v>312</v>
      </c>
      <c r="Q98">
        <v>1</v>
      </c>
      <c r="W98">
        <v>0</v>
      </c>
      <c r="X98">
        <v>-255248698</v>
      </c>
      <c r="Y98">
        <f t="shared" si="278"/>
        <v>43.3333333</v>
      </c>
      <c r="AA98">
        <v>317.81999999999999</v>
      </c>
      <c r="AB98">
        <v>0</v>
      </c>
      <c r="AC98">
        <v>0</v>
      </c>
      <c r="AD98">
        <v>0</v>
      </c>
      <c r="AE98">
        <v>33.280000000000001</v>
      </c>
      <c r="AF98">
        <v>0</v>
      </c>
      <c r="AG98">
        <v>0</v>
      </c>
      <c r="AH98">
        <v>0</v>
      </c>
      <c r="AI98">
        <v>9.5500000000000007</v>
      </c>
      <c r="AJ98">
        <v>1</v>
      </c>
      <c r="AK98">
        <v>1</v>
      </c>
      <c r="AL98">
        <v>1</v>
      </c>
      <c r="AM98">
        <v>0</v>
      </c>
      <c r="AN98">
        <v>1</v>
      </c>
      <c r="AO98">
        <v>0</v>
      </c>
      <c r="AP98">
        <v>1</v>
      </c>
      <c r="AQ98">
        <v>0</v>
      </c>
      <c r="AR98">
        <v>0</v>
      </c>
      <c r="AS98" t="s">
        <v>242</v>
      </c>
      <c r="AT98">
        <v>43.3333333</v>
      </c>
      <c r="AU98" t="s">
        <v>242</v>
      </c>
      <c r="AV98">
        <v>0</v>
      </c>
      <c r="AW98">
        <v>1</v>
      </c>
      <c r="AX98">
        <v>-1</v>
      </c>
      <c r="AY98">
        <v>0</v>
      </c>
      <c r="AZ98">
        <v>0</v>
      </c>
      <c r="BA98" t="s">
        <v>242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V98">
        <v>0</v>
      </c>
      <c r="CW98">
        <v>0</v>
      </c>
      <c r="CX98">
        <f>ROUND(Y98*Source!I46,7)</f>
        <v>13</v>
      </c>
      <c r="CY98">
        <f t="shared" si="312"/>
        <v>317.81999999999999</v>
      </c>
      <c r="CZ98">
        <f t="shared" si="313"/>
        <v>33.280000000000001</v>
      </c>
      <c r="DA98">
        <f t="shared" si="314"/>
        <v>9.5500000000000007</v>
      </c>
      <c r="DB98">
        <f t="shared" si="279"/>
        <v>1442.1300000000001</v>
      </c>
      <c r="DC98">
        <f t="shared" si="280"/>
        <v>0</v>
      </c>
      <c r="DD98" t="s">
        <v>242</v>
      </c>
      <c r="DE98" t="s">
        <v>242</v>
      </c>
      <c r="DF98">
        <f t="shared" si="315"/>
        <v>4131.6599999999999</v>
      </c>
      <c r="DG98">
        <f t="shared" si="316"/>
        <v>0</v>
      </c>
      <c r="DH98">
        <f t="shared" si="317"/>
        <v>0</v>
      </c>
      <c r="DI98">
        <f t="shared" si="306"/>
        <v>0</v>
      </c>
      <c r="DJ98">
        <f t="shared" si="318"/>
        <v>4131.6599999999999</v>
      </c>
      <c r="DK98">
        <v>0</v>
      </c>
      <c r="DL98" t="s">
        <v>242</v>
      </c>
      <c r="DM98">
        <v>0</v>
      </c>
      <c r="DN98" t="s">
        <v>242</v>
      </c>
      <c r="DO98">
        <v>0</v>
      </c>
    </row>
    <row r="99">
      <c r="A99">
        <f>ROW(Source!A46)</f>
        <v>46</v>
      </c>
      <c r="B99">
        <v>65099320</v>
      </c>
      <c r="C99">
        <v>65099480</v>
      </c>
      <c r="D99">
        <v>55756274</v>
      </c>
      <c r="E99">
        <v>1</v>
      </c>
      <c r="F99">
        <v>1</v>
      </c>
      <c r="G99">
        <v>1</v>
      </c>
      <c r="H99">
        <v>3</v>
      </c>
      <c r="I99" t="s">
        <v>349</v>
      </c>
      <c r="J99" t="s">
        <v>351</v>
      </c>
      <c r="K99" t="s">
        <v>350</v>
      </c>
      <c r="L99">
        <v>1371</v>
      </c>
      <c r="N99">
        <v>1013</v>
      </c>
      <c r="O99" t="s">
        <v>312</v>
      </c>
      <c r="P99" t="s">
        <v>312</v>
      </c>
      <c r="Q99">
        <v>1</v>
      </c>
      <c r="W99">
        <v>0</v>
      </c>
      <c r="X99">
        <v>270534841</v>
      </c>
      <c r="Y99">
        <f t="shared" si="278"/>
        <v>100</v>
      </c>
      <c r="AA99">
        <v>99.030000000000001</v>
      </c>
      <c r="AB99">
        <v>0</v>
      </c>
      <c r="AC99">
        <v>0</v>
      </c>
      <c r="AD99">
        <v>0</v>
      </c>
      <c r="AE99">
        <v>10.369999999999999</v>
      </c>
      <c r="AF99">
        <v>0</v>
      </c>
      <c r="AG99">
        <v>0</v>
      </c>
      <c r="AH99">
        <v>0</v>
      </c>
      <c r="AI99">
        <v>9.5500000000000007</v>
      </c>
      <c r="AJ99">
        <v>1</v>
      </c>
      <c r="AK99">
        <v>1</v>
      </c>
      <c r="AL99">
        <v>1</v>
      </c>
      <c r="AM99">
        <v>0</v>
      </c>
      <c r="AN99">
        <v>0</v>
      </c>
      <c r="AO99">
        <v>0</v>
      </c>
      <c r="AP99">
        <v>1</v>
      </c>
      <c r="AQ99">
        <v>0</v>
      </c>
      <c r="AR99">
        <v>0</v>
      </c>
      <c r="AS99" t="s">
        <v>242</v>
      </c>
      <c r="AT99">
        <v>100</v>
      </c>
      <c r="AU99" t="s">
        <v>242</v>
      </c>
      <c r="AV99">
        <v>0</v>
      </c>
      <c r="AW99">
        <v>1</v>
      </c>
      <c r="AX99">
        <v>-1</v>
      </c>
      <c r="AY99">
        <v>0</v>
      </c>
      <c r="AZ99">
        <v>0</v>
      </c>
      <c r="BA99" t="s">
        <v>242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V99">
        <v>0</v>
      </c>
      <c r="CW99">
        <v>0</v>
      </c>
      <c r="CX99">
        <f>ROUND(Y99*Source!I46,7)</f>
        <v>30</v>
      </c>
      <c r="CY99">
        <f t="shared" si="312"/>
        <v>99.030000000000001</v>
      </c>
      <c r="CZ99">
        <f t="shared" si="313"/>
        <v>10.369999999999999</v>
      </c>
      <c r="DA99">
        <f t="shared" si="314"/>
        <v>9.5500000000000007</v>
      </c>
      <c r="DB99">
        <f t="shared" si="279"/>
        <v>1037</v>
      </c>
      <c r="DC99">
        <f t="shared" si="280"/>
        <v>0</v>
      </c>
      <c r="DD99" t="s">
        <v>242</v>
      </c>
      <c r="DE99" t="s">
        <v>242</v>
      </c>
      <c r="DF99">
        <f t="shared" si="315"/>
        <v>2970.9000000000001</v>
      </c>
      <c r="DG99">
        <f t="shared" si="316"/>
        <v>0</v>
      </c>
      <c r="DH99">
        <f t="shared" si="317"/>
        <v>0</v>
      </c>
      <c r="DI99">
        <f t="shared" si="306"/>
        <v>0</v>
      </c>
      <c r="DJ99">
        <f t="shared" si="318"/>
        <v>2970.9000000000001</v>
      </c>
      <c r="DK99">
        <v>0</v>
      </c>
      <c r="DL99" t="s">
        <v>242</v>
      </c>
      <c r="DM99">
        <v>0</v>
      </c>
      <c r="DN99" t="s">
        <v>242</v>
      </c>
      <c r="DO99">
        <v>0</v>
      </c>
    </row>
    <row r="100">
      <c r="A100">
        <f>ROW(Source!A46)</f>
        <v>46</v>
      </c>
      <c r="B100">
        <v>65099320</v>
      </c>
      <c r="C100">
        <v>65099480</v>
      </c>
      <c r="D100">
        <v>55756949</v>
      </c>
      <c r="E100">
        <v>1</v>
      </c>
      <c r="F100">
        <v>1</v>
      </c>
      <c r="G100">
        <v>1</v>
      </c>
      <c r="H100">
        <v>3</v>
      </c>
      <c r="I100" t="s">
        <v>353</v>
      </c>
      <c r="J100" t="s">
        <v>355</v>
      </c>
      <c r="K100" t="s">
        <v>354</v>
      </c>
      <c r="L100">
        <v>1301</v>
      </c>
      <c r="N100">
        <v>1003</v>
      </c>
      <c r="O100" t="s">
        <v>327</v>
      </c>
      <c r="P100" t="s">
        <v>327</v>
      </c>
      <c r="Q100">
        <v>1</v>
      </c>
      <c r="W100">
        <v>0</v>
      </c>
      <c r="X100">
        <v>221120595</v>
      </c>
      <c r="Y100">
        <f t="shared" si="278"/>
        <v>102.5</v>
      </c>
      <c r="AA100">
        <v>52.909999999999997</v>
      </c>
      <c r="AB100">
        <v>0</v>
      </c>
      <c r="AC100">
        <v>0</v>
      </c>
      <c r="AD100">
        <v>0</v>
      </c>
      <c r="AE100">
        <v>5.54</v>
      </c>
      <c r="AF100">
        <v>0</v>
      </c>
      <c r="AG100">
        <v>0</v>
      </c>
      <c r="AH100">
        <v>0</v>
      </c>
      <c r="AI100">
        <v>9.5500000000000007</v>
      </c>
      <c r="AJ100">
        <v>1</v>
      </c>
      <c r="AK100">
        <v>1</v>
      </c>
      <c r="AL100">
        <v>1</v>
      </c>
      <c r="AM100">
        <v>0</v>
      </c>
      <c r="AN100">
        <v>0</v>
      </c>
      <c r="AO100">
        <v>0</v>
      </c>
      <c r="AP100">
        <v>1</v>
      </c>
      <c r="AQ100">
        <v>0</v>
      </c>
      <c r="AR100">
        <v>0</v>
      </c>
      <c r="AS100" t="s">
        <v>242</v>
      </c>
      <c r="AT100">
        <v>102.5</v>
      </c>
      <c r="AU100" t="s">
        <v>242</v>
      </c>
      <c r="AV100">
        <v>0</v>
      </c>
      <c r="AW100">
        <v>1</v>
      </c>
      <c r="AX100">
        <v>-1</v>
      </c>
      <c r="AY100">
        <v>0</v>
      </c>
      <c r="AZ100">
        <v>0</v>
      </c>
      <c r="BA100" t="s">
        <v>242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v>0</v>
      </c>
      <c r="CX100">
        <f>ROUND(Y100*Source!I46,7)</f>
        <v>30.75</v>
      </c>
      <c r="CY100">
        <f t="shared" si="312"/>
        <v>52.909999999999997</v>
      </c>
      <c r="CZ100">
        <f t="shared" si="313"/>
        <v>5.54</v>
      </c>
      <c r="DA100">
        <f t="shared" si="314"/>
        <v>9.5500000000000007</v>
      </c>
      <c r="DB100">
        <f t="shared" si="279"/>
        <v>567.85000000000002</v>
      </c>
      <c r="DC100">
        <f t="shared" si="280"/>
        <v>0</v>
      </c>
      <c r="DD100" t="s">
        <v>242</v>
      </c>
      <c r="DE100" t="s">
        <v>242</v>
      </c>
      <c r="DF100">
        <f t="shared" si="315"/>
        <v>1626.98</v>
      </c>
      <c r="DG100">
        <f t="shared" si="316"/>
        <v>0</v>
      </c>
      <c r="DH100">
        <f t="shared" si="317"/>
        <v>0</v>
      </c>
      <c r="DI100">
        <f t="shared" si="306"/>
        <v>0</v>
      </c>
      <c r="DJ100">
        <f t="shared" si="318"/>
        <v>1626.98</v>
      </c>
      <c r="DK100">
        <v>0</v>
      </c>
      <c r="DL100" t="s">
        <v>242</v>
      </c>
      <c r="DM100">
        <v>0</v>
      </c>
      <c r="DN100" t="s">
        <v>242</v>
      </c>
      <c r="DO100">
        <v>0</v>
      </c>
    </row>
    <row r="101">
      <c r="A101">
        <f>ROW(Source!A46)</f>
        <v>46</v>
      </c>
      <c r="B101">
        <v>65099320</v>
      </c>
      <c r="C101">
        <v>65099480</v>
      </c>
      <c r="D101">
        <v>55689033</v>
      </c>
      <c r="E101">
        <v>70</v>
      </c>
      <c r="F101">
        <v>1</v>
      </c>
      <c r="G101">
        <v>1</v>
      </c>
      <c r="H101">
        <v>3</v>
      </c>
      <c r="I101" t="s">
        <v>201</v>
      </c>
      <c r="J101" t="s">
        <v>242</v>
      </c>
      <c r="K101" t="s">
        <v>357</v>
      </c>
      <c r="L101">
        <v>1371</v>
      </c>
      <c r="N101">
        <v>1013</v>
      </c>
      <c r="O101" t="s">
        <v>312</v>
      </c>
      <c r="P101" t="s">
        <v>312</v>
      </c>
      <c r="Q101">
        <v>1</v>
      </c>
      <c r="W101">
        <v>0</v>
      </c>
      <c r="X101">
        <v>512223021</v>
      </c>
      <c r="Y101">
        <f t="shared" si="278"/>
        <v>33.3333333</v>
      </c>
      <c r="AA101">
        <v>238.75</v>
      </c>
      <c r="AB101">
        <v>0</v>
      </c>
      <c r="AC101">
        <v>0</v>
      </c>
      <c r="AD101">
        <v>0</v>
      </c>
      <c r="AE101">
        <v>25</v>
      </c>
      <c r="AF101">
        <v>0</v>
      </c>
      <c r="AG101">
        <v>0</v>
      </c>
      <c r="AH101">
        <v>0</v>
      </c>
      <c r="AI101">
        <v>9.5500000000000007</v>
      </c>
      <c r="AJ101">
        <v>1</v>
      </c>
      <c r="AK101">
        <v>1</v>
      </c>
      <c r="AL101">
        <v>1</v>
      </c>
      <c r="AM101">
        <v>0</v>
      </c>
      <c r="AN101">
        <v>1</v>
      </c>
      <c r="AO101">
        <v>0</v>
      </c>
      <c r="AP101">
        <v>1</v>
      </c>
      <c r="AQ101">
        <v>0</v>
      </c>
      <c r="AR101">
        <v>0</v>
      </c>
      <c r="AS101" t="s">
        <v>242</v>
      </c>
      <c r="AT101">
        <v>33.3333333</v>
      </c>
      <c r="AU101" t="s">
        <v>242</v>
      </c>
      <c r="AV101">
        <v>0</v>
      </c>
      <c r="AW101">
        <v>2</v>
      </c>
      <c r="AX101">
        <v>65099493</v>
      </c>
      <c r="AY101">
        <v>2</v>
      </c>
      <c r="AZ101">
        <v>22528</v>
      </c>
      <c r="BA101">
        <v>112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V101">
        <v>0</v>
      </c>
      <c r="CW101">
        <v>0</v>
      </c>
      <c r="CX101">
        <f>ROUND(Y101*Source!I46,7)</f>
        <v>10</v>
      </c>
      <c r="CY101">
        <f t="shared" si="312"/>
        <v>238.75</v>
      </c>
      <c r="CZ101">
        <f t="shared" si="313"/>
        <v>25</v>
      </c>
      <c r="DA101">
        <f t="shared" si="314"/>
        <v>9.5500000000000007</v>
      </c>
      <c r="DB101">
        <f t="shared" si="279"/>
        <v>833.33000000000004</v>
      </c>
      <c r="DC101">
        <f t="shared" si="280"/>
        <v>0</v>
      </c>
      <c r="DD101" t="s">
        <v>242</v>
      </c>
      <c r="DE101" t="s">
        <v>242</v>
      </c>
      <c r="DF101">
        <f t="shared" si="315"/>
        <v>2387.5</v>
      </c>
      <c r="DG101">
        <f t="shared" si="316"/>
        <v>0</v>
      </c>
      <c r="DH101">
        <f t="shared" si="317"/>
        <v>0</v>
      </c>
      <c r="DI101">
        <f t="shared" si="306"/>
        <v>0</v>
      </c>
      <c r="DJ101">
        <f t="shared" si="318"/>
        <v>2387.5</v>
      </c>
      <c r="DK101">
        <v>0</v>
      </c>
      <c r="DL101" t="s">
        <v>242</v>
      </c>
      <c r="DM101">
        <v>0</v>
      </c>
      <c r="DN101" t="s">
        <v>242</v>
      </c>
      <c r="DO101">
        <v>0</v>
      </c>
    </row>
    <row r="102">
      <c r="A102">
        <f>ROW(Source!A51)</f>
        <v>51</v>
      </c>
      <c r="B102">
        <v>65099320</v>
      </c>
      <c r="C102">
        <v>65099505</v>
      </c>
      <c r="D102">
        <v>55684359</v>
      </c>
      <c r="E102">
        <v>70</v>
      </c>
      <c r="F102">
        <v>1</v>
      </c>
      <c r="G102">
        <v>1</v>
      </c>
      <c r="H102">
        <v>1</v>
      </c>
      <c r="I102" t="s">
        <v>595</v>
      </c>
      <c r="J102" t="s">
        <v>242</v>
      </c>
      <c r="K102" t="s">
        <v>596</v>
      </c>
      <c r="L102">
        <v>1191</v>
      </c>
      <c r="N102">
        <v>1013</v>
      </c>
      <c r="O102" t="s">
        <v>30</v>
      </c>
      <c r="P102" t="s">
        <v>30</v>
      </c>
      <c r="Q102">
        <v>1</v>
      </c>
      <c r="W102">
        <v>0</v>
      </c>
      <c r="X102">
        <v>-632984526</v>
      </c>
      <c r="Y102">
        <f t="shared" si="278"/>
        <v>2.3399999999999999</v>
      </c>
      <c r="AA102">
        <v>0</v>
      </c>
      <c r="AB102">
        <v>0</v>
      </c>
      <c r="AC102">
        <v>0</v>
      </c>
      <c r="AD102">
        <v>564.82000000000005</v>
      </c>
      <c r="AE102">
        <v>0</v>
      </c>
      <c r="AF102">
        <v>0</v>
      </c>
      <c r="AG102">
        <v>0</v>
      </c>
      <c r="AH102">
        <v>10.210000000000001</v>
      </c>
      <c r="AI102">
        <v>1</v>
      </c>
      <c r="AJ102">
        <v>1</v>
      </c>
      <c r="AK102">
        <v>1</v>
      </c>
      <c r="AL102">
        <v>55.32</v>
      </c>
      <c r="AM102">
        <v>4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242</v>
      </c>
      <c r="AT102">
        <v>2.3399999999999999</v>
      </c>
      <c r="AU102" t="s">
        <v>242</v>
      </c>
      <c r="AV102">
        <v>1</v>
      </c>
      <c r="AW102">
        <v>2</v>
      </c>
      <c r="AX102">
        <v>65099506</v>
      </c>
      <c r="AY102">
        <v>1</v>
      </c>
      <c r="AZ102">
        <v>0</v>
      </c>
      <c r="BA102">
        <v>113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U102">
        <f>ROUND(AT102*Source!I51*AH102*AL102,2)</f>
        <v>264.32999999999998</v>
      </c>
      <c r="CV102">
        <f>ROUND(Y102*Source!I51,7)</f>
        <v>0.46799999999999997</v>
      </c>
      <c r="CW102">
        <v>0</v>
      </c>
      <c r="CX102">
        <f>ROUND(Y102*Source!I51,7)</f>
        <v>0.46799999999999997</v>
      </c>
      <c r="CY102">
        <f>AD102</f>
        <v>564.82000000000005</v>
      </c>
      <c r="CZ102">
        <f>AH102</f>
        <v>10.210000000000001</v>
      </c>
      <c r="DA102">
        <f>AL102</f>
        <v>55.32</v>
      </c>
      <c r="DB102">
        <f t="shared" si="279"/>
        <v>23.890000000000001</v>
      </c>
      <c r="DC102">
        <f t="shared" si="280"/>
        <v>0</v>
      </c>
      <c r="DD102" t="s">
        <v>242</v>
      </c>
      <c r="DE102" t="s">
        <v>242</v>
      </c>
      <c r="DF102">
        <f>ROUND(ROUND(AE102,2)*CX102,2)</f>
        <v>0</v>
      </c>
      <c r="DG102">
        <f t="shared" si="316"/>
        <v>0</v>
      </c>
      <c r="DH102">
        <f t="shared" si="317"/>
        <v>0</v>
      </c>
      <c r="DI102">
        <f>ROUND(ROUND(AH102*AL102,2)*CX102,2)</f>
        <v>264.34000000000003</v>
      </c>
      <c r="DJ102">
        <f>DI102</f>
        <v>264.34000000000003</v>
      </c>
      <c r="DK102">
        <v>0</v>
      </c>
      <c r="DL102" t="s">
        <v>242</v>
      </c>
      <c r="DM102">
        <v>0</v>
      </c>
      <c r="DN102" t="s">
        <v>242</v>
      </c>
      <c r="DO102">
        <v>0</v>
      </c>
    </row>
  </sheetData>
  <printOptions headings="0" gridLines="1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ColWidth="9.140625" defaultRowHeight="12.75"/>
  <cols>
    <col customWidth="1" min="1" max="256" width="9.140625"/>
  </cols>
  <sheetData>
    <row r="1">
      <c r="A1">
        <f>ROW(Source!A24)</f>
        <v>24</v>
      </c>
      <c r="B1">
        <v>65099333</v>
      </c>
      <c r="C1">
        <v>65099332</v>
      </c>
      <c r="D1">
        <v>55684301</v>
      </c>
      <c r="E1">
        <v>70</v>
      </c>
      <c r="F1">
        <v>1</v>
      </c>
      <c r="G1">
        <v>1</v>
      </c>
      <c r="H1">
        <v>1</v>
      </c>
      <c r="I1" t="s">
        <v>483</v>
      </c>
      <c r="J1" t="s">
        <v>242</v>
      </c>
      <c r="K1" t="s">
        <v>484</v>
      </c>
      <c r="L1">
        <v>1191</v>
      </c>
      <c r="N1">
        <v>1013</v>
      </c>
      <c r="O1" t="s">
        <v>30</v>
      </c>
      <c r="P1" t="s">
        <v>30</v>
      </c>
      <c r="Q1">
        <v>1</v>
      </c>
      <c r="X1">
        <v>51.299999999999997</v>
      </c>
      <c r="Y1">
        <v>0</v>
      </c>
      <c r="Z1">
        <v>0</v>
      </c>
      <c r="AA1">
        <v>0</v>
      </c>
      <c r="AB1">
        <v>8.5299999999999994</v>
      </c>
      <c r="AC1">
        <v>0</v>
      </c>
      <c r="AD1">
        <v>1</v>
      </c>
      <c r="AE1">
        <v>1</v>
      </c>
      <c r="AF1" t="s">
        <v>242</v>
      </c>
      <c r="AG1">
        <v>51.299999999999997</v>
      </c>
      <c r="AH1">
        <v>2</v>
      </c>
      <c r="AI1">
        <v>65099333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>
      <c r="A2">
        <f>ROW(Source!A24)</f>
        <v>24</v>
      </c>
      <c r="B2">
        <v>65099334</v>
      </c>
      <c r="C2">
        <v>65099332</v>
      </c>
      <c r="D2">
        <v>55684491</v>
      </c>
      <c r="E2">
        <v>70</v>
      </c>
      <c r="F2">
        <v>1</v>
      </c>
      <c r="G2">
        <v>1</v>
      </c>
      <c r="H2">
        <v>1</v>
      </c>
      <c r="I2" t="s">
        <v>485</v>
      </c>
      <c r="J2" t="s">
        <v>242</v>
      </c>
      <c r="K2" t="s">
        <v>486</v>
      </c>
      <c r="L2">
        <v>1191</v>
      </c>
      <c r="N2">
        <v>1013</v>
      </c>
      <c r="O2" t="s">
        <v>30</v>
      </c>
      <c r="P2" t="s">
        <v>30</v>
      </c>
      <c r="Q2">
        <v>1</v>
      </c>
      <c r="X2">
        <v>0.26000000000000001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242</v>
      </c>
      <c r="AG2">
        <v>0.26000000000000001</v>
      </c>
      <c r="AH2">
        <v>2</v>
      </c>
      <c r="AI2">
        <v>65099334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>
      <c r="A3">
        <f>ROW(Source!A24)</f>
        <v>24</v>
      </c>
      <c r="B3">
        <v>65099335</v>
      </c>
      <c r="C3">
        <v>65099332</v>
      </c>
      <c r="D3">
        <v>55846353</v>
      </c>
      <c r="E3">
        <v>1</v>
      </c>
      <c r="F3">
        <v>1</v>
      </c>
      <c r="G3">
        <v>1</v>
      </c>
      <c r="H3">
        <v>2</v>
      </c>
      <c r="I3" t="s">
        <v>487</v>
      </c>
      <c r="J3" t="s">
        <v>488</v>
      </c>
      <c r="K3" t="s">
        <v>489</v>
      </c>
      <c r="L3">
        <v>1367</v>
      </c>
      <c r="N3">
        <v>1011</v>
      </c>
      <c r="O3" t="s">
        <v>490</v>
      </c>
      <c r="P3" t="s">
        <v>490</v>
      </c>
      <c r="Q3">
        <v>1</v>
      </c>
      <c r="X3">
        <v>0.26000000000000001</v>
      </c>
      <c r="Y3">
        <v>0</v>
      </c>
      <c r="Z3">
        <v>31.260000000000002</v>
      </c>
      <c r="AA3">
        <v>13.5</v>
      </c>
      <c r="AB3">
        <v>0</v>
      </c>
      <c r="AC3">
        <v>0</v>
      </c>
      <c r="AD3">
        <v>1</v>
      </c>
      <c r="AE3">
        <v>0</v>
      </c>
      <c r="AF3" t="s">
        <v>242</v>
      </c>
      <c r="AG3">
        <v>0.26000000000000001</v>
      </c>
      <c r="AH3">
        <v>2</v>
      </c>
      <c r="AI3">
        <v>65099335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>
      <c r="A4">
        <f>ROW(Source!A24)</f>
        <v>24</v>
      </c>
      <c r="B4">
        <v>65099336</v>
      </c>
      <c r="C4">
        <v>65099332</v>
      </c>
      <c r="D4">
        <v>55689221</v>
      </c>
      <c r="E4">
        <v>70</v>
      </c>
      <c r="F4">
        <v>1</v>
      </c>
      <c r="G4">
        <v>1</v>
      </c>
      <c r="H4">
        <v>3</v>
      </c>
      <c r="I4" t="s">
        <v>597</v>
      </c>
      <c r="J4" t="s">
        <v>242</v>
      </c>
      <c r="K4" t="s">
        <v>598</v>
      </c>
      <c r="L4">
        <v>1348</v>
      </c>
      <c r="N4">
        <v>1009</v>
      </c>
      <c r="O4" t="s">
        <v>500</v>
      </c>
      <c r="P4" t="s">
        <v>500</v>
      </c>
      <c r="Q4">
        <v>1000</v>
      </c>
      <c r="X4">
        <v>1.6599999999999999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 t="s">
        <v>242</v>
      </c>
      <c r="AG4">
        <v>1.6599999999999999</v>
      </c>
      <c r="AH4">
        <v>3</v>
      </c>
      <c r="AI4">
        <v>-1</v>
      </c>
      <c r="AJ4" t="s">
        <v>242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>
      <c r="A5">
        <f>ROW(Source!A25)</f>
        <v>25</v>
      </c>
      <c r="B5">
        <v>65099339</v>
      </c>
      <c r="C5">
        <v>65099338</v>
      </c>
      <c r="D5">
        <v>55684301</v>
      </c>
      <c r="E5">
        <v>70</v>
      </c>
      <c r="F5">
        <v>1</v>
      </c>
      <c r="G5">
        <v>1</v>
      </c>
      <c r="H5">
        <v>1</v>
      </c>
      <c r="I5" t="s">
        <v>483</v>
      </c>
      <c r="J5" t="s">
        <v>242</v>
      </c>
      <c r="K5" t="s">
        <v>484</v>
      </c>
      <c r="L5">
        <v>1191</v>
      </c>
      <c r="N5">
        <v>1013</v>
      </c>
      <c r="O5" t="s">
        <v>30</v>
      </c>
      <c r="P5" t="s">
        <v>30</v>
      </c>
      <c r="Q5">
        <v>1</v>
      </c>
      <c r="X5">
        <v>63.840000000000003</v>
      </c>
      <c r="Y5">
        <v>0</v>
      </c>
      <c r="Z5">
        <v>0</v>
      </c>
      <c r="AA5">
        <v>0</v>
      </c>
      <c r="AB5">
        <v>8.5299999999999994</v>
      </c>
      <c r="AC5">
        <v>0</v>
      </c>
      <c r="AD5">
        <v>1</v>
      </c>
      <c r="AE5">
        <v>1</v>
      </c>
      <c r="AF5" t="s">
        <v>242</v>
      </c>
      <c r="AG5">
        <v>63.840000000000003</v>
      </c>
      <c r="AH5">
        <v>2</v>
      </c>
      <c r="AI5">
        <v>65099339</v>
      </c>
      <c r="AJ5">
        <v>4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>
      <c r="A6">
        <f>ROW(Source!A25)</f>
        <v>25</v>
      </c>
      <c r="B6">
        <v>65099340</v>
      </c>
      <c r="C6">
        <v>65099338</v>
      </c>
      <c r="D6">
        <v>55684491</v>
      </c>
      <c r="E6">
        <v>70</v>
      </c>
      <c r="F6">
        <v>1</v>
      </c>
      <c r="G6">
        <v>1</v>
      </c>
      <c r="H6">
        <v>1</v>
      </c>
      <c r="I6" t="s">
        <v>485</v>
      </c>
      <c r="J6" t="s">
        <v>242</v>
      </c>
      <c r="K6" t="s">
        <v>486</v>
      </c>
      <c r="L6">
        <v>1191</v>
      </c>
      <c r="N6">
        <v>1013</v>
      </c>
      <c r="O6" t="s">
        <v>30</v>
      </c>
      <c r="P6" t="s">
        <v>30</v>
      </c>
      <c r="Q6">
        <v>1</v>
      </c>
      <c r="X6">
        <v>0.28999999999999998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2</v>
      </c>
      <c r="AF6" t="s">
        <v>242</v>
      </c>
      <c r="AG6">
        <v>0.28999999999999998</v>
      </c>
      <c r="AH6">
        <v>2</v>
      </c>
      <c r="AI6">
        <v>65099340</v>
      </c>
      <c r="AJ6">
        <v>5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>
      <c r="A7">
        <f>ROW(Source!A25)</f>
        <v>25</v>
      </c>
      <c r="B7">
        <v>65099341</v>
      </c>
      <c r="C7">
        <v>65099338</v>
      </c>
      <c r="D7">
        <v>55846353</v>
      </c>
      <c r="E7">
        <v>1</v>
      </c>
      <c r="F7">
        <v>1</v>
      </c>
      <c r="G7">
        <v>1</v>
      </c>
      <c r="H7">
        <v>2</v>
      </c>
      <c r="I7" t="s">
        <v>487</v>
      </c>
      <c r="J7" t="s">
        <v>488</v>
      </c>
      <c r="K7" t="s">
        <v>489</v>
      </c>
      <c r="L7">
        <v>1367</v>
      </c>
      <c r="N7">
        <v>1011</v>
      </c>
      <c r="O7" t="s">
        <v>490</v>
      </c>
      <c r="P7" t="s">
        <v>490</v>
      </c>
      <c r="Q7">
        <v>1</v>
      </c>
      <c r="X7">
        <v>0.28999999999999998</v>
      </c>
      <c r="Y7">
        <v>0</v>
      </c>
      <c r="Z7">
        <v>31.260000000000002</v>
      </c>
      <c r="AA7">
        <v>13.5</v>
      </c>
      <c r="AB7">
        <v>0</v>
      </c>
      <c r="AC7">
        <v>0</v>
      </c>
      <c r="AD7">
        <v>1</v>
      </c>
      <c r="AE7">
        <v>0</v>
      </c>
      <c r="AF7" t="s">
        <v>242</v>
      </c>
      <c r="AG7">
        <v>0.28999999999999998</v>
      </c>
      <c r="AH7">
        <v>2</v>
      </c>
      <c r="AI7">
        <v>65099341</v>
      </c>
      <c r="AJ7">
        <v>6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>
      <c r="A8">
        <f>ROW(Source!A25)</f>
        <v>25</v>
      </c>
      <c r="B8">
        <v>65099342</v>
      </c>
      <c r="C8">
        <v>65099338</v>
      </c>
      <c r="D8">
        <v>55689221</v>
      </c>
      <c r="E8">
        <v>70</v>
      </c>
      <c r="F8">
        <v>1</v>
      </c>
      <c r="G8">
        <v>1</v>
      </c>
      <c r="H8">
        <v>3</v>
      </c>
      <c r="I8" t="s">
        <v>597</v>
      </c>
      <c r="J8" t="s">
        <v>242</v>
      </c>
      <c r="K8" t="s">
        <v>598</v>
      </c>
      <c r="L8">
        <v>1348</v>
      </c>
      <c r="N8">
        <v>1009</v>
      </c>
      <c r="O8" t="s">
        <v>500</v>
      </c>
      <c r="P8" t="s">
        <v>500</v>
      </c>
      <c r="Q8">
        <v>1000</v>
      </c>
      <c r="X8">
        <v>2.6499999999999999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 t="s">
        <v>242</v>
      </c>
      <c r="AG8">
        <v>2.6499999999999999</v>
      </c>
      <c r="AH8">
        <v>3</v>
      </c>
      <c r="AI8">
        <v>-1</v>
      </c>
      <c r="AJ8" t="s">
        <v>242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>
      <c r="A9">
        <f>ROW(Source!A26)</f>
        <v>26</v>
      </c>
      <c r="B9">
        <v>65099345</v>
      </c>
      <c r="C9">
        <v>65099344</v>
      </c>
      <c r="D9">
        <v>55684279</v>
      </c>
      <c r="E9">
        <v>70</v>
      </c>
      <c r="F9">
        <v>1</v>
      </c>
      <c r="G9">
        <v>1</v>
      </c>
      <c r="H9">
        <v>1</v>
      </c>
      <c r="I9" t="s">
        <v>491</v>
      </c>
      <c r="J9" t="s">
        <v>242</v>
      </c>
      <c r="K9" t="s">
        <v>492</v>
      </c>
      <c r="L9">
        <v>1191</v>
      </c>
      <c r="N9">
        <v>1013</v>
      </c>
      <c r="O9" t="s">
        <v>30</v>
      </c>
      <c r="P9" t="s">
        <v>30</v>
      </c>
      <c r="Q9">
        <v>1</v>
      </c>
      <c r="X9">
        <v>67.700000000000003</v>
      </c>
      <c r="Y9">
        <v>0</v>
      </c>
      <c r="Z9">
        <v>0</v>
      </c>
      <c r="AA9">
        <v>0</v>
      </c>
      <c r="AB9">
        <v>8.0199999999999996</v>
      </c>
      <c r="AC9">
        <v>0</v>
      </c>
      <c r="AD9">
        <v>1</v>
      </c>
      <c r="AE9">
        <v>1</v>
      </c>
      <c r="AF9" t="s">
        <v>270</v>
      </c>
      <c r="AG9">
        <v>54.160000000000004</v>
      </c>
      <c r="AH9">
        <v>2</v>
      </c>
      <c r="AI9">
        <v>65099345</v>
      </c>
      <c r="AJ9">
        <v>7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>
      <c r="A10">
        <f>ROW(Source!A26)</f>
        <v>26</v>
      </c>
      <c r="B10">
        <v>65099346</v>
      </c>
      <c r="C10">
        <v>65099344</v>
      </c>
      <c r="D10">
        <v>55684491</v>
      </c>
      <c r="E10">
        <v>70</v>
      </c>
      <c r="F10">
        <v>1</v>
      </c>
      <c r="G10">
        <v>1</v>
      </c>
      <c r="H10">
        <v>1</v>
      </c>
      <c r="I10" t="s">
        <v>485</v>
      </c>
      <c r="J10" t="s">
        <v>242</v>
      </c>
      <c r="K10" t="s">
        <v>486</v>
      </c>
      <c r="L10">
        <v>1191</v>
      </c>
      <c r="N10">
        <v>1013</v>
      </c>
      <c r="O10" t="s">
        <v>30</v>
      </c>
      <c r="P10" t="s">
        <v>30</v>
      </c>
      <c r="Q10">
        <v>1</v>
      </c>
      <c r="X10">
        <v>4.2000000000000002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2</v>
      </c>
      <c r="AF10" t="s">
        <v>270</v>
      </c>
      <c r="AG10">
        <v>3.3600000000000003</v>
      </c>
      <c r="AH10">
        <v>2</v>
      </c>
      <c r="AI10">
        <v>65099346</v>
      </c>
      <c r="AJ10">
        <v>8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>
      <c r="A11">
        <f>ROW(Source!A26)</f>
        <v>26</v>
      </c>
      <c r="B11">
        <v>65099347</v>
      </c>
      <c r="C11">
        <v>65099344</v>
      </c>
      <c r="D11">
        <v>55846353</v>
      </c>
      <c r="E11">
        <v>1</v>
      </c>
      <c r="F11">
        <v>1</v>
      </c>
      <c r="G11">
        <v>1</v>
      </c>
      <c r="H11">
        <v>2</v>
      </c>
      <c r="I11" t="s">
        <v>487</v>
      </c>
      <c r="J11" t="s">
        <v>488</v>
      </c>
      <c r="K11" t="s">
        <v>489</v>
      </c>
      <c r="L11">
        <v>1367</v>
      </c>
      <c r="N11">
        <v>1011</v>
      </c>
      <c r="O11" t="s">
        <v>490</v>
      </c>
      <c r="P11" t="s">
        <v>490</v>
      </c>
      <c r="Q11">
        <v>1</v>
      </c>
      <c r="X11">
        <v>1.73</v>
      </c>
      <c r="Y11">
        <v>0</v>
      </c>
      <c r="Z11">
        <v>31.260000000000002</v>
      </c>
      <c r="AA11">
        <v>13.5</v>
      </c>
      <c r="AB11">
        <v>0</v>
      </c>
      <c r="AC11">
        <v>0</v>
      </c>
      <c r="AD11">
        <v>1</v>
      </c>
      <c r="AE11">
        <v>0</v>
      </c>
      <c r="AF11" t="s">
        <v>270</v>
      </c>
      <c r="AG11">
        <v>1.3840000000000001</v>
      </c>
      <c r="AH11">
        <v>2</v>
      </c>
      <c r="AI11">
        <v>65099347</v>
      </c>
      <c r="AJ11">
        <v>9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>
      <c r="A12">
        <f>ROW(Source!A26)</f>
        <v>26</v>
      </c>
      <c r="B12">
        <v>65099348</v>
      </c>
      <c r="C12">
        <v>65099344</v>
      </c>
      <c r="D12">
        <v>55847089</v>
      </c>
      <c r="E12">
        <v>1</v>
      </c>
      <c r="F12">
        <v>1</v>
      </c>
      <c r="G12">
        <v>1</v>
      </c>
      <c r="H12">
        <v>2</v>
      </c>
      <c r="I12" t="s">
        <v>494</v>
      </c>
      <c r="J12" t="s">
        <v>495</v>
      </c>
      <c r="K12" t="s">
        <v>496</v>
      </c>
      <c r="L12">
        <v>1367</v>
      </c>
      <c r="N12">
        <v>1011</v>
      </c>
      <c r="O12" t="s">
        <v>490</v>
      </c>
      <c r="P12" t="s">
        <v>490</v>
      </c>
      <c r="Q12">
        <v>1</v>
      </c>
      <c r="X12">
        <v>2.4700000000000002</v>
      </c>
      <c r="Y12">
        <v>0</v>
      </c>
      <c r="Z12">
        <v>65.709999999999994</v>
      </c>
      <c r="AA12">
        <v>11.6</v>
      </c>
      <c r="AB12">
        <v>0</v>
      </c>
      <c r="AC12">
        <v>0</v>
      </c>
      <c r="AD12">
        <v>1</v>
      </c>
      <c r="AE12">
        <v>0</v>
      </c>
      <c r="AF12" t="s">
        <v>270</v>
      </c>
      <c r="AG12">
        <v>1.9760000000000002</v>
      </c>
      <c r="AH12">
        <v>2</v>
      </c>
      <c r="AI12">
        <v>65099348</v>
      </c>
      <c r="AJ12">
        <v>10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>
      <c r="A13">
        <f>ROW(Source!A26)</f>
        <v>26</v>
      </c>
      <c r="B13">
        <v>65099349</v>
      </c>
      <c r="C13">
        <v>65099344</v>
      </c>
      <c r="D13">
        <v>55699173</v>
      </c>
      <c r="E13">
        <v>1</v>
      </c>
      <c r="F13">
        <v>1</v>
      </c>
      <c r="G13">
        <v>1</v>
      </c>
      <c r="H13">
        <v>3</v>
      </c>
      <c r="I13" t="s">
        <v>497</v>
      </c>
      <c r="J13" t="s">
        <v>498</v>
      </c>
      <c r="K13" t="s">
        <v>499</v>
      </c>
      <c r="L13">
        <v>1348</v>
      </c>
      <c r="N13">
        <v>1009</v>
      </c>
      <c r="O13" t="s">
        <v>500</v>
      </c>
      <c r="P13" t="s">
        <v>500</v>
      </c>
      <c r="Q13">
        <v>1000</v>
      </c>
      <c r="X13">
        <v>0.012</v>
      </c>
      <c r="Y13">
        <v>11978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269</v>
      </c>
      <c r="AG13">
        <v>0</v>
      </c>
      <c r="AH13">
        <v>2</v>
      </c>
      <c r="AI13">
        <v>65099349</v>
      </c>
      <c r="AJ13">
        <v>11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>
      <c r="A14">
        <f>ROW(Source!A26)</f>
        <v>26</v>
      </c>
      <c r="B14">
        <v>65099350</v>
      </c>
      <c r="C14">
        <v>65099344</v>
      </c>
      <c r="D14">
        <v>55714803</v>
      </c>
      <c r="E14">
        <v>1</v>
      </c>
      <c r="F14">
        <v>1</v>
      </c>
      <c r="G14">
        <v>1</v>
      </c>
      <c r="H14">
        <v>3</v>
      </c>
      <c r="I14" t="s">
        <v>502</v>
      </c>
      <c r="J14" t="s">
        <v>503</v>
      </c>
      <c r="K14" t="s">
        <v>504</v>
      </c>
      <c r="L14">
        <v>1348</v>
      </c>
      <c r="N14">
        <v>1009</v>
      </c>
      <c r="O14" t="s">
        <v>500</v>
      </c>
      <c r="P14" t="s">
        <v>500</v>
      </c>
      <c r="Q14">
        <v>1000</v>
      </c>
      <c r="X14">
        <v>0.035000000000000003</v>
      </c>
      <c r="Y14">
        <v>5989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269</v>
      </c>
      <c r="AG14">
        <v>0</v>
      </c>
      <c r="AH14">
        <v>2</v>
      </c>
      <c r="AI14">
        <v>65099350</v>
      </c>
      <c r="AJ14">
        <v>12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>
      <c r="A15">
        <f>ROW(Source!A26)</f>
        <v>26</v>
      </c>
      <c r="B15">
        <v>65099351</v>
      </c>
      <c r="C15">
        <v>65099344</v>
      </c>
      <c r="D15">
        <v>55686904</v>
      </c>
      <c r="E15">
        <v>70</v>
      </c>
      <c r="F15">
        <v>1</v>
      </c>
      <c r="G15">
        <v>1</v>
      </c>
      <c r="H15">
        <v>3</v>
      </c>
      <c r="I15" t="s">
        <v>599</v>
      </c>
      <c r="J15" t="s">
        <v>242</v>
      </c>
      <c r="K15" t="s">
        <v>600</v>
      </c>
      <c r="L15">
        <v>1371</v>
      </c>
      <c r="N15">
        <v>1013</v>
      </c>
      <c r="O15" t="s">
        <v>312</v>
      </c>
      <c r="P15" t="s">
        <v>312</v>
      </c>
      <c r="Q15">
        <v>1</v>
      </c>
      <c r="X15">
        <v>100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t="s">
        <v>269</v>
      </c>
      <c r="AG15">
        <v>0</v>
      </c>
      <c r="AH15">
        <v>3</v>
      </c>
      <c r="AI15">
        <v>-1</v>
      </c>
      <c r="AJ15" t="s">
        <v>242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>
      <c r="A16">
        <f>ROW(Source!A26)</f>
        <v>26</v>
      </c>
      <c r="B16">
        <v>65099352</v>
      </c>
      <c r="C16">
        <v>65099344</v>
      </c>
      <c r="D16">
        <v>55721136</v>
      </c>
      <c r="E16">
        <v>1</v>
      </c>
      <c r="F16">
        <v>1</v>
      </c>
      <c r="G16">
        <v>1</v>
      </c>
      <c r="H16">
        <v>3</v>
      </c>
      <c r="I16" t="s">
        <v>505</v>
      </c>
      <c r="J16" t="s">
        <v>506</v>
      </c>
      <c r="K16" t="s">
        <v>507</v>
      </c>
      <c r="L16">
        <v>1301</v>
      </c>
      <c r="N16">
        <v>1003</v>
      </c>
      <c r="O16" t="s">
        <v>327</v>
      </c>
      <c r="P16" t="s">
        <v>327</v>
      </c>
      <c r="Q16">
        <v>1</v>
      </c>
      <c r="X16">
        <v>400</v>
      </c>
      <c r="Y16">
        <v>3.2000000000000002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269</v>
      </c>
      <c r="AG16">
        <v>0</v>
      </c>
      <c r="AH16">
        <v>2</v>
      </c>
      <c r="AI16">
        <v>65099352</v>
      </c>
      <c r="AJ16">
        <v>13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>
      <c r="A17">
        <f>ROW(Source!A27)</f>
        <v>27</v>
      </c>
      <c r="B17">
        <v>65099356</v>
      </c>
      <c r="C17">
        <v>65099355</v>
      </c>
      <c r="D17">
        <v>55684301</v>
      </c>
      <c r="E17">
        <v>70</v>
      </c>
      <c r="F17">
        <v>1</v>
      </c>
      <c r="G17">
        <v>1</v>
      </c>
      <c r="H17">
        <v>1</v>
      </c>
      <c r="I17" t="s">
        <v>483</v>
      </c>
      <c r="J17" t="s">
        <v>242</v>
      </c>
      <c r="K17" t="s">
        <v>484</v>
      </c>
      <c r="L17">
        <v>1191</v>
      </c>
      <c r="N17">
        <v>1013</v>
      </c>
      <c r="O17" t="s">
        <v>30</v>
      </c>
      <c r="P17" t="s">
        <v>30</v>
      </c>
      <c r="Q17">
        <v>1</v>
      </c>
      <c r="X17">
        <v>5.7000000000000002</v>
      </c>
      <c r="Y17">
        <v>0</v>
      </c>
      <c r="Z17">
        <v>0</v>
      </c>
      <c r="AA17">
        <v>0</v>
      </c>
      <c r="AB17">
        <v>8.5299999999999994</v>
      </c>
      <c r="AC17">
        <v>0</v>
      </c>
      <c r="AD17">
        <v>1</v>
      </c>
      <c r="AE17">
        <v>1</v>
      </c>
      <c r="AF17" t="s">
        <v>242</v>
      </c>
      <c r="AG17">
        <v>5.7000000000000002</v>
      </c>
      <c r="AH17">
        <v>2</v>
      </c>
      <c r="AI17">
        <v>65099356</v>
      </c>
      <c r="AJ17">
        <v>14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>
      <c r="A18">
        <f>ROW(Source!A27)</f>
        <v>27</v>
      </c>
      <c r="B18">
        <v>65099357</v>
      </c>
      <c r="C18">
        <v>65099355</v>
      </c>
      <c r="D18">
        <v>55684491</v>
      </c>
      <c r="E18">
        <v>70</v>
      </c>
      <c r="F18">
        <v>1</v>
      </c>
      <c r="G18">
        <v>1</v>
      </c>
      <c r="H18">
        <v>1</v>
      </c>
      <c r="I18" t="s">
        <v>485</v>
      </c>
      <c r="J18" t="s">
        <v>242</v>
      </c>
      <c r="K18" t="s">
        <v>486</v>
      </c>
      <c r="L18">
        <v>1191</v>
      </c>
      <c r="N18">
        <v>1013</v>
      </c>
      <c r="O18" t="s">
        <v>30</v>
      </c>
      <c r="P18" t="s">
        <v>30</v>
      </c>
      <c r="Q18">
        <v>1</v>
      </c>
      <c r="X18">
        <v>0.01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242</v>
      </c>
      <c r="AG18">
        <v>0.01</v>
      </c>
      <c r="AH18">
        <v>2</v>
      </c>
      <c r="AI18">
        <v>65099357</v>
      </c>
      <c r="AJ18">
        <v>15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>
      <c r="A19">
        <f>ROW(Source!A27)</f>
        <v>27</v>
      </c>
      <c r="B19">
        <v>65099358</v>
      </c>
      <c r="C19">
        <v>65099355</v>
      </c>
      <c r="D19">
        <v>55846353</v>
      </c>
      <c r="E19">
        <v>1</v>
      </c>
      <c r="F19">
        <v>1</v>
      </c>
      <c r="G19">
        <v>1</v>
      </c>
      <c r="H19">
        <v>2</v>
      </c>
      <c r="I19" t="s">
        <v>487</v>
      </c>
      <c r="J19" t="s">
        <v>488</v>
      </c>
      <c r="K19" t="s">
        <v>489</v>
      </c>
      <c r="L19">
        <v>1367</v>
      </c>
      <c r="N19">
        <v>1011</v>
      </c>
      <c r="O19" t="s">
        <v>490</v>
      </c>
      <c r="P19" t="s">
        <v>490</v>
      </c>
      <c r="Q19">
        <v>1</v>
      </c>
      <c r="X19">
        <v>0.01</v>
      </c>
      <c r="Y19">
        <v>0</v>
      </c>
      <c r="Z19">
        <v>31.260000000000002</v>
      </c>
      <c r="AA19">
        <v>13.5</v>
      </c>
      <c r="AB19">
        <v>0</v>
      </c>
      <c r="AC19">
        <v>0</v>
      </c>
      <c r="AD19">
        <v>1</v>
      </c>
      <c r="AE19">
        <v>0</v>
      </c>
      <c r="AF19" t="s">
        <v>242</v>
      </c>
      <c r="AG19">
        <v>0.01</v>
      </c>
      <c r="AH19">
        <v>2</v>
      </c>
      <c r="AI19">
        <v>65099358</v>
      </c>
      <c r="AJ19">
        <v>16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>
      <c r="A20">
        <f>ROW(Source!A27)</f>
        <v>27</v>
      </c>
      <c r="B20">
        <v>65099359</v>
      </c>
      <c r="C20">
        <v>65099355</v>
      </c>
      <c r="D20">
        <v>55689221</v>
      </c>
      <c r="E20">
        <v>70</v>
      </c>
      <c r="F20">
        <v>1</v>
      </c>
      <c r="G20">
        <v>1</v>
      </c>
      <c r="H20">
        <v>3</v>
      </c>
      <c r="I20" t="s">
        <v>597</v>
      </c>
      <c r="J20" t="s">
        <v>242</v>
      </c>
      <c r="K20" t="s">
        <v>598</v>
      </c>
      <c r="L20">
        <v>1348</v>
      </c>
      <c r="N20">
        <v>1009</v>
      </c>
      <c r="O20" t="s">
        <v>500</v>
      </c>
      <c r="P20" t="s">
        <v>500</v>
      </c>
      <c r="Q20">
        <v>1000</v>
      </c>
      <c r="X20">
        <v>0.044999999999999998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 t="s">
        <v>242</v>
      </c>
      <c r="AG20">
        <v>0.044999999999999998</v>
      </c>
      <c r="AH20">
        <v>3</v>
      </c>
      <c r="AI20">
        <v>-1</v>
      </c>
      <c r="AJ20" t="s">
        <v>242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>
      <c r="A21">
        <f>ROW(Source!A28)</f>
        <v>28</v>
      </c>
      <c r="B21">
        <v>65099362</v>
      </c>
      <c r="C21">
        <v>65099361</v>
      </c>
      <c r="D21">
        <v>55684301</v>
      </c>
      <c r="E21">
        <v>70</v>
      </c>
      <c r="F21">
        <v>1</v>
      </c>
      <c r="G21">
        <v>1</v>
      </c>
      <c r="H21">
        <v>1</v>
      </c>
      <c r="I21" t="s">
        <v>483</v>
      </c>
      <c r="J21" t="s">
        <v>242</v>
      </c>
      <c r="K21" t="s">
        <v>484</v>
      </c>
      <c r="L21">
        <v>1191</v>
      </c>
      <c r="N21">
        <v>1013</v>
      </c>
      <c r="O21" t="s">
        <v>30</v>
      </c>
      <c r="P21" t="s">
        <v>30</v>
      </c>
      <c r="Q21">
        <v>1</v>
      </c>
      <c r="X21">
        <v>36.710000000000001</v>
      </c>
      <c r="Y21">
        <v>0</v>
      </c>
      <c r="Z21">
        <v>0</v>
      </c>
      <c r="AA21">
        <v>0</v>
      </c>
      <c r="AB21">
        <v>8.5299999999999994</v>
      </c>
      <c r="AC21">
        <v>0</v>
      </c>
      <c r="AD21">
        <v>1</v>
      </c>
      <c r="AE21">
        <v>1</v>
      </c>
      <c r="AF21" t="s">
        <v>242</v>
      </c>
      <c r="AG21">
        <v>36.710000000000001</v>
      </c>
      <c r="AH21">
        <v>2</v>
      </c>
      <c r="AI21">
        <v>65099362</v>
      </c>
      <c r="AJ21">
        <v>17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>
      <c r="A22">
        <f>ROW(Source!A28)</f>
        <v>28</v>
      </c>
      <c r="B22">
        <v>65099363</v>
      </c>
      <c r="C22">
        <v>65099361</v>
      </c>
      <c r="D22">
        <v>55684491</v>
      </c>
      <c r="E22">
        <v>70</v>
      </c>
      <c r="F22">
        <v>1</v>
      </c>
      <c r="G22">
        <v>1</v>
      </c>
      <c r="H22">
        <v>1</v>
      </c>
      <c r="I22" t="s">
        <v>485</v>
      </c>
      <c r="J22" t="s">
        <v>242</v>
      </c>
      <c r="K22" t="s">
        <v>486</v>
      </c>
      <c r="L22">
        <v>1191</v>
      </c>
      <c r="N22">
        <v>1013</v>
      </c>
      <c r="O22" t="s">
        <v>30</v>
      </c>
      <c r="P22" t="s">
        <v>30</v>
      </c>
      <c r="Q22">
        <v>1</v>
      </c>
      <c r="X22">
        <v>0.070000000000000007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2</v>
      </c>
      <c r="AF22" t="s">
        <v>242</v>
      </c>
      <c r="AG22">
        <v>0.070000000000000007</v>
      </c>
      <c r="AH22">
        <v>2</v>
      </c>
      <c r="AI22">
        <v>65099363</v>
      </c>
      <c r="AJ22">
        <v>18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>
      <c r="A23">
        <f>ROW(Source!A28)</f>
        <v>28</v>
      </c>
      <c r="B23">
        <v>65099364</v>
      </c>
      <c r="C23">
        <v>65099361</v>
      </c>
      <c r="D23">
        <v>55846353</v>
      </c>
      <c r="E23">
        <v>1</v>
      </c>
      <c r="F23">
        <v>1</v>
      </c>
      <c r="G23">
        <v>1</v>
      </c>
      <c r="H23">
        <v>2</v>
      </c>
      <c r="I23" t="s">
        <v>487</v>
      </c>
      <c r="J23" t="s">
        <v>488</v>
      </c>
      <c r="K23" t="s">
        <v>489</v>
      </c>
      <c r="L23">
        <v>1367</v>
      </c>
      <c r="N23">
        <v>1011</v>
      </c>
      <c r="O23" t="s">
        <v>490</v>
      </c>
      <c r="P23" t="s">
        <v>490</v>
      </c>
      <c r="Q23">
        <v>1</v>
      </c>
      <c r="X23">
        <v>0.070000000000000007</v>
      </c>
      <c r="Y23">
        <v>0</v>
      </c>
      <c r="Z23">
        <v>31.260000000000002</v>
      </c>
      <c r="AA23">
        <v>13.5</v>
      </c>
      <c r="AB23">
        <v>0</v>
      </c>
      <c r="AC23">
        <v>0</v>
      </c>
      <c r="AD23">
        <v>1</v>
      </c>
      <c r="AE23">
        <v>0</v>
      </c>
      <c r="AF23" t="s">
        <v>242</v>
      </c>
      <c r="AG23">
        <v>0.070000000000000007</v>
      </c>
      <c r="AH23">
        <v>2</v>
      </c>
      <c r="AI23">
        <v>65099364</v>
      </c>
      <c r="AJ23">
        <v>19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>
      <c r="A24">
        <f>ROW(Source!A28)</f>
        <v>28</v>
      </c>
      <c r="B24">
        <v>65099365</v>
      </c>
      <c r="C24">
        <v>65099361</v>
      </c>
      <c r="D24">
        <v>55689221</v>
      </c>
      <c r="E24">
        <v>70</v>
      </c>
      <c r="F24">
        <v>1</v>
      </c>
      <c r="G24">
        <v>1</v>
      </c>
      <c r="H24">
        <v>3</v>
      </c>
      <c r="I24" t="s">
        <v>597</v>
      </c>
      <c r="J24" t="s">
        <v>242</v>
      </c>
      <c r="K24" t="s">
        <v>598</v>
      </c>
      <c r="L24">
        <v>1348</v>
      </c>
      <c r="N24">
        <v>1009</v>
      </c>
      <c r="O24" t="s">
        <v>500</v>
      </c>
      <c r="P24" t="s">
        <v>500</v>
      </c>
      <c r="Q24">
        <v>1000</v>
      </c>
      <c r="X24">
        <v>0.22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 t="s">
        <v>242</v>
      </c>
      <c r="AG24">
        <v>0.22</v>
      </c>
      <c r="AH24">
        <v>3</v>
      </c>
      <c r="AI24">
        <v>-1</v>
      </c>
      <c r="AJ24" t="s">
        <v>242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>
      <c r="A25">
        <f>ROW(Source!A29)</f>
        <v>29</v>
      </c>
      <c r="B25">
        <v>65099368</v>
      </c>
      <c r="C25">
        <v>65099367</v>
      </c>
      <c r="D25">
        <v>55684287</v>
      </c>
      <c r="E25">
        <v>70</v>
      </c>
      <c r="F25">
        <v>1</v>
      </c>
      <c r="G25">
        <v>1</v>
      </c>
      <c r="H25">
        <v>1</v>
      </c>
      <c r="I25" t="s">
        <v>508</v>
      </c>
      <c r="J25" t="s">
        <v>242</v>
      </c>
      <c r="K25" t="s">
        <v>509</v>
      </c>
      <c r="L25">
        <v>1191</v>
      </c>
      <c r="N25">
        <v>1013</v>
      </c>
      <c r="O25" t="s">
        <v>30</v>
      </c>
      <c r="P25" t="s">
        <v>30</v>
      </c>
      <c r="Q25">
        <v>1</v>
      </c>
      <c r="X25">
        <v>28.030000000000001</v>
      </c>
      <c r="Y25">
        <v>0</v>
      </c>
      <c r="Z25">
        <v>0</v>
      </c>
      <c r="AA25">
        <v>0</v>
      </c>
      <c r="AB25">
        <v>8.2400000000000002</v>
      </c>
      <c r="AC25">
        <v>0</v>
      </c>
      <c r="AD25">
        <v>1</v>
      </c>
      <c r="AE25">
        <v>1</v>
      </c>
      <c r="AF25" t="s">
        <v>242</v>
      </c>
      <c r="AG25">
        <v>28.030000000000001</v>
      </c>
      <c r="AH25">
        <v>2</v>
      </c>
      <c r="AI25">
        <v>65099368</v>
      </c>
      <c r="AJ25">
        <v>20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>
      <c r="A26">
        <f>ROW(Source!A29)</f>
        <v>29</v>
      </c>
      <c r="B26">
        <v>65099369</v>
      </c>
      <c r="C26">
        <v>65099367</v>
      </c>
      <c r="D26">
        <v>55684491</v>
      </c>
      <c r="E26">
        <v>70</v>
      </c>
      <c r="F26">
        <v>1</v>
      </c>
      <c r="G26">
        <v>1</v>
      </c>
      <c r="H26">
        <v>1</v>
      </c>
      <c r="I26" t="s">
        <v>485</v>
      </c>
      <c r="J26" t="s">
        <v>242</v>
      </c>
      <c r="K26" t="s">
        <v>486</v>
      </c>
      <c r="L26">
        <v>1191</v>
      </c>
      <c r="N26">
        <v>1013</v>
      </c>
      <c r="O26" t="s">
        <v>30</v>
      </c>
      <c r="P26" t="s">
        <v>30</v>
      </c>
      <c r="Q26">
        <v>1</v>
      </c>
      <c r="X26">
        <v>0.050000000000000003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2</v>
      </c>
      <c r="AF26" t="s">
        <v>242</v>
      </c>
      <c r="AG26">
        <v>0.050000000000000003</v>
      </c>
      <c r="AH26">
        <v>2</v>
      </c>
      <c r="AI26">
        <v>65099369</v>
      </c>
      <c r="AJ26">
        <v>21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>
      <c r="A27">
        <f>ROW(Source!A29)</f>
        <v>29</v>
      </c>
      <c r="B27">
        <v>65099370</v>
      </c>
      <c r="C27">
        <v>65099367</v>
      </c>
      <c r="D27">
        <v>55846353</v>
      </c>
      <c r="E27">
        <v>1</v>
      </c>
      <c r="F27">
        <v>1</v>
      </c>
      <c r="G27">
        <v>1</v>
      </c>
      <c r="H27">
        <v>2</v>
      </c>
      <c r="I27" t="s">
        <v>487</v>
      </c>
      <c r="J27" t="s">
        <v>488</v>
      </c>
      <c r="K27" t="s">
        <v>489</v>
      </c>
      <c r="L27">
        <v>1367</v>
      </c>
      <c r="N27">
        <v>1011</v>
      </c>
      <c r="O27" t="s">
        <v>490</v>
      </c>
      <c r="P27" t="s">
        <v>490</v>
      </c>
      <c r="Q27">
        <v>1</v>
      </c>
      <c r="X27">
        <v>0.050000000000000003</v>
      </c>
      <c r="Y27">
        <v>0</v>
      </c>
      <c r="Z27">
        <v>31.260000000000002</v>
      </c>
      <c r="AA27">
        <v>13.5</v>
      </c>
      <c r="AB27">
        <v>0</v>
      </c>
      <c r="AC27">
        <v>0</v>
      </c>
      <c r="AD27">
        <v>1</v>
      </c>
      <c r="AE27">
        <v>0</v>
      </c>
      <c r="AF27" t="s">
        <v>242</v>
      </c>
      <c r="AG27">
        <v>0.050000000000000003</v>
      </c>
      <c r="AH27">
        <v>2</v>
      </c>
      <c r="AI27">
        <v>65099370</v>
      </c>
      <c r="AJ27">
        <v>22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>
      <c r="A28">
        <f>ROW(Source!A29)</f>
        <v>29</v>
      </c>
      <c r="B28">
        <v>65099371</v>
      </c>
      <c r="C28">
        <v>65099367</v>
      </c>
      <c r="D28">
        <v>55847244</v>
      </c>
      <c r="E28">
        <v>1</v>
      </c>
      <c r="F28">
        <v>1</v>
      </c>
      <c r="G28">
        <v>1</v>
      </c>
      <c r="H28">
        <v>2</v>
      </c>
      <c r="I28" t="s">
        <v>510</v>
      </c>
      <c r="J28" t="s">
        <v>511</v>
      </c>
      <c r="K28" t="s">
        <v>512</v>
      </c>
      <c r="L28">
        <v>1367</v>
      </c>
      <c r="N28">
        <v>1011</v>
      </c>
      <c r="O28" t="s">
        <v>490</v>
      </c>
      <c r="P28" t="s">
        <v>490</v>
      </c>
      <c r="Q28">
        <v>1</v>
      </c>
      <c r="X28">
        <v>2.5</v>
      </c>
      <c r="Y28">
        <v>0</v>
      </c>
      <c r="Z28">
        <v>1.2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242</v>
      </c>
      <c r="AG28">
        <v>2.5</v>
      </c>
      <c r="AH28">
        <v>2</v>
      </c>
      <c r="AI28">
        <v>65099371</v>
      </c>
      <c r="AJ28">
        <v>23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>
      <c r="A29">
        <f>ROW(Source!A29)</f>
        <v>29</v>
      </c>
      <c r="B29">
        <v>65099372</v>
      </c>
      <c r="C29">
        <v>65099367</v>
      </c>
      <c r="D29">
        <v>55695170</v>
      </c>
      <c r="E29">
        <v>1</v>
      </c>
      <c r="F29">
        <v>1</v>
      </c>
      <c r="G29">
        <v>1</v>
      </c>
      <c r="H29">
        <v>3</v>
      </c>
      <c r="I29" t="s">
        <v>513</v>
      </c>
      <c r="J29" t="s">
        <v>514</v>
      </c>
      <c r="K29" t="s">
        <v>515</v>
      </c>
      <c r="L29">
        <v>1339</v>
      </c>
      <c r="N29">
        <v>1007</v>
      </c>
      <c r="O29" t="s">
        <v>516</v>
      </c>
      <c r="P29" t="s">
        <v>516</v>
      </c>
      <c r="Q29">
        <v>1</v>
      </c>
      <c r="X29">
        <v>0.35999999999999999</v>
      </c>
      <c r="Y29">
        <v>38.509999999999998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242</v>
      </c>
      <c r="AG29">
        <v>0.35999999999999999</v>
      </c>
      <c r="AH29">
        <v>2</v>
      </c>
      <c r="AI29">
        <v>65099372</v>
      </c>
      <c r="AJ29">
        <v>24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>
      <c r="A30">
        <f>ROW(Source!A29)</f>
        <v>29</v>
      </c>
      <c r="B30">
        <v>65099373</v>
      </c>
      <c r="C30">
        <v>65099367</v>
      </c>
      <c r="D30">
        <v>55695188</v>
      </c>
      <c r="E30">
        <v>1</v>
      </c>
      <c r="F30">
        <v>1</v>
      </c>
      <c r="G30">
        <v>1</v>
      </c>
      <c r="H30">
        <v>3</v>
      </c>
      <c r="I30" t="s">
        <v>517</v>
      </c>
      <c r="J30" t="s">
        <v>518</v>
      </c>
      <c r="K30" t="s">
        <v>519</v>
      </c>
      <c r="L30">
        <v>1339</v>
      </c>
      <c r="N30">
        <v>1007</v>
      </c>
      <c r="O30" t="s">
        <v>516</v>
      </c>
      <c r="P30" t="s">
        <v>516</v>
      </c>
      <c r="Q30">
        <v>1</v>
      </c>
      <c r="X30">
        <v>2.29</v>
      </c>
      <c r="Y30">
        <v>6.2199999999999998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242</v>
      </c>
      <c r="AG30">
        <v>2.29</v>
      </c>
      <c r="AH30">
        <v>2</v>
      </c>
      <c r="AI30">
        <v>65099373</v>
      </c>
      <c r="AJ30">
        <v>25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>
      <c r="A31">
        <f>ROW(Source!A29)</f>
        <v>29</v>
      </c>
      <c r="B31">
        <v>65099374</v>
      </c>
      <c r="C31">
        <v>65099367</v>
      </c>
      <c r="D31">
        <v>55689221</v>
      </c>
      <c r="E31">
        <v>70</v>
      </c>
      <c r="F31">
        <v>1</v>
      </c>
      <c r="G31">
        <v>1</v>
      </c>
      <c r="H31">
        <v>3</v>
      </c>
      <c r="I31" t="s">
        <v>597</v>
      </c>
      <c r="J31" t="s">
        <v>242</v>
      </c>
      <c r="K31" t="s">
        <v>598</v>
      </c>
      <c r="L31">
        <v>1348</v>
      </c>
      <c r="N31">
        <v>1009</v>
      </c>
      <c r="O31" t="s">
        <v>500</v>
      </c>
      <c r="P31" t="s">
        <v>500</v>
      </c>
      <c r="Q31">
        <v>1000</v>
      </c>
      <c r="X31">
        <v>0.19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 t="s">
        <v>242</v>
      </c>
      <c r="AG31">
        <v>0.19</v>
      </c>
      <c r="AH31">
        <v>3</v>
      </c>
      <c r="AI31">
        <v>-1</v>
      </c>
      <c r="AJ31" t="s">
        <v>242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>
      <c r="A32">
        <f>ROW(Source!A30)</f>
        <v>30</v>
      </c>
      <c r="B32">
        <v>65099383</v>
      </c>
      <c r="C32">
        <v>65099376</v>
      </c>
      <c r="D32">
        <v>55684297</v>
      </c>
      <c r="E32">
        <v>70</v>
      </c>
      <c r="F32">
        <v>1</v>
      </c>
      <c r="G32">
        <v>1</v>
      </c>
      <c r="H32">
        <v>1</v>
      </c>
      <c r="I32" t="s">
        <v>520</v>
      </c>
      <c r="J32" t="s">
        <v>242</v>
      </c>
      <c r="K32" t="s">
        <v>521</v>
      </c>
      <c r="L32">
        <v>1191</v>
      </c>
      <c r="N32">
        <v>1013</v>
      </c>
      <c r="O32" t="s">
        <v>30</v>
      </c>
      <c r="P32" t="s">
        <v>30</v>
      </c>
      <c r="Q32">
        <v>1</v>
      </c>
      <c r="X32">
        <v>68.799999999999997</v>
      </c>
      <c r="Y32">
        <v>0</v>
      </c>
      <c r="Z32">
        <v>0</v>
      </c>
      <c r="AA32">
        <v>0</v>
      </c>
      <c r="AB32">
        <v>8.4600000000000009</v>
      </c>
      <c r="AC32">
        <v>0</v>
      </c>
      <c r="AD32">
        <v>1</v>
      </c>
      <c r="AE32">
        <v>1</v>
      </c>
      <c r="AF32" t="s">
        <v>242</v>
      </c>
      <c r="AG32">
        <v>68.799999999999997</v>
      </c>
      <c r="AH32">
        <v>2</v>
      </c>
      <c r="AI32">
        <v>65099383</v>
      </c>
      <c r="AJ32">
        <v>26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>
      <c r="A33">
        <f>ROW(Source!A30)</f>
        <v>30</v>
      </c>
      <c r="B33">
        <v>65099384</v>
      </c>
      <c r="C33">
        <v>65099376</v>
      </c>
      <c r="D33">
        <v>55684491</v>
      </c>
      <c r="E33">
        <v>70</v>
      </c>
      <c r="F33">
        <v>1</v>
      </c>
      <c r="G33">
        <v>1</v>
      </c>
      <c r="H33">
        <v>1</v>
      </c>
      <c r="I33" t="s">
        <v>485</v>
      </c>
      <c r="J33" t="s">
        <v>242</v>
      </c>
      <c r="K33" t="s">
        <v>486</v>
      </c>
      <c r="L33">
        <v>1191</v>
      </c>
      <c r="N33">
        <v>1013</v>
      </c>
      <c r="O33" t="s">
        <v>30</v>
      </c>
      <c r="P33" t="s">
        <v>30</v>
      </c>
      <c r="Q33">
        <v>1</v>
      </c>
      <c r="X33">
        <v>0.16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2</v>
      </c>
      <c r="AF33" t="s">
        <v>242</v>
      </c>
      <c r="AG33">
        <v>0.16</v>
      </c>
      <c r="AH33">
        <v>2</v>
      </c>
      <c r="AI33">
        <v>65099384</v>
      </c>
      <c r="AJ33">
        <v>27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>
      <c r="A34">
        <f>ROW(Source!A30)</f>
        <v>30</v>
      </c>
      <c r="B34">
        <v>65099385</v>
      </c>
      <c r="C34">
        <v>65099376</v>
      </c>
      <c r="D34">
        <v>55846353</v>
      </c>
      <c r="E34">
        <v>1</v>
      </c>
      <c r="F34">
        <v>1</v>
      </c>
      <c r="G34">
        <v>1</v>
      </c>
      <c r="H34">
        <v>2</v>
      </c>
      <c r="I34" t="s">
        <v>487</v>
      </c>
      <c r="J34" t="s">
        <v>488</v>
      </c>
      <c r="K34" t="s">
        <v>489</v>
      </c>
      <c r="L34">
        <v>1367</v>
      </c>
      <c r="N34">
        <v>1011</v>
      </c>
      <c r="O34" t="s">
        <v>490</v>
      </c>
      <c r="P34" t="s">
        <v>490</v>
      </c>
      <c r="Q34">
        <v>1</v>
      </c>
      <c r="X34">
        <v>0.16</v>
      </c>
      <c r="Y34">
        <v>0</v>
      </c>
      <c r="Z34">
        <v>31.260000000000002</v>
      </c>
      <c r="AA34">
        <v>13.5</v>
      </c>
      <c r="AB34">
        <v>0</v>
      </c>
      <c r="AC34">
        <v>0</v>
      </c>
      <c r="AD34">
        <v>1</v>
      </c>
      <c r="AE34">
        <v>0</v>
      </c>
      <c r="AF34" t="s">
        <v>242</v>
      </c>
      <c r="AG34">
        <v>0.16</v>
      </c>
      <c r="AH34">
        <v>2</v>
      </c>
      <c r="AI34">
        <v>65099385</v>
      </c>
      <c r="AJ34">
        <v>28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>
      <c r="A35">
        <f>ROW(Source!A30)</f>
        <v>30</v>
      </c>
      <c r="B35">
        <v>65099386</v>
      </c>
      <c r="C35">
        <v>65099376</v>
      </c>
      <c r="D35">
        <v>55689221</v>
      </c>
      <c r="E35">
        <v>70</v>
      </c>
      <c r="F35">
        <v>1</v>
      </c>
      <c r="G35">
        <v>1</v>
      </c>
      <c r="H35">
        <v>3</v>
      </c>
      <c r="I35" t="s">
        <v>597</v>
      </c>
      <c r="J35" t="s">
        <v>242</v>
      </c>
      <c r="K35" t="s">
        <v>598</v>
      </c>
      <c r="L35">
        <v>1348</v>
      </c>
      <c r="N35">
        <v>1009</v>
      </c>
      <c r="O35" t="s">
        <v>500</v>
      </c>
      <c r="P35" t="s">
        <v>500</v>
      </c>
      <c r="Q35">
        <v>1000</v>
      </c>
      <c r="X35">
        <v>0.58999999999999997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 t="s">
        <v>242</v>
      </c>
      <c r="AG35">
        <v>0.58999999999999997</v>
      </c>
      <c r="AH35">
        <v>3</v>
      </c>
      <c r="AI35">
        <v>-1</v>
      </c>
      <c r="AJ35" t="s">
        <v>242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>
      <c r="A36">
        <f>ROW(Source!A31)</f>
        <v>31</v>
      </c>
      <c r="B36">
        <v>65099389</v>
      </c>
      <c r="C36">
        <v>65099388</v>
      </c>
      <c r="D36">
        <v>55684297</v>
      </c>
      <c r="E36">
        <v>70</v>
      </c>
      <c r="F36">
        <v>1</v>
      </c>
      <c r="G36">
        <v>1</v>
      </c>
      <c r="H36">
        <v>1</v>
      </c>
      <c r="I36" t="s">
        <v>520</v>
      </c>
      <c r="J36" t="s">
        <v>242</v>
      </c>
      <c r="K36" t="s">
        <v>521</v>
      </c>
      <c r="L36">
        <v>1191</v>
      </c>
      <c r="N36">
        <v>1013</v>
      </c>
      <c r="O36" t="s">
        <v>30</v>
      </c>
      <c r="P36" t="s">
        <v>30</v>
      </c>
      <c r="Q36">
        <v>1</v>
      </c>
      <c r="X36">
        <v>85.299999999999997</v>
      </c>
      <c r="Y36">
        <v>0</v>
      </c>
      <c r="Z36">
        <v>0</v>
      </c>
      <c r="AA36">
        <v>0</v>
      </c>
      <c r="AB36">
        <v>8.4600000000000009</v>
      </c>
      <c r="AC36">
        <v>0</v>
      </c>
      <c r="AD36">
        <v>1</v>
      </c>
      <c r="AE36">
        <v>1</v>
      </c>
      <c r="AF36" t="s">
        <v>242</v>
      </c>
      <c r="AG36">
        <v>85.299999999999997</v>
      </c>
      <c r="AH36">
        <v>2</v>
      </c>
      <c r="AI36">
        <v>65099389</v>
      </c>
      <c r="AJ36">
        <v>29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>
      <c r="A37">
        <f>ROW(Source!A31)</f>
        <v>31</v>
      </c>
      <c r="B37">
        <v>65099390</v>
      </c>
      <c r="C37">
        <v>65099388</v>
      </c>
      <c r="D37">
        <v>55684491</v>
      </c>
      <c r="E37">
        <v>70</v>
      </c>
      <c r="F37">
        <v>1</v>
      </c>
      <c r="G37">
        <v>1</v>
      </c>
      <c r="H37">
        <v>1</v>
      </c>
      <c r="I37" t="s">
        <v>485</v>
      </c>
      <c r="J37" t="s">
        <v>242</v>
      </c>
      <c r="K37" t="s">
        <v>486</v>
      </c>
      <c r="L37">
        <v>1191</v>
      </c>
      <c r="N37">
        <v>1013</v>
      </c>
      <c r="O37" t="s">
        <v>30</v>
      </c>
      <c r="P37" t="s">
        <v>30</v>
      </c>
      <c r="Q37">
        <v>1</v>
      </c>
      <c r="X37">
        <v>0.32000000000000001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2</v>
      </c>
      <c r="AF37" t="s">
        <v>242</v>
      </c>
      <c r="AG37">
        <v>0.32000000000000001</v>
      </c>
      <c r="AH37">
        <v>2</v>
      </c>
      <c r="AI37">
        <v>65099390</v>
      </c>
      <c r="AJ37">
        <v>30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>
      <c r="A38">
        <f>ROW(Source!A31)</f>
        <v>31</v>
      </c>
      <c r="B38">
        <v>65099391</v>
      </c>
      <c r="C38">
        <v>65099388</v>
      </c>
      <c r="D38">
        <v>55846353</v>
      </c>
      <c r="E38">
        <v>1</v>
      </c>
      <c r="F38">
        <v>1</v>
      </c>
      <c r="G38">
        <v>1</v>
      </c>
      <c r="H38">
        <v>2</v>
      </c>
      <c r="I38" t="s">
        <v>487</v>
      </c>
      <c r="J38" t="s">
        <v>488</v>
      </c>
      <c r="K38" t="s">
        <v>489</v>
      </c>
      <c r="L38">
        <v>1367</v>
      </c>
      <c r="N38">
        <v>1011</v>
      </c>
      <c r="O38" t="s">
        <v>490</v>
      </c>
      <c r="P38" t="s">
        <v>490</v>
      </c>
      <c r="Q38">
        <v>1</v>
      </c>
      <c r="X38">
        <v>0.32000000000000001</v>
      </c>
      <c r="Y38">
        <v>0</v>
      </c>
      <c r="Z38">
        <v>31.260000000000002</v>
      </c>
      <c r="AA38">
        <v>13.5</v>
      </c>
      <c r="AB38">
        <v>0</v>
      </c>
      <c r="AC38">
        <v>0</v>
      </c>
      <c r="AD38">
        <v>1</v>
      </c>
      <c r="AE38">
        <v>0</v>
      </c>
      <c r="AF38" t="s">
        <v>242</v>
      </c>
      <c r="AG38">
        <v>0.32000000000000001</v>
      </c>
      <c r="AH38">
        <v>2</v>
      </c>
      <c r="AI38">
        <v>65099391</v>
      </c>
      <c r="AJ38">
        <v>31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>
      <c r="A39">
        <f>ROW(Source!A31)</f>
        <v>31</v>
      </c>
      <c r="B39">
        <v>65099392</v>
      </c>
      <c r="C39">
        <v>65099388</v>
      </c>
      <c r="D39">
        <v>55689221</v>
      </c>
      <c r="E39">
        <v>70</v>
      </c>
      <c r="F39">
        <v>1</v>
      </c>
      <c r="G39">
        <v>1</v>
      </c>
      <c r="H39">
        <v>3</v>
      </c>
      <c r="I39" t="s">
        <v>597</v>
      </c>
      <c r="J39" t="s">
        <v>242</v>
      </c>
      <c r="K39" t="s">
        <v>598</v>
      </c>
      <c r="L39">
        <v>1348</v>
      </c>
      <c r="N39">
        <v>1009</v>
      </c>
      <c r="O39" t="s">
        <v>500</v>
      </c>
      <c r="P39" t="s">
        <v>500</v>
      </c>
      <c r="Q39">
        <v>1000</v>
      </c>
      <c r="X39">
        <v>1.3400000000000001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 t="s">
        <v>242</v>
      </c>
      <c r="AG39">
        <v>1.3400000000000001</v>
      </c>
      <c r="AH39">
        <v>3</v>
      </c>
      <c r="AI39">
        <v>-1</v>
      </c>
      <c r="AJ39" t="s">
        <v>242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>
      <c r="A40">
        <f>ROW(Source!A32)</f>
        <v>32</v>
      </c>
      <c r="B40">
        <v>65099396</v>
      </c>
      <c r="C40">
        <v>65099395</v>
      </c>
      <c r="D40">
        <v>55684339</v>
      </c>
      <c r="E40">
        <v>70</v>
      </c>
      <c r="F40">
        <v>1</v>
      </c>
      <c r="G40">
        <v>1</v>
      </c>
      <c r="H40">
        <v>1</v>
      </c>
      <c r="I40" t="s">
        <v>522</v>
      </c>
      <c r="J40" t="s">
        <v>242</v>
      </c>
      <c r="K40" t="s">
        <v>523</v>
      </c>
      <c r="L40">
        <v>1191</v>
      </c>
      <c r="N40">
        <v>1013</v>
      </c>
      <c r="O40" t="s">
        <v>30</v>
      </c>
      <c r="P40" t="s">
        <v>30</v>
      </c>
      <c r="Q40">
        <v>1</v>
      </c>
      <c r="X40">
        <v>22.199999999999999</v>
      </c>
      <c r="Y40">
        <v>0</v>
      </c>
      <c r="Z40">
        <v>0</v>
      </c>
      <c r="AA40">
        <v>0</v>
      </c>
      <c r="AB40">
        <v>9.5099999999999998</v>
      </c>
      <c r="AC40">
        <v>0</v>
      </c>
      <c r="AD40">
        <v>1</v>
      </c>
      <c r="AE40">
        <v>1</v>
      </c>
      <c r="AF40" t="s">
        <v>242</v>
      </c>
      <c r="AG40">
        <v>22.199999999999999</v>
      </c>
      <c r="AH40">
        <v>2</v>
      </c>
      <c r="AI40">
        <v>65099396</v>
      </c>
      <c r="AJ40">
        <v>32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>
      <c r="A41">
        <f>ROW(Source!A32)</f>
        <v>32</v>
      </c>
      <c r="B41">
        <v>65099397</v>
      </c>
      <c r="C41">
        <v>65099395</v>
      </c>
      <c r="D41">
        <v>55684491</v>
      </c>
      <c r="E41">
        <v>70</v>
      </c>
      <c r="F41">
        <v>1</v>
      </c>
      <c r="G41">
        <v>1</v>
      </c>
      <c r="H41">
        <v>1</v>
      </c>
      <c r="I41" t="s">
        <v>485</v>
      </c>
      <c r="J41" t="s">
        <v>242</v>
      </c>
      <c r="K41" t="s">
        <v>486</v>
      </c>
      <c r="L41">
        <v>1191</v>
      </c>
      <c r="N41">
        <v>1013</v>
      </c>
      <c r="O41" t="s">
        <v>30</v>
      </c>
      <c r="P41" t="s">
        <v>30</v>
      </c>
      <c r="Q41">
        <v>1</v>
      </c>
      <c r="X41">
        <v>0.70999999999999996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2</v>
      </c>
      <c r="AF41" t="s">
        <v>242</v>
      </c>
      <c r="AG41">
        <v>0.70999999999999996</v>
      </c>
      <c r="AH41">
        <v>2</v>
      </c>
      <c r="AI41">
        <v>65099397</v>
      </c>
      <c r="AJ41">
        <v>33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>
      <c r="A42">
        <f>ROW(Source!A32)</f>
        <v>32</v>
      </c>
      <c r="B42">
        <v>65099398</v>
      </c>
      <c r="C42">
        <v>65099395</v>
      </c>
      <c r="D42">
        <v>55846353</v>
      </c>
      <c r="E42">
        <v>1</v>
      </c>
      <c r="F42">
        <v>1</v>
      </c>
      <c r="G42">
        <v>1</v>
      </c>
      <c r="H42">
        <v>2</v>
      </c>
      <c r="I42" t="s">
        <v>487</v>
      </c>
      <c r="J42" t="s">
        <v>488</v>
      </c>
      <c r="K42" t="s">
        <v>489</v>
      </c>
      <c r="L42">
        <v>1367</v>
      </c>
      <c r="N42">
        <v>1011</v>
      </c>
      <c r="O42" t="s">
        <v>490</v>
      </c>
      <c r="P42" t="s">
        <v>490</v>
      </c>
      <c r="Q42">
        <v>1</v>
      </c>
      <c r="X42">
        <v>0.32000000000000001</v>
      </c>
      <c r="Y42">
        <v>0</v>
      </c>
      <c r="Z42">
        <v>31.260000000000002</v>
      </c>
      <c r="AA42">
        <v>13.5</v>
      </c>
      <c r="AB42">
        <v>0</v>
      </c>
      <c r="AC42">
        <v>0</v>
      </c>
      <c r="AD42">
        <v>1</v>
      </c>
      <c r="AE42">
        <v>0</v>
      </c>
      <c r="AF42" t="s">
        <v>242</v>
      </c>
      <c r="AG42">
        <v>0.32000000000000001</v>
      </c>
      <c r="AH42">
        <v>2</v>
      </c>
      <c r="AI42">
        <v>65099398</v>
      </c>
      <c r="AJ42">
        <v>34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>
      <c r="A43">
        <f>ROW(Source!A32)</f>
        <v>32</v>
      </c>
      <c r="B43">
        <v>65099399</v>
      </c>
      <c r="C43">
        <v>65099395</v>
      </c>
      <c r="D43">
        <v>55847089</v>
      </c>
      <c r="E43">
        <v>1</v>
      </c>
      <c r="F43">
        <v>1</v>
      </c>
      <c r="G43">
        <v>1</v>
      </c>
      <c r="H43">
        <v>2</v>
      </c>
      <c r="I43" t="s">
        <v>494</v>
      </c>
      <c r="J43" t="s">
        <v>495</v>
      </c>
      <c r="K43" t="s">
        <v>496</v>
      </c>
      <c r="L43">
        <v>1367</v>
      </c>
      <c r="N43">
        <v>1011</v>
      </c>
      <c r="O43" t="s">
        <v>490</v>
      </c>
      <c r="P43" t="s">
        <v>490</v>
      </c>
      <c r="Q43">
        <v>1</v>
      </c>
      <c r="X43">
        <v>0.39000000000000001</v>
      </c>
      <c r="Y43">
        <v>0</v>
      </c>
      <c r="Z43">
        <v>65.709999999999994</v>
      </c>
      <c r="AA43">
        <v>11.6</v>
      </c>
      <c r="AB43">
        <v>0</v>
      </c>
      <c r="AC43">
        <v>0</v>
      </c>
      <c r="AD43">
        <v>1</v>
      </c>
      <c r="AE43">
        <v>0</v>
      </c>
      <c r="AF43" t="s">
        <v>242</v>
      </c>
      <c r="AG43">
        <v>0.39000000000000001</v>
      </c>
      <c r="AH43">
        <v>2</v>
      </c>
      <c r="AI43">
        <v>65099399</v>
      </c>
      <c r="AJ43">
        <v>35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>
      <c r="A44">
        <f>ROW(Source!A32)</f>
        <v>32</v>
      </c>
      <c r="B44">
        <v>65099400</v>
      </c>
      <c r="C44">
        <v>65099395</v>
      </c>
      <c r="D44">
        <v>55697429</v>
      </c>
      <c r="E44">
        <v>1</v>
      </c>
      <c r="F44">
        <v>1</v>
      </c>
      <c r="G44">
        <v>1</v>
      </c>
      <c r="H44">
        <v>3</v>
      </c>
      <c r="I44" t="s">
        <v>524</v>
      </c>
      <c r="J44" t="s">
        <v>525</v>
      </c>
      <c r="K44" t="s">
        <v>526</v>
      </c>
      <c r="L44">
        <v>1348</v>
      </c>
      <c r="N44">
        <v>1009</v>
      </c>
      <c r="O44" t="s">
        <v>500</v>
      </c>
      <c r="P44" t="s">
        <v>500</v>
      </c>
      <c r="Q44">
        <v>1000</v>
      </c>
      <c r="X44">
        <v>0.001</v>
      </c>
      <c r="Y44">
        <v>30030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242</v>
      </c>
      <c r="AG44">
        <v>0.001</v>
      </c>
      <c r="AH44">
        <v>2</v>
      </c>
      <c r="AI44">
        <v>65099400</v>
      </c>
      <c r="AJ44">
        <v>36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>
      <c r="A45">
        <f>ROW(Source!A32)</f>
        <v>32</v>
      </c>
      <c r="B45">
        <v>65099401</v>
      </c>
      <c r="C45">
        <v>65099395</v>
      </c>
      <c r="D45">
        <v>55697437</v>
      </c>
      <c r="E45">
        <v>1</v>
      </c>
      <c r="F45">
        <v>1</v>
      </c>
      <c r="G45">
        <v>1</v>
      </c>
      <c r="H45">
        <v>3</v>
      </c>
      <c r="I45" t="s">
        <v>527</v>
      </c>
      <c r="J45" t="s">
        <v>528</v>
      </c>
      <c r="K45" t="s">
        <v>529</v>
      </c>
      <c r="L45">
        <v>1346</v>
      </c>
      <c r="N45">
        <v>1009</v>
      </c>
      <c r="O45" t="s">
        <v>322</v>
      </c>
      <c r="P45" t="s">
        <v>322</v>
      </c>
      <c r="Q45">
        <v>1</v>
      </c>
      <c r="X45">
        <v>0.040000000000000001</v>
      </c>
      <c r="Y45">
        <v>37.289999999999999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242</v>
      </c>
      <c r="AG45">
        <v>0.040000000000000001</v>
      </c>
      <c r="AH45">
        <v>2</v>
      </c>
      <c r="AI45">
        <v>65099401</v>
      </c>
      <c r="AJ45">
        <v>37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>
      <c r="A46">
        <f>ROW(Source!A32)</f>
        <v>32</v>
      </c>
      <c r="B46">
        <v>65099402</v>
      </c>
      <c r="C46">
        <v>65099395</v>
      </c>
      <c r="D46">
        <v>55699209</v>
      </c>
      <c r="E46">
        <v>1</v>
      </c>
      <c r="F46">
        <v>1</v>
      </c>
      <c r="G46">
        <v>1</v>
      </c>
      <c r="H46">
        <v>3</v>
      </c>
      <c r="I46" t="s">
        <v>530</v>
      </c>
      <c r="J46" t="s">
        <v>531</v>
      </c>
      <c r="K46" t="s">
        <v>532</v>
      </c>
      <c r="L46">
        <v>1407</v>
      </c>
      <c r="N46">
        <v>1013</v>
      </c>
      <c r="O46" t="s">
        <v>533</v>
      </c>
      <c r="P46" t="s">
        <v>533</v>
      </c>
      <c r="Q46">
        <v>1</v>
      </c>
      <c r="X46">
        <v>0.040000000000000001</v>
      </c>
      <c r="Y46">
        <v>180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242</v>
      </c>
      <c r="AG46">
        <v>0.040000000000000001</v>
      </c>
      <c r="AH46">
        <v>2</v>
      </c>
      <c r="AI46">
        <v>65099402</v>
      </c>
      <c r="AJ46">
        <v>38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>
      <c r="A47">
        <f>ROW(Source!A32)</f>
        <v>32</v>
      </c>
      <c r="B47">
        <v>65099403</v>
      </c>
      <c r="C47">
        <v>65099395</v>
      </c>
      <c r="D47">
        <v>55699354</v>
      </c>
      <c r="E47">
        <v>1</v>
      </c>
      <c r="F47">
        <v>1</v>
      </c>
      <c r="G47">
        <v>1</v>
      </c>
      <c r="H47">
        <v>3</v>
      </c>
      <c r="I47" t="s">
        <v>534</v>
      </c>
      <c r="J47" t="s">
        <v>535</v>
      </c>
      <c r="K47" t="s">
        <v>536</v>
      </c>
      <c r="L47">
        <v>1346</v>
      </c>
      <c r="N47">
        <v>1009</v>
      </c>
      <c r="O47" t="s">
        <v>322</v>
      </c>
      <c r="P47" t="s">
        <v>322</v>
      </c>
      <c r="Q47">
        <v>1</v>
      </c>
      <c r="X47">
        <v>20</v>
      </c>
      <c r="Y47">
        <v>6.5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242</v>
      </c>
      <c r="AG47">
        <v>20</v>
      </c>
      <c r="AH47">
        <v>2</v>
      </c>
      <c r="AI47">
        <v>65099403</v>
      </c>
      <c r="AJ47">
        <v>39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>
      <c r="A48">
        <f>ROW(Source!A32)</f>
        <v>32</v>
      </c>
      <c r="B48">
        <v>65099404</v>
      </c>
      <c r="C48">
        <v>65099395</v>
      </c>
      <c r="D48">
        <v>55699587</v>
      </c>
      <c r="E48">
        <v>1</v>
      </c>
      <c r="F48">
        <v>1</v>
      </c>
      <c r="G48">
        <v>1</v>
      </c>
      <c r="H48">
        <v>3</v>
      </c>
      <c r="I48" t="s">
        <v>537</v>
      </c>
      <c r="J48" t="s">
        <v>538</v>
      </c>
      <c r="K48" t="s">
        <v>539</v>
      </c>
      <c r="L48">
        <v>1348</v>
      </c>
      <c r="N48">
        <v>1009</v>
      </c>
      <c r="O48" t="s">
        <v>500</v>
      </c>
      <c r="P48" t="s">
        <v>500</v>
      </c>
      <c r="Q48">
        <v>1000</v>
      </c>
      <c r="X48">
        <v>0.00050000000000000001</v>
      </c>
      <c r="Y48">
        <v>12430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242</v>
      </c>
      <c r="AG48">
        <v>0.00050000000000000001</v>
      </c>
      <c r="AH48">
        <v>2</v>
      </c>
      <c r="AI48">
        <v>65099404</v>
      </c>
      <c r="AJ48">
        <v>40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>
      <c r="A49">
        <f>ROW(Source!A32)</f>
        <v>32</v>
      </c>
      <c r="B49">
        <v>65099405</v>
      </c>
      <c r="C49">
        <v>65099395</v>
      </c>
      <c r="D49">
        <v>55700069</v>
      </c>
      <c r="E49">
        <v>1</v>
      </c>
      <c r="F49">
        <v>1</v>
      </c>
      <c r="G49">
        <v>1</v>
      </c>
      <c r="H49">
        <v>3</v>
      </c>
      <c r="I49" t="s">
        <v>540</v>
      </c>
      <c r="J49" t="s">
        <v>541</v>
      </c>
      <c r="K49" t="s">
        <v>542</v>
      </c>
      <c r="L49">
        <v>1346</v>
      </c>
      <c r="N49">
        <v>1009</v>
      </c>
      <c r="O49" t="s">
        <v>322</v>
      </c>
      <c r="P49" t="s">
        <v>322</v>
      </c>
      <c r="Q49">
        <v>1</v>
      </c>
      <c r="X49">
        <v>0.80000000000000004</v>
      </c>
      <c r="Y49">
        <v>13.56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242</v>
      </c>
      <c r="AG49">
        <v>0.80000000000000004</v>
      </c>
      <c r="AH49">
        <v>2</v>
      </c>
      <c r="AI49">
        <v>65099405</v>
      </c>
      <c r="AJ49">
        <v>41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>
      <c r="A50">
        <f>ROW(Source!A32)</f>
        <v>32</v>
      </c>
      <c r="B50">
        <v>65099406</v>
      </c>
      <c r="C50">
        <v>65099395</v>
      </c>
      <c r="D50">
        <v>55727022</v>
      </c>
      <c r="E50">
        <v>1</v>
      </c>
      <c r="F50">
        <v>1</v>
      </c>
      <c r="G50">
        <v>1</v>
      </c>
      <c r="H50">
        <v>3</v>
      </c>
      <c r="I50" t="s">
        <v>543</v>
      </c>
      <c r="J50" t="s">
        <v>544</v>
      </c>
      <c r="K50" t="s">
        <v>545</v>
      </c>
      <c r="L50">
        <v>1348</v>
      </c>
      <c r="N50">
        <v>1009</v>
      </c>
      <c r="O50" t="s">
        <v>500</v>
      </c>
      <c r="P50" t="s">
        <v>500</v>
      </c>
      <c r="Q50">
        <v>1000</v>
      </c>
      <c r="X50">
        <v>0.00080000000000000004</v>
      </c>
      <c r="Y50">
        <v>12330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242</v>
      </c>
      <c r="AG50">
        <v>0.00080000000000000004</v>
      </c>
      <c r="AH50">
        <v>2</v>
      </c>
      <c r="AI50">
        <v>65099406</v>
      </c>
      <c r="AJ50">
        <v>42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>
      <c r="A51">
        <f>ROW(Source!A32)</f>
        <v>32</v>
      </c>
      <c r="B51">
        <v>65099407</v>
      </c>
      <c r="C51">
        <v>65099395</v>
      </c>
      <c r="D51">
        <v>55728086</v>
      </c>
      <c r="E51">
        <v>1</v>
      </c>
      <c r="F51">
        <v>1</v>
      </c>
      <c r="G51">
        <v>1</v>
      </c>
      <c r="H51">
        <v>3</v>
      </c>
      <c r="I51" t="s">
        <v>546</v>
      </c>
      <c r="J51" t="s">
        <v>547</v>
      </c>
      <c r="K51" t="s">
        <v>548</v>
      </c>
      <c r="L51">
        <v>1346</v>
      </c>
      <c r="N51">
        <v>1009</v>
      </c>
      <c r="O51" t="s">
        <v>322</v>
      </c>
      <c r="P51" t="s">
        <v>322</v>
      </c>
      <c r="Q51">
        <v>1</v>
      </c>
      <c r="X51">
        <v>0.40000000000000002</v>
      </c>
      <c r="Y51">
        <v>15.119999999999999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242</v>
      </c>
      <c r="AG51">
        <v>0.40000000000000002</v>
      </c>
      <c r="AH51">
        <v>2</v>
      </c>
      <c r="AI51">
        <v>65099407</v>
      </c>
      <c r="AJ51">
        <v>43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>
      <c r="A52">
        <f>ROW(Source!A32)</f>
        <v>32</v>
      </c>
      <c r="B52">
        <v>65099408</v>
      </c>
      <c r="C52">
        <v>65099395</v>
      </c>
      <c r="D52">
        <v>55728687</v>
      </c>
      <c r="E52">
        <v>1</v>
      </c>
      <c r="F52">
        <v>1</v>
      </c>
      <c r="G52">
        <v>1</v>
      </c>
      <c r="H52">
        <v>3</v>
      </c>
      <c r="I52" t="s">
        <v>549</v>
      </c>
      <c r="J52" t="s">
        <v>550</v>
      </c>
      <c r="K52" t="s">
        <v>551</v>
      </c>
      <c r="L52">
        <v>1346</v>
      </c>
      <c r="N52">
        <v>1009</v>
      </c>
      <c r="O52" t="s">
        <v>322</v>
      </c>
      <c r="P52" t="s">
        <v>322</v>
      </c>
      <c r="Q52">
        <v>1</v>
      </c>
      <c r="X52">
        <v>4</v>
      </c>
      <c r="Y52">
        <v>19.609999999999999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242</v>
      </c>
      <c r="AG52">
        <v>4</v>
      </c>
      <c r="AH52">
        <v>2</v>
      </c>
      <c r="AI52">
        <v>65099408</v>
      </c>
      <c r="AJ52">
        <v>44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>
      <c r="A53">
        <f>ROW(Source!A32)</f>
        <v>32</v>
      </c>
      <c r="B53">
        <v>65099409</v>
      </c>
      <c r="C53">
        <v>65099395</v>
      </c>
      <c r="D53">
        <v>55728774</v>
      </c>
      <c r="E53">
        <v>1</v>
      </c>
      <c r="F53">
        <v>1</v>
      </c>
      <c r="G53">
        <v>1</v>
      </c>
      <c r="H53">
        <v>3</v>
      </c>
      <c r="I53" t="s">
        <v>552</v>
      </c>
      <c r="J53" t="s">
        <v>553</v>
      </c>
      <c r="K53" t="s">
        <v>554</v>
      </c>
      <c r="L53">
        <v>1348</v>
      </c>
      <c r="N53">
        <v>1009</v>
      </c>
      <c r="O53" t="s">
        <v>500</v>
      </c>
      <c r="P53" t="s">
        <v>500</v>
      </c>
      <c r="Q53">
        <v>1000</v>
      </c>
      <c r="X53">
        <v>0.00020000000000000001</v>
      </c>
      <c r="Y53">
        <v>16950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242</v>
      </c>
      <c r="AG53">
        <v>0.00020000000000000001</v>
      </c>
      <c r="AH53">
        <v>2</v>
      </c>
      <c r="AI53">
        <v>65099409</v>
      </c>
      <c r="AJ53">
        <v>45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>
      <c r="A54">
        <f>ROW(Source!A32)</f>
        <v>32</v>
      </c>
      <c r="B54">
        <v>65099410</v>
      </c>
      <c r="C54">
        <v>65099395</v>
      </c>
      <c r="D54">
        <v>55687953</v>
      </c>
      <c r="E54">
        <v>70</v>
      </c>
      <c r="F54">
        <v>1</v>
      </c>
      <c r="G54">
        <v>1</v>
      </c>
      <c r="H54">
        <v>3</v>
      </c>
      <c r="I54" t="s">
        <v>601</v>
      </c>
      <c r="J54" t="s">
        <v>242</v>
      </c>
      <c r="K54" t="s">
        <v>299</v>
      </c>
      <c r="L54">
        <v>1377</v>
      </c>
      <c r="N54">
        <v>1013</v>
      </c>
      <c r="O54" t="s">
        <v>300</v>
      </c>
      <c r="P54" t="s">
        <v>300</v>
      </c>
      <c r="Q54">
        <v>1</v>
      </c>
      <c r="X54">
        <v>10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242</v>
      </c>
      <c r="AG54">
        <v>10</v>
      </c>
      <c r="AH54">
        <v>3</v>
      </c>
      <c r="AI54">
        <v>-1</v>
      </c>
      <c r="AJ54" t="s">
        <v>242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>
      <c r="A55">
        <f>ROW(Source!A34)</f>
        <v>34</v>
      </c>
      <c r="B55">
        <v>65099413</v>
      </c>
      <c r="C55">
        <v>65099412</v>
      </c>
      <c r="D55">
        <v>55684343</v>
      </c>
      <c r="E55">
        <v>70</v>
      </c>
      <c r="F55">
        <v>1</v>
      </c>
      <c r="G55">
        <v>1</v>
      </c>
      <c r="H55">
        <v>1</v>
      </c>
      <c r="I55" t="s">
        <v>555</v>
      </c>
      <c r="J55" t="s">
        <v>242</v>
      </c>
      <c r="K55" t="s">
        <v>556</v>
      </c>
      <c r="L55">
        <v>1191</v>
      </c>
      <c r="N55">
        <v>1013</v>
      </c>
      <c r="O55" t="s">
        <v>30</v>
      </c>
      <c r="P55" t="s">
        <v>30</v>
      </c>
      <c r="Q55">
        <v>1</v>
      </c>
      <c r="X55">
        <v>8.0999999999999996</v>
      </c>
      <c r="Y55">
        <v>0</v>
      </c>
      <c r="Z55">
        <v>0</v>
      </c>
      <c r="AA55">
        <v>0</v>
      </c>
      <c r="AB55">
        <v>9.6199999999999992</v>
      </c>
      <c r="AC55">
        <v>0</v>
      </c>
      <c r="AD55">
        <v>1</v>
      </c>
      <c r="AE55">
        <v>1</v>
      </c>
      <c r="AF55" t="s">
        <v>242</v>
      </c>
      <c r="AG55">
        <v>8.0999999999999996</v>
      </c>
      <c r="AH55">
        <v>2</v>
      </c>
      <c r="AI55">
        <v>65099413</v>
      </c>
      <c r="AJ55">
        <v>47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>
      <c r="A56">
        <f>ROW(Source!A34)</f>
        <v>34</v>
      </c>
      <c r="B56">
        <v>65099414</v>
      </c>
      <c r="C56">
        <v>65099412</v>
      </c>
      <c r="D56">
        <v>55684491</v>
      </c>
      <c r="E56">
        <v>70</v>
      </c>
      <c r="F56">
        <v>1</v>
      </c>
      <c r="G56">
        <v>1</v>
      </c>
      <c r="H56">
        <v>1</v>
      </c>
      <c r="I56" t="s">
        <v>485</v>
      </c>
      <c r="J56" t="s">
        <v>242</v>
      </c>
      <c r="K56" t="s">
        <v>486</v>
      </c>
      <c r="L56">
        <v>1191</v>
      </c>
      <c r="N56">
        <v>1013</v>
      </c>
      <c r="O56" t="s">
        <v>30</v>
      </c>
      <c r="P56" t="s">
        <v>30</v>
      </c>
      <c r="Q56">
        <v>1</v>
      </c>
      <c r="X56">
        <v>0.20999999999999999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2</v>
      </c>
      <c r="AF56" t="s">
        <v>242</v>
      </c>
      <c r="AG56">
        <v>0.20999999999999999</v>
      </c>
      <c r="AH56">
        <v>2</v>
      </c>
      <c r="AI56">
        <v>65099414</v>
      </c>
      <c r="AJ56">
        <v>48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>
      <c r="A57">
        <f>ROW(Source!A34)</f>
        <v>34</v>
      </c>
      <c r="B57">
        <v>65099415</v>
      </c>
      <c r="C57">
        <v>65099412</v>
      </c>
      <c r="D57">
        <v>55846353</v>
      </c>
      <c r="E57">
        <v>1</v>
      </c>
      <c r="F57">
        <v>1</v>
      </c>
      <c r="G57">
        <v>1</v>
      </c>
      <c r="H57">
        <v>2</v>
      </c>
      <c r="I57" t="s">
        <v>487</v>
      </c>
      <c r="J57" t="s">
        <v>488</v>
      </c>
      <c r="K57" t="s">
        <v>489</v>
      </c>
      <c r="L57">
        <v>1367</v>
      </c>
      <c r="N57">
        <v>1011</v>
      </c>
      <c r="O57" t="s">
        <v>490</v>
      </c>
      <c r="P57" t="s">
        <v>490</v>
      </c>
      <c r="Q57">
        <v>1</v>
      </c>
      <c r="X57">
        <v>0.070000000000000007</v>
      </c>
      <c r="Y57">
        <v>0</v>
      </c>
      <c r="Z57">
        <v>31.260000000000002</v>
      </c>
      <c r="AA57">
        <v>13.5</v>
      </c>
      <c r="AB57">
        <v>0</v>
      </c>
      <c r="AC57">
        <v>0</v>
      </c>
      <c r="AD57">
        <v>1</v>
      </c>
      <c r="AE57">
        <v>0</v>
      </c>
      <c r="AF57" t="s">
        <v>242</v>
      </c>
      <c r="AG57">
        <v>0.070000000000000007</v>
      </c>
      <c r="AH57">
        <v>2</v>
      </c>
      <c r="AI57">
        <v>65099415</v>
      </c>
      <c r="AJ57">
        <v>49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>
      <c r="A58">
        <f>ROW(Source!A34)</f>
        <v>34</v>
      </c>
      <c r="B58">
        <v>65099416</v>
      </c>
      <c r="C58">
        <v>65099412</v>
      </c>
      <c r="D58">
        <v>55847089</v>
      </c>
      <c r="E58">
        <v>1</v>
      </c>
      <c r="F58">
        <v>1</v>
      </c>
      <c r="G58">
        <v>1</v>
      </c>
      <c r="H58">
        <v>2</v>
      </c>
      <c r="I58" t="s">
        <v>494</v>
      </c>
      <c r="J58" t="s">
        <v>495</v>
      </c>
      <c r="K58" t="s">
        <v>496</v>
      </c>
      <c r="L58">
        <v>1367</v>
      </c>
      <c r="N58">
        <v>1011</v>
      </c>
      <c r="O58" t="s">
        <v>490</v>
      </c>
      <c r="P58" t="s">
        <v>490</v>
      </c>
      <c r="Q58">
        <v>1</v>
      </c>
      <c r="X58">
        <v>0.14000000000000001</v>
      </c>
      <c r="Y58">
        <v>0</v>
      </c>
      <c r="Z58">
        <v>65.709999999999994</v>
      </c>
      <c r="AA58">
        <v>11.6</v>
      </c>
      <c r="AB58">
        <v>0</v>
      </c>
      <c r="AC58">
        <v>0</v>
      </c>
      <c r="AD58">
        <v>1</v>
      </c>
      <c r="AE58">
        <v>0</v>
      </c>
      <c r="AF58" t="s">
        <v>242</v>
      </c>
      <c r="AG58">
        <v>0.14000000000000001</v>
      </c>
      <c r="AH58">
        <v>2</v>
      </c>
      <c r="AI58">
        <v>65099416</v>
      </c>
      <c r="AJ58">
        <v>50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>
      <c r="A59">
        <f>ROW(Source!A34)</f>
        <v>34</v>
      </c>
      <c r="B59">
        <v>65099417</v>
      </c>
      <c r="C59">
        <v>65099412</v>
      </c>
      <c r="D59">
        <v>55697429</v>
      </c>
      <c r="E59">
        <v>1</v>
      </c>
      <c r="F59">
        <v>1</v>
      </c>
      <c r="G59">
        <v>1</v>
      </c>
      <c r="H59">
        <v>3</v>
      </c>
      <c r="I59" t="s">
        <v>524</v>
      </c>
      <c r="J59" t="s">
        <v>525</v>
      </c>
      <c r="K59" t="s">
        <v>526</v>
      </c>
      <c r="L59">
        <v>1348</v>
      </c>
      <c r="N59">
        <v>1009</v>
      </c>
      <c r="O59" t="s">
        <v>500</v>
      </c>
      <c r="P59" t="s">
        <v>500</v>
      </c>
      <c r="Q59">
        <v>1000</v>
      </c>
      <c r="X59">
        <v>0.0014</v>
      </c>
      <c r="Y59">
        <v>30030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242</v>
      </c>
      <c r="AG59">
        <v>0.0014</v>
      </c>
      <c r="AH59">
        <v>2</v>
      </c>
      <c r="AI59">
        <v>65099417</v>
      </c>
      <c r="AJ59">
        <v>51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>
      <c r="A60">
        <f>ROW(Source!A34)</f>
        <v>34</v>
      </c>
      <c r="B60">
        <v>65099418</v>
      </c>
      <c r="C60">
        <v>65099412</v>
      </c>
      <c r="D60">
        <v>55697437</v>
      </c>
      <c r="E60">
        <v>1</v>
      </c>
      <c r="F60">
        <v>1</v>
      </c>
      <c r="G60">
        <v>1</v>
      </c>
      <c r="H60">
        <v>3</v>
      </c>
      <c r="I60" t="s">
        <v>527</v>
      </c>
      <c r="J60" t="s">
        <v>528</v>
      </c>
      <c r="K60" t="s">
        <v>529</v>
      </c>
      <c r="L60">
        <v>1346</v>
      </c>
      <c r="N60">
        <v>1009</v>
      </c>
      <c r="O60" t="s">
        <v>322</v>
      </c>
      <c r="P60" t="s">
        <v>322</v>
      </c>
      <c r="Q60">
        <v>1</v>
      </c>
      <c r="X60">
        <v>0.02</v>
      </c>
      <c r="Y60">
        <v>37.289999999999999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242</v>
      </c>
      <c r="AG60">
        <v>0.02</v>
      </c>
      <c r="AH60">
        <v>2</v>
      </c>
      <c r="AI60">
        <v>65099418</v>
      </c>
      <c r="AJ60">
        <v>52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>
      <c r="A61">
        <f>ROW(Source!A34)</f>
        <v>34</v>
      </c>
      <c r="B61">
        <v>65099419</v>
      </c>
      <c r="C61">
        <v>65099412</v>
      </c>
      <c r="D61">
        <v>55699210</v>
      </c>
      <c r="E61">
        <v>1</v>
      </c>
      <c r="F61">
        <v>1</v>
      </c>
      <c r="G61">
        <v>1</v>
      </c>
      <c r="H61">
        <v>3</v>
      </c>
      <c r="I61" t="s">
        <v>557</v>
      </c>
      <c r="J61" t="s">
        <v>558</v>
      </c>
      <c r="K61" t="s">
        <v>559</v>
      </c>
      <c r="L61">
        <v>1407</v>
      </c>
      <c r="N61">
        <v>1013</v>
      </c>
      <c r="O61" t="s">
        <v>533</v>
      </c>
      <c r="P61" t="s">
        <v>533</v>
      </c>
      <c r="Q61">
        <v>1</v>
      </c>
      <c r="X61">
        <v>0.040000000000000001</v>
      </c>
      <c r="Y61">
        <v>200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242</v>
      </c>
      <c r="AG61">
        <v>0.040000000000000001</v>
      </c>
      <c r="AH61">
        <v>2</v>
      </c>
      <c r="AI61">
        <v>65099419</v>
      </c>
      <c r="AJ61">
        <v>53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>
      <c r="A62">
        <f>ROW(Source!A34)</f>
        <v>34</v>
      </c>
      <c r="B62">
        <v>65099420</v>
      </c>
      <c r="C62">
        <v>65099412</v>
      </c>
      <c r="D62">
        <v>55699589</v>
      </c>
      <c r="E62">
        <v>1</v>
      </c>
      <c r="F62">
        <v>1</v>
      </c>
      <c r="G62">
        <v>1</v>
      </c>
      <c r="H62">
        <v>3</v>
      </c>
      <c r="I62" t="s">
        <v>560</v>
      </c>
      <c r="J62" t="s">
        <v>561</v>
      </c>
      <c r="K62" t="s">
        <v>562</v>
      </c>
      <c r="L62">
        <v>1348</v>
      </c>
      <c r="N62">
        <v>1009</v>
      </c>
      <c r="O62" t="s">
        <v>500</v>
      </c>
      <c r="P62" t="s">
        <v>500</v>
      </c>
      <c r="Q62">
        <v>1000</v>
      </c>
      <c r="X62">
        <v>0.00069999999999999999</v>
      </c>
      <c r="Y62">
        <v>11350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242</v>
      </c>
      <c r="AG62">
        <v>0.00069999999999999999</v>
      </c>
      <c r="AH62">
        <v>2</v>
      </c>
      <c r="AI62">
        <v>65099420</v>
      </c>
      <c r="AJ62">
        <v>54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>
      <c r="A63">
        <f>ROW(Source!A34)</f>
        <v>34</v>
      </c>
      <c r="B63">
        <v>65099421</v>
      </c>
      <c r="C63">
        <v>65099412</v>
      </c>
      <c r="D63">
        <v>55701404</v>
      </c>
      <c r="E63">
        <v>1</v>
      </c>
      <c r="F63">
        <v>1</v>
      </c>
      <c r="G63">
        <v>1</v>
      </c>
      <c r="H63">
        <v>3</v>
      </c>
      <c r="I63" t="s">
        <v>563</v>
      </c>
      <c r="J63" t="s">
        <v>564</v>
      </c>
      <c r="K63" t="s">
        <v>565</v>
      </c>
      <c r="L63">
        <v>1348</v>
      </c>
      <c r="N63">
        <v>1009</v>
      </c>
      <c r="O63" t="s">
        <v>500</v>
      </c>
      <c r="P63" t="s">
        <v>500</v>
      </c>
      <c r="Q63">
        <v>1000</v>
      </c>
      <c r="X63">
        <v>0.002</v>
      </c>
      <c r="Y63">
        <v>1836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242</v>
      </c>
      <c r="AG63">
        <v>0.002</v>
      </c>
      <c r="AH63">
        <v>2</v>
      </c>
      <c r="AI63">
        <v>65099421</v>
      </c>
      <c r="AJ63">
        <v>55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>
      <c r="A64">
        <f>ROW(Source!A34)</f>
        <v>34</v>
      </c>
      <c r="B64">
        <v>65099422</v>
      </c>
      <c r="C64">
        <v>65099412</v>
      </c>
      <c r="D64">
        <v>55728086</v>
      </c>
      <c r="E64">
        <v>1</v>
      </c>
      <c r="F64">
        <v>1</v>
      </c>
      <c r="G64">
        <v>1</v>
      </c>
      <c r="H64">
        <v>3</v>
      </c>
      <c r="I64" t="s">
        <v>546</v>
      </c>
      <c r="J64" t="s">
        <v>547</v>
      </c>
      <c r="K64" t="s">
        <v>548</v>
      </c>
      <c r="L64">
        <v>1346</v>
      </c>
      <c r="N64">
        <v>1009</v>
      </c>
      <c r="O64" t="s">
        <v>322</v>
      </c>
      <c r="P64" t="s">
        <v>322</v>
      </c>
      <c r="Q64">
        <v>1</v>
      </c>
      <c r="X64">
        <v>0.40000000000000002</v>
      </c>
      <c r="Y64">
        <v>15.119999999999999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242</v>
      </c>
      <c r="AG64">
        <v>0.40000000000000002</v>
      </c>
      <c r="AH64">
        <v>2</v>
      </c>
      <c r="AI64">
        <v>65099422</v>
      </c>
      <c r="AJ64">
        <v>56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>
      <c r="A65">
        <f>ROW(Source!A34)</f>
        <v>34</v>
      </c>
      <c r="B65">
        <v>65099423</v>
      </c>
      <c r="C65">
        <v>65099412</v>
      </c>
      <c r="D65">
        <v>55728687</v>
      </c>
      <c r="E65">
        <v>1</v>
      </c>
      <c r="F65">
        <v>1</v>
      </c>
      <c r="G65">
        <v>1</v>
      </c>
      <c r="H65">
        <v>3</v>
      </c>
      <c r="I65" t="s">
        <v>549</v>
      </c>
      <c r="J65" t="s">
        <v>550</v>
      </c>
      <c r="K65" t="s">
        <v>551</v>
      </c>
      <c r="L65">
        <v>1346</v>
      </c>
      <c r="N65">
        <v>1009</v>
      </c>
      <c r="O65" t="s">
        <v>322</v>
      </c>
      <c r="P65" t="s">
        <v>322</v>
      </c>
      <c r="Q65">
        <v>1</v>
      </c>
      <c r="X65">
        <v>2</v>
      </c>
      <c r="Y65">
        <v>19.609999999999999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242</v>
      </c>
      <c r="AG65">
        <v>2</v>
      </c>
      <c r="AH65">
        <v>2</v>
      </c>
      <c r="AI65">
        <v>65099423</v>
      </c>
      <c r="AJ65">
        <v>57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>
      <c r="A66">
        <f>ROW(Source!A34)</f>
        <v>34</v>
      </c>
      <c r="B66">
        <v>65099424</v>
      </c>
      <c r="C66">
        <v>65099412</v>
      </c>
      <c r="D66">
        <v>55728774</v>
      </c>
      <c r="E66">
        <v>1</v>
      </c>
      <c r="F66">
        <v>1</v>
      </c>
      <c r="G66">
        <v>1</v>
      </c>
      <c r="H66">
        <v>3</v>
      </c>
      <c r="I66" t="s">
        <v>552</v>
      </c>
      <c r="J66" t="s">
        <v>553</v>
      </c>
      <c r="K66" t="s">
        <v>554</v>
      </c>
      <c r="L66">
        <v>1348</v>
      </c>
      <c r="N66">
        <v>1009</v>
      </c>
      <c r="O66" t="s">
        <v>500</v>
      </c>
      <c r="P66" t="s">
        <v>500</v>
      </c>
      <c r="Q66">
        <v>1000</v>
      </c>
      <c r="X66">
        <v>0.00020000000000000001</v>
      </c>
      <c r="Y66">
        <v>16950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242</v>
      </c>
      <c r="AG66">
        <v>0.00020000000000000001</v>
      </c>
      <c r="AH66">
        <v>2</v>
      </c>
      <c r="AI66">
        <v>65099424</v>
      </c>
      <c r="AJ66">
        <v>58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>
      <c r="A67">
        <f>ROW(Source!A34)</f>
        <v>34</v>
      </c>
      <c r="B67">
        <v>65099425</v>
      </c>
      <c r="C67">
        <v>65099412</v>
      </c>
      <c r="D67">
        <v>55687980</v>
      </c>
      <c r="E67">
        <v>70</v>
      </c>
      <c r="F67">
        <v>1</v>
      </c>
      <c r="G67">
        <v>1</v>
      </c>
      <c r="H67">
        <v>3</v>
      </c>
      <c r="I67" t="s">
        <v>602</v>
      </c>
      <c r="J67" t="s">
        <v>242</v>
      </c>
      <c r="K67" t="s">
        <v>603</v>
      </c>
      <c r="L67">
        <v>1377</v>
      </c>
      <c r="N67">
        <v>1013</v>
      </c>
      <c r="O67" t="s">
        <v>300</v>
      </c>
      <c r="P67" t="s">
        <v>300</v>
      </c>
      <c r="Q67">
        <v>1</v>
      </c>
      <c r="X67">
        <v>10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 t="s">
        <v>242</v>
      </c>
      <c r="AG67">
        <v>10</v>
      </c>
      <c r="AH67">
        <v>3</v>
      </c>
      <c r="AI67">
        <v>-1</v>
      </c>
      <c r="AJ67" t="s">
        <v>242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>
      <c r="A68">
        <f>ROW(Source!A36)</f>
        <v>36</v>
      </c>
      <c r="B68">
        <v>65099428</v>
      </c>
      <c r="C68">
        <v>65099427</v>
      </c>
      <c r="D68">
        <v>55684279</v>
      </c>
      <c r="E68">
        <v>70</v>
      </c>
      <c r="F68">
        <v>1</v>
      </c>
      <c r="G68">
        <v>1</v>
      </c>
      <c r="H68">
        <v>1</v>
      </c>
      <c r="I68" t="s">
        <v>491</v>
      </c>
      <c r="J68" t="s">
        <v>242</v>
      </c>
      <c r="K68" t="s">
        <v>492</v>
      </c>
      <c r="L68">
        <v>1191</v>
      </c>
      <c r="N68">
        <v>1013</v>
      </c>
      <c r="O68" t="s">
        <v>30</v>
      </c>
      <c r="P68" t="s">
        <v>30</v>
      </c>
      <c r="Q68">
        <v>1</v>
      </c>
      <c r="X68">
        <v>67.700000000000003</v>
      </c>
      <c r="Y68">
        <v>0</v>
      </c>
      <c r="Z68">
        <v>0</v>
      </c>
      <c r="AA68">
        <v>0</v>
      </c>
      <c r="AB68">
        <v>8.0199999999999996</v>
      </c>
      <c r="AC68">
        <v>0</v>
      </c>
      <c r="AD68">
        <v>1</v>
      </c>
      <c r="AE68">
        <v>1</v>
      </c>
      <c r="AF68" t="s">
        <v>242</v>
      </c>
      <c r="AG68">
        <v>67.700000000000003</v>
      </c>
      <c r="AH68">
        <v>2</v>
      </c>
      <c r="AI68">
        <v>65099428</v>
      </c>
      <c r="AJ68">
        <v>60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>
      <c r="A69">
        <f>ROW(Source!A36)</f>
        <v>36</v>
      </c>
      <c r="B69">
        <v>65099429</v>
      </c>
      <c r="C69">
        <v>65099427</v>
      </c>
      <c r="D69">
        <v>55684491</v>
      </c>
      <c r="E69">
        <v>70</v>
      </c>
      <c r="F69">
        <v>1</v>
      </c>
      <c r="G69">
        <v>1</v>
      </c>
      <c r="H69">
        <v>1</v>
      </c>
      <c r="I69" t="s">
        <v>485</v>
      </c>
      <c r="J69" t="s">
        <v>242</v>
      </c>
      <c r="K69" t="s">
        <v>486</v>
      </c>
      <c r="L69">
        <v>1191</v>
      </c>
      <c r="N69">
        <v>1013</v>
      </c>
      <c r="O69" t="s">
        <v>30</v>
      </c>
      <c r="P69" t="s">
        <v>30</v>
      </c>
      <c r="Q69">
        <v>1</v>
      </c>
      <c r="X69">
        <v>4.2000000000000002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2</v>
      </c>
      <c r="AF69" t="s">
        <v>242</v>
      </c>
      <c r="AG69">
        <v>4.2000000000000002</v>
      </c>
      <c r="AH69">
        <v>2</v>
      </c>
      <c r="AI69">
        <v>65099429</v>
      </c>
      <c r="AJ69">
        <v>61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>
      <c r="A70">
        <f>ROW(Source!A36)</f>
        <v>36</v>
      </c>
      <c r="B70">
        <v>65099430</v>
      </c>
      <c r="C70">
        <v>65099427</v>
      </c>
      <c r="D70">
        <v>55846353</v>
      </c>
      <c r="E70">
        <v>1</v>
      </c>
      <c r="F70">
        <v>1</v>
      </c>
      <c r="G70">
        <v>1</v>
      </c>
      <c r="H70">
        <v>2</v>
      </c>
      <c r="I70" t="s">
        <v>487</v>
      </c>
      <c r="J70" t="s">
        <v>488</v>
      </c>
      <c r="K70" t="s">
        <v>489</v>
      </c>
      <c r="L70">
        <v>1367</v>
      </c>
      <c r="N70">
        <v>1011</v>
      </c>
      <c r="O70" t="s">
        <v>490</v>
      </c>
      <c r="P70" t="s">
        <v>490</v>
      </c>
      <c r="Q70">
        <v>1</v>
      </c>
      <c r="X70">
        <v>1.73</v>
      </c>
      <c r="Y70">
        <v>0</v>
      </c>
      <c r="Z70">
        <v>31.260000000000002</v>
      </c>
      <c r="AA70">
        <v>13.5</v>
      </c>
      <c r="AB70">
        <v>0</v>
      </c>
      <c r="AC70">
        <v>0</v>
      </c>
      <c r="AD70">
        <v>1</v>
      </c>
      <c r="AE70">
        <v>0</v>
      </c>
      <c r="AF70" t="s">
        <v>242</v>
      </c>
      <c r="AG70">
        <v>1.73</v>
      </c>
      <c r="AH70">
        <v>2</v>
      </c>
      <c r="AI70">
        <v>65099430</v>
      </c>
      <c r="AJ70">
        <v>62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>
      <c r="A71">
        <f>ROW(Source!A36)</f>
        <v>36</v>
      </c>
      <c r="B71">
        <v>65099431</v>
      </c>
      <c r="C71">
        <v>65099427</v>
      </c>
      <c r="D71">
        <v>55847089</v>
      </c>
      <c r="E71">
        <v>1</v>
      </c>
      <c r="F71">
        <v>1</v>
      </c>
      <c r="G71">
        <v>1</v>
      </c>
      <c r="H71">
        <v>2</v>
      </c>
      <c r="I71" t="s">
        <v>494</v>
      </c>
      <c r="J71" t="s">
        <v>495</v>
      </c>
      <c r="K71" t="s">
        <v>496</v>
      </c>
      <c r="L71">
        <v>1367</v>
      </c>
      <c r="N71">
        <v>1011</v>
      </c>
      <c r="O71" t="s">
        <v>490</v>
      </c>
      <c r="P71" t="s">
        <v>490</v>
      </c>
      <c r="Q71">
        <v>1</v>
      </c>
      <c r="X71">
        <v>2.4700000000000002</v>
      </c>
      <c r="Y71">
        <v>0</v>
      </c>
      <c r="Z71">
        <v>65.709999999999994</v>
      </c>
      <c r="AA71">
        <v>11.6</v>
      </c>
      <c r="AB71">
        <v>0</v>
      </c>
      <c r="AC71">
        <v>0</v>
      </c>
      <c r="AD71">
        <v>1</v>
      </c>
      <c r="AE71">
        <v>0</v>
      </c>
      <c r="AF71" t="s">
        <v>242</v>
      </c>
      <c r="AG71">
        <v>2.4700000000000002</v>
      </c>
      <c r="AH71">
        <v>2</v>
      </c>
      <c r="AI71">
        <v>65099431</v>
      </c>
      <c r="AJ71">
        <v>63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>
      <c r="A72">
        <f>ROW(Source!A36)</f>
        <v>36</v>
      </c>
      <c r="B72">
        <v>65099432</v>
      </c>
      <c r="C72">
        <v>65099427</v>
      </c>
      <c r="D72">
        <v>55699173</v>
      </c>
      <c r="E72">
        <v>1</v>
      </c>
      <c r="F72">
        <v>1</v>
      </c>
      <c r="G72">
        <v>1</v>
      </c>
      <c r="H72">
        <v>3</v>
      </c>
      <c r="I72" t="s">
        <v>497</v>
      </c>
      <c r="J72" t="s">
        <v>498</v>
      </c>
      <c r="K72" t="s">
        <v>499</v>
      </c>
      <c r="L72">
        <v>1348</v>
      </c>
      <c r="N72">
        <v>1009</v>
      </c>
      <c r="O72" t="s">
        <v>500</v>
      </c>
      <c r="P72" t="s">
        <v>500</v>
      </c>
      <c r="Q72">
        <v>1000</v>
      </c>
      <c r="X72">
        <v>0.012</v>
      </c>
      <c r="Y72">
        <v>11978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242</v>
      </c>
      <c r="AG72">
        <v>0.012</v>
      </c>
      <c r="AH72">
        <v>2</v>
      </c>
      <c r="AI72">
        <v>65099432</v>
      </c>
      <c r="AJ72">
        <v>64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>
      <c r="A73">
        <f>ROW(Source!A36)</f>
        <v>36</v>
      </c>
      <c r="B73">
        <v>65099433</v>
      </c>
      <c r="C73">
        <v>65099427</v>
      </c>
      <c r="D73">
        <v>55714803</v>
      </c>
      <c r="E73">
        <v>1</v>
      </c>
      <c r="F73">
        <v>1</v>
      </c>
      <c r="G73">
        <v>1</v>
      </c>
      <c r="H73">
        <v>3</v>
      </c>
      <c r="I73" t="s">
        <v>502</v>
      </c>
      <c r="J73" t="s">
        <v>503</v>
      </c>
      <c r="K73" t="s">
        <v>504</v>
      </c>
      <c r="L73">
        <v>1348</v>
      </c>
      <c r="N73">
        <v>1009</v>
      </c>
      <c r="O73" t="s">
        <v>500</v>
      </c>
      <c r="P73" t="s">
        <v>500</v>
      </c>
      <c r="Q73">
        <v>1000</v>
      </c>
      <c r="X73">
        <v>0.035000000000000003</v>
      </c>
      <c r="Y73">
        <v>5989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242</v>
      </c>
      <c r="AG73">
        <v>0.035000000000000003</v>
      </c>
      <c r="AH73">
        <v>2</v>
      </c>
      <c r="AI73">
        <v>65099433</v>
      </c>
      <c r="AJ73">
        <v>65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>
      <c r="A74">
        <f>ROW(Source!A36)</f>
        <v>36</v>
      </c>
      <c r="B74">
        <v>65099434</v>
      </c>
      <c r="C74">
        <v>65099427</v>
      </c>
      <c r="D74">
        <v>55686904</v>
      </c>
      <c r="E74">
        <v>70</v>
      </c>
      <c r="F74">
        <v>1</v>
      </c>
      <c r="G74">
        <v>1</v>
      </c>
      <c r="H74">
        <v>3</v>
      </c>
      <c r="I74" t="s">
        <v>599</v>
      </c>
      <c r="J74" t="s">
        <v>242</v>
      </c>
      <c r="K74" t="s">
        <v>600</v>
      </c>
      <c r="L74">
        <v>1371</v>
      </c>
      <c r="N74">
        <v>1013</v>
      </c>
      <c r="O74" t="s">
        <v>312</v>
      </c>
      <c r="P74" t="s">
        <v>312</v>
      </c>
      <c r="Q74">
        <v>1</v>
      </c>
      <c r="X74">
        <v>100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 t="s">
        <v>242</v>
      </c>
      <c r="AG74">
        <v>100</v>
      </c>
      <c r="AH74">
        <v>3</v>
      </c>
      <c r="AI74">
        <v>-1</v>
      </c>
      <c r="AJ74" t="s">
        <v>242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>
      <c r="A75">
        <f>ROW(Source!A36)</f>
        <v>36</v>
      </c>
      <c r="B75">
        <v>65099435</v>
      </c>
      <c r="C75">
        <v>65099427</v>
      </c>
      <c r="D75">
        <v>55721136</v>
      </c>
      <c r="E75">
        <v>1</v>
      </c>
      <c r="F75">
        <v>1</v>
      </c>
      <c r="G75">
        <v>1</v>
      </c>
      <c r="H75">
        <v>3</v>
      </c>
      <c r="I75" t="s">
        <v>505</v>
      </c>
      <c r="J75" t="s">
        <v>506</v>
      </c>
      <c r="K75" t="s">
        <v>507</v>
      </c>
      <c r="L75">
        <v>1301</v>
      </c>
      <c r="N75">
        <v>1003</v>
      </c>
      <c r="O75" t="s">
        <v>327</v>
      </c>
      <c r="P75" t="s">
        <v>327</v>
      </c>
      <c r="Q75">
        <v>1</v>
      </c>
      <c r="X75">
        <v>400</v>
      </c>
      <c r="Y75">
        <v>3.2000000000000002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242</v>
      </c>
      <c r="AG75">
        <v>400</v>
      </c>
      <c r="AH75">
        <v>2</v>
      </c>
      <c r="AI75">
        <v>65099435</v>
      </c>
      <c r="AJ75">
        <v>66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>
      <c r="A76">
        <f>ROW(Source!A38)</f>
        <v>38</v>
      </c>
      <c r="B76">
        <v>65099439</v>
      </c>
      <c r="C76">
        <v>65099438</v>
      </c>
      <c r="D76">
        <v>55684335</v>
      </c>
      <c r="E76">
        <v>70</v>
      </c>
      <c r="F76">
        <v>1</v>
      </c>
      <c r="G76">
        <v>1</v>
      </c>
      <c r="H76">
        <v>1</v>
      </c>
      <c r="I76" t="s">
        <v>566</v>
      </c>
      <c r="J76" t="s">
        <v>242</v>
      </c>
      <c r="K76" t="s">
        <v>567</v>
      </c>
      <c r="L76">
        <v>1191</v>
      </c>
      <c r="N76">
        <v>1013</v>
      </c>
      <c r="O76" t="s">
        <v>30</v>
      </c>
      <c r="P76" t="s">
        <v>30</v>
      </c>
      <c r="Q76">
        <v>1</v>
      </c>
      <c r="X76">
        <v>59.920000000000002</v>
      </c>
      <c r="Y76">
        <v>0</v>
      </c>
      <c r="Z76">
        <v>0</v>
      </c>
      <c r="AA76">
        <v>0</v>
      </c>
      <c r="AB76">
        <v>9.4000000000000004</v>
      </c>
      <c r="AC76">
        <v>0</v>
      </c>
      <c r="AD76">
        <v>1</v>
      </c>
      <c r="AE76">
        <v>1</v>
      </c>
      <c r="AF76" t="s">
        <v>242</v>
      </c>
      <c r="AG76">
        <v>59.920000000000002</v>
      </c>
      <c r="AH76">
        <v>2</v>
      </c>
      <c r="AI76">
        <v>65099439</v>
      </c>
      <c r="AJ76">
        <v>68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>
      <c r="A77">
        <f>ROW(Source!A38)</f>
        <v>38</v>
      </c>
      <c r="B77">
        <v>65099440</v>
      </c>
      <c r="C77">
        <v>65099438</v>
      </c>
      <c r="D77">
        <v>55684491</v>
      </c>
      <c r="E77">
        <v>70</v>
      </c>
      <c r="F77">
        <v>1</v>
      </c>
      <c r="G77">
        <v>1</v>
      </c>
      <c r="H77">
        <v>1</v>
      </c>
      <c r="I77" t="s">
        <v>485</v>
      </c>
      <c r="J77" t="s">
        <v>242</v>
      </c>
      <c r="K77" t="s">
        <v>486</v>
      </c>
      <c r="L77">
        <v>1191</v>
      </c>
      <c r="N77">
        <v>1013</v>
      </c>
      <c r="O77" t="s">
        <v>30</v>
      </c>
      <c r="P77" t="s">
        <v>30</v>
      </c>
      <c r="Q77">
        <v>1</v>
      </c>
      <c r="X77">
        <v>0.10000000000000001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2</v>
      </c>
      <c r="AF77" t="s">
        <v>242</v>
      </c>
      <c r="AG77">
        <v>0.10000000000000001</v>
      </c>
      <c r="AH77">
        <v>2</v>
      </c>
      <c r="AI77">
        <v>65099440</v>
      </c>
      <c r="AJ77">
        <v>69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>
      <c r="A78">
        <f>ROW(Source!A38)</f>
        <v>38</v>
      </c>
      <c r="B78">
        <v>65099441</v>
      </c>
      <c r="C78">
        <v>65099438</v>
      </c>
      <c r="D78">
        <v>55846101</v>
      </c>
      <c r="E78">
        <v>1</v>
      </c>
      <c r="F78">
        <v>1</v>
      </c>
      <c r="G78">
        <v>1</v>
      </c>
      <c r="H78">
        <v>2</v>
      </c>
      <c r="I78" t="s">
        <v>568</v>
      </c>
      <c r="J78" t="s">
        <v>569</v>
      </c>
      <c r="K78" t="s">
        <v>570</v>
      </c>
      <c r="L78">
        <v>1367</v>
      </c>
      <c r="N78">
        <v>1011</v>
      </c>
      <c r="O78" t="s">
        <v>490</v>
      </c>
      <c r="P78" t="s">
        <v>490</v>
      </c>
      <c r="Q78">
        <v>1</v>
      </c>
      <c r="X78">
        <v>0.02</v>
      </c>
      <c r="Y78">
        <v>0</v>
      </c>
      <c r="Z78">
        <v>86.400000000000006</v>
      </c>
      <c r="AA78">
        <v>13.5</v>
      </c>
      <c r="AB78">
        <v>0</v>
      </c>
      <c r="AC78">
        <v>0</v>
      </c>
      <c r="AD78">
        <v>1</v>
      </c>
      <c r="AE78">
        <v>0</v>
      </c>
      <c r="AF78" t="s">
        <v>242</v>
      </c>
      <c r="AG78">
        <v>0.02</v>
      </c>
      <c r="AH78">
        <v>2</v>
      </c>
      <c r="AI78">
        <v>65099441</v>
      </c>
      <c r="AJ78">
        <v>70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>
      <c r="A79">
        <f>ROW(Source!A38)</f>
        <v>38</v>
      </c>
      <c r="B79">
        <v>65099442</v>
      </c>
      <c r="C79">
        <v>65099438</v>
      </c>
      <c r="D79">
        <v>55846159</v>
      </c>
      <c r="E79">
        <v>1</v>
      </c>
      <c r="F79">
        <v>1</v>
      </c>
      <c r="G79">
        <v>1</v>
      </c>
      <c r="H79">
        <v>2</v>
      </c>
      <c r="I79" t="s">
        <v>571</v>
      </c>
      <c r="J79" t="s">
        <v>572</v>
      </c>
      <c r="K79" t="s">
        <v>573</v>
      </c>
      <c r="L79">
        <v>1367</v>
      </c>
      <c r="N79">
        <v>1011</v>
      </c>
      <c r="O79" t="s">
        <v>490</v>
      </c>
      <c r="P79" t="s">
        <v>490</v>
      </c>
      <c r="Q79">
        <v>1</v>
      </c>
      <c r="X79">
        <v>0.040000000000000001</v>
      </c>
      <c r="Y79">
        <v>0</v>
      </c>
      <c r="Z79">
        <v>115.40000000000001</v>
      </c>
      <c r="AA79">
        <v>13.5</v>
      </c>
      <c r="AB79">
        <v>0</v>
      </c>
      <c r="AC79">
        <v>0</v>
      </c>
      <c r="AD79">
        <v>1</v>
      </c>
      <c r="AE79">
        <v>0</v>
      </c>
      <c r="AF79" t="s">
        <v>242</v>
      </c>
      <c r="AG79">
        <v>0.040000000000000001</v>
      </c>
      <c r="AH79">
        <v>2</v>
      </c>
      <c r="AI79">
        <v>65099442</v>
      </c>
      <c r="AJ79">
        <v>71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>
      <c r="A80">
        <f>ROW(Source!A38)</f>
        <v>38</v>
      </c>
      <c r="B80">
        <v>65099443</v>
      </c>
      <c r="C80">
        <v>65099438</v>
      </c>
      <c r="D80">
        <v>55847089</v>
      </c>
      <c r="E80">
        <v>1</v>
      </c>
      <c r="F80">
        <v>1</v>
      </c>
      <c r="G80">
        <v>1</v>
      </c>
      <c r="H80">
        <v>2</v>
      </c>
      <c r="I80" t="s">
        <v>494</v>
      </c>
      <c r="J80" t="s">
        <v>495</v>
      </c>
      <c r="K80" t="s">
        <v>496</v>
      </c>
      <c r="L80">
        <v>1367</v>
      </c>
      <c r="N80">
        <v>1011</v>
      </c>
      <c r="O80" t="s">
        <v>490</v>
      </c>
      <c r="P80" t="s">
        <v>490</v>
      </c>
      <c r="Q80">
        <v>1</v>
      </c>
      <c r="X80">
        <v>0.040000000000000001</v>
      </c>
      <c r="Y80">
        <v>0</v>
      </c>
      <c r="Z80">
        <v>65.709999999999994</v>
      </c>
      <c r="AA80">
        <v>11.6</v>
      </c>
      <c r="AB80">
        <v>0</v>
      </c>
      <c r="AC80">
        <v>0</v>
      </c>
      <c r="AD80">
        <v>1</v>
      </c>
      <c r="AE80">
        <v>0</v>
      </c>
      <c r="AF80" t="s">
        <v>242</v>
      </c>
      <c r="AG80">
        <v>0.040000000000000001</v>
      </c>
      <c r="AH80">
        <v>2</v>
      </c>
      <c r="AI80">
        <v>65099443</v>
      </c>
      <c r="AJ80">
        <v>72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>
      <c r="A81">
        <f>ROW(Source!A38)</f>
        <v>38</v>
      </c>
      <c r="B81">
        <v>65099444</v>
      </c>
      <c r="C81">
        <v>65099438</v>
      </c>
      <c r="D81">
        <v>55696789</v>
      </c>
      <c r="E81">
        <v>1</v>
      </c>
      <c r="F81">
        <v>1</v>
      </c>
      <c r="G81">
        <v>1</v>
      </c>
      <c r="H81">
        <v>3</v>
      </c>
      <c r="I81" t="s">
        <v>574</v>
      </c>
      <c r="J81" t="s">
        <v>575</v>
      </c>
      <c r="K81" t="s">
        <v>576</v>
      </c>
      <c r="L81">
        <v>1339</v>
      </c>
      <c r="N81">
        <v>1007</v>
      </c>
      <c r="O81" t="s">
        <v>516</v>
      </c>
      <c r="P81" t="s">
        <v>516</v>
      </c>
      <c r="Q81">
        <v>1</v>
      </c>
      <c r="X81">
        <v>0.19700000000000001</v>
      </c>
      <c r="Y81">
        <v>2.4399999999999999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242</v>
      </c>
      <c r="AG81">
        <v>0.19700000000000001</v>
      </c>
      <c r="AH81">
        <v>2</v>
      </c>
      <c r="AI81">
        <v>65099444</v>
      </c>
      <c r="AJ81">
        <v>73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>
      <c r="A82">
        <f>ROW(Source!A38)</f>
        <v>38</v>
      </c>
      <c r="B82">
        <v>65099445</v>
      </c>
      <c r="C82">
        <v>65099438</v>
      </c>
      <c r="D82">
        <v>55699057</v>
      </c>
      <c r="E82">
        <v>1</v>
      </c>
      <c r="F82">
        <v>1</v>
      </c>
      <c r="G82">
        <v>1</v>
      </c>
      <c r="H82">
        <v>3</v>
      </c>
      <c r="I82" t="s">
        <v>577</v>
      </c>
      <c r="J82" t="s">
        <v>578</v>
      </c>
      <c r="K82" t="s">
        <v>579</v>
      </c>
      <c r="L82">
        <v>1348</v>
      </c>
      <c r="N82">
        <v>1009</v>
      </c>
      <c r="O82" t="s">
        <v>500</v>
      </c>
      <c r="P82" t="s">
        <v>500</v>
      </c>
      <c r="Q82">
        <v>1000</v>
      </c>
      <c r="X82">
        <v>0.0011999999999999999</v>
      </c>
      <c r="Y82">
        <v>14830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242</v>
      </c>
      <c r="AG82">
        <v>0.0011999999999999999</v>
      </c>
      <c r="AH82">
        <v>2</v>
      </c>
      <c r="AI82">
        <v>65099445</v>
      </c>
      <c r="AJ82">
        <v>74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>
      <c r="A83">
        <f>ROW(Source!A38)</f>
        <v>38</v>
      </c>
      <c r="B83">
        <v>65099446</v>
      </c>
      <c r="C83">
        <v>65099438</v>
      </c>
      <c r="D83">
        <v>55700034</v>
      </c>
      <c r="E83">
        <v>1</v>
      </c>
      <c r="F83">
        <v>1</v>
      </c>
      <c r="G83">
        <v>1</v>
      </c>
      <c r="H83">
        <v>3</v>
      </c>
      <c r="I83" t="s">
        <v>580</v>
      </c>
      <c r="J83" t="s">
        <v>581</v>
      </c>
      <c r="K83" t="s">
        <v>582</v>
      </c>
      <c r="L83">
        <v>1425</v>
      </c>
      <c r="N83">
        <v>1013</v>
      </c>
      <c r="O83" t="s">
        <v>255</v>
      </c>
      <c r="P83" t="s">
        <v>255</v>
      </c>
      <c r="Q83">
        <v>1</v>
      </c>
      <c r="X83">
        <v>0.12</v>
      </c>
      <c r="Y83">
        <v>74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242</v>
      </c>
      <c r="AG83">
        <v>0.12</v>
      </c>
      <c r="AH83">
        <v>2</v>
      </c>
      <c r="AI83">
        <v>65099446</v>
      </c>
      <c r="AJ83">
        <v>75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>
      <c r="A84">
        <f>ROW(Source!A38)</f>
        <v>38</v>
      </c>
      <c r="B84">
        <v>65099447</v>
      </c>
      <c r="C84">
        <v>65099438</v>
      </c>
      <c r="D84">
        <v>55687843</v>
      </c>
      <c r="E84">
        <v>70</v>
      </c>
      <c r="F84">
        <v>1</v>
      </c>
      <c r="G84">
        <v>1</v>
      </c>
      <c r="H84">
        <v>3</v>
      </c>
      <c r="I84" t="s">
        <v>604</v>
      </c>
      <c r="J84" t="s">
        <v>242</v>
      </c>
      <c r="K84" t="s">
        <v>605</v>
      </c>
      <c r="L84">
        <v>1371</v>
      </c>
      <c r="N84">
        <v>1013</v>
      </c>
      <c r="O84" t="s">
        <v>312</v>
      </c>
      <c r="P84" t="s">
        <v>312</v>
      </c>
      <c r="Q84">
        <v>1</v>
      </c>
      <c r="X84">
        <v>0</v>
      </c>
      <c r="Y84">
        <v>0</v>
      </c>
      <c r="Z84">
        <v>0</v>
      </c>
      <c r="AA84">
        <v>0</v>
      </c>
      <c r="AB84">
        <v>0</v>
      </c>
      <c r="AC84">
        <v>1</v>
      </c>
      <c r="AD84">
        <v>0</v>
      </c>
      <c r="AE84">
        <v>0</v>
      </c>
      <c r="AF84" t="s">
        <v>242</v>
      </c>
      <c r="AG84">
        <v>0</v>
      </c>
      <c r="AH84">
        <v>3</v>
      </c>
      <c r="AI84">
        <v>-1</v>
      </c>
      <c r="AJ84" t="s">
        <v>242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>
      <c r="A85">
        <f>ROW(Source!A38)</f>
        <v>38</v>
      </c>
      <c r="B85">
        <v>65099448</v>
      </c>
      <c r="C85">
        <v>65099438</v>
      </c>
      <c r="D85">
        <v>55688576</v>
      </c>
      <c r="E85">
        <v>70</v>
      </c>
      <c r="F85">
        <v>1</v>
      </c>
      <c r="G85">
        <v>1</v>
      </c>
      <c r="H85">
        <v>3</v>
      </c>
      <c r="I85" t="s">
        <v>606</v>
      </c>
      <c r="J85" t="s">
        <v>242</v>
      </c>
      <c r="K85" t="s">
        <v>607</v>
      </c>
      <c r="L85">
        <v>1346</v>
      </c>
      <c r="N85">
        <v>1009</v>
      </c>
      <c r="O85" t="s">
        <v>322</v>
      </c>
      <c r="P85" t="s">
        <v>322</v>
      </c>
      <c r="Q85">
        <v>1</v>
      </c>
      <c r="X85">
        <v>0</v>
      </c>
      <c r="Y85">
        <v>0</v>
      </c>
      <c r="Z85">
        <v>0</v>
      </c>
      <c r="AA85">
        <v>0</v>
      </c>
      <c r="AB85">
        <v>0</v>
      </c>
      <c r="AC85">
        <v>1</v>
      </c>
      <c r="AD85">
        <v>0</v>
      </c>
      <c r="AE85">
        <v>0</v>
      </c>
      <c r="AF85" t="s">
        <v>242</v>
      </c>
      <c r="AG85">
        <v>0</v>
      </c>
      <c r="AH85">
        <v>3</v>
      </c>
      <c r="AI85">
        <v>-1</v>
      </c>
      <c r="AJ85" t="s">
        <v>242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>
      <c r="A86">
        <f>ROW(Source!A38)</f>
        <v>38</v>
      </c>
      <c r="B86">
        <v>65099449</v>
      </c>
      <c r="C86">
        <v>65099438</v>
      </c>
      <c r="D86">
        <v>55688938</v>
      </c>
      <c r="E86">
        <v>70</v>
      </c>
      <c r="F86">
        <v>1</v>
      </c>
      <c r="G86">
        <v>1</v>
      </c>
      <c r="H86">
        <v>3</v>
      </c>
      <c r="I86" t="s">
        <v>608</v>
      </c>
      <c r="J86" t="s">
        <v>242</v>
      </c>
      <c r="K86" t="s">
        <v>609</v>
      </c>
      <c r="L86">
        <v>1301</v>
      </c>
      <c r="N86">
        <v>1003</v>
      </c>
      <c r="O86" t="s">
        <v>327</v>
      </c>
      <c r="P86" t="s">
        <v>327</v>
      </c>
      <c r="Q86">
        <v>1</v>
      </c>
      <c r="X86">
        <v>99.799999999999997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 t="s">
        <v>242</v>
      </c>
      <c r="AG86">
        <v>99.799999999999997</v>
      </c>
      <c r="AH86">
        <v>3</v>
      </c>
      <c r="AI86">
        <v>-1</v>
      </c>
      <c r="AJ86" t="s">
        <v>242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>
      <c r="A87">
        <f>ROW(Source!A38)</f>
        <v>38</v>
      </c>
      <c r="B87">
        <v>65099450</v>
      </c>
      <c r="C87">
        <v>65099438</v>
      </c>
      <c r="D87">
        <v>55689036</v>
      </c>
      <c r="E87">
        <v>70</v>
      </c>
      <c r="F87">
        <v>1</v>
      </c>
      <c r="G87">
        <v>1</v>
      </c>
      <c r="H87">
        <v>3</v>
      </c>
      <c r="I87" t="s">
        <v>201</v>
      </c>
      <c r="J87" t="s">
        <v>242</v>
      </c>
      <c r="K87" t="s">
        <v>330</v>
      </c>
      <c r="L87">
        <v>1371</v>
      </c>
      <c r="N87">
        <v>1013</v>
      </c>
      <c r="O87" t="s">
        <v>312</v>
      </c>
      <c r="P87" t="s">
        <v>312</v>
      </c>
      <c r="Q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1</v>
      </c>
      <c r="AD87">
        <v>0</v>
      </c>
      <c r="AE87">
        <v>0</v>
      </c>
      <c r="AF87" t="s">
        <v>242</v>
      </c>
      <c r="AG87">
        <v>0</v>
      </c>
      <c r="AH87">
        <v>2</v>
      </c>
      <c r="AI87">
        <v>65099450</v>
      </c>
      <c r="AJ87">
        <v>78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>
      <c r="A88">
        <f>ROW(Source!A42)</f>
        <v>42</v>
      </c>
      <c r="B88">
        <v>65099460</v>
      </c>
      <c r="C88">
        <v>65099459</v>
      </c>
      <c r="D88">
        <v>55684335</v>
      </c>
      <c r="E88">
        <v>70</v>
      </c>
      <c r="F88">
        <v>1</v>
      </c>
      <c r="G88">
        <v>1</v>
      </c>
      <c r="H88">
        <v>1</v>
      </c>
      <c r="I88" t="s">
        <v>566</v>
      </c>
      <c r="J88" t="s">
        <v>242</v>
      </c>
      <c r="K88" t="s">
        <v>567</v>
      </c>
      <c r="L88">
        <v>1191</v>
      </c>
      <c r="N88">
        <v>1013</v>
      </c>
      <c r="O88" t="s">
        <v>30</v>
      </c>
      <c r="P88" t="s">
        <v>30</v>
      </c>
      <c r="Q88">
        <v>1</v>
      </c>
      <c r="X88">
        <v>55.829999999999998</v>
      </c>
      <c r="Y88">
        <v>0</v>
      </c>
      <c r="Z88">
        <v>0</v>
      </c>
      <c r="AA88">
        <v>0</v>
      </c>
      <c r="AB88">
        <v>9.4000000000000004</v>
      </c>
      <c r="AC88">
        <v>0</v>
      </c>
      <c r="AD88">
        <v>1</v>
      </c>
      <c r="AE88">
        <v>1</v>
      </c>
      <c r="AF88" t="s">
        <v>242</v>
      </c>
      <c r="AG88">
        <v>55.829999999999998</v>
      </c>
      <c r="AH88">
        <v>2</v>
      </c>
      <c r="AI88">
        <v>65099460</v>
      </c>
      <c r="AJ88">
        <v>79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>
      <c r="A89">
        <f>ROW(Source!A42)</f>
        <v>42</v>
      </c>
      <c r="B89">
        <v>65099461</v>
      </c>
      <c r="C89">
        <v>65099459</v>
      </c>
      <c r="D89">
        <v>55684491</v>
      </c>
      <c r="E89">
        <v>70</v>
      </c>
      <c r="F89">
        <v>1</v>
      </c>
      <c r="G89">
        <v>1</v>
      </c>
      <c r="H89">
        <v>1</v>
      </c>
      <c r="I89" t="s">
        <v>485</v>
      </c>
      <c r="J89" t="s">
        <v>242</v>
      </c>
      <c r="K89" t="s">
        <v>486</v>
      </c>
      <c r="L89">
        <v>1191</v>
      </c>
      <c r="N89">
        <v>1013</v>
      </c>
      <c r="O89" t="s">
        <v>30</v>
      </c>
      <c r="P89" t="s">
        <v>30</v>
      </c>
      <c r="Q89">
        <v>1</v>
      </c>
      <c r="X89">
        <v>0.46000000000000002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2</v>
      </c>
      <c r="AF89" t="s">
        <v>242</v>
      </c>
      <c r="AG89">
        <v>0.46000000000000002</v>
      </c>
      <c r="AH89">
        <v>2</v>
      </c>
      <c r="AI89">
        <v>65099461</v>
      </c>
      <c r="AJ89">
        <v>80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>
      <c r="A90">
        <f>ROW(Source!A42)</f>
        <v>42</v>
      </c>
      <c r="B90">
        <v>65099462</v>
      </c>
      <c r="C90">
        <v>65099459</v>
      </c>
      <c r="D90">
        <v>55846101</v>
      </c>
      <c r="E90">
        <v>1</v>
      </c>
      <c r="F90">
        <v>1</v>
      </c>
      <c r="G90">
        <v>1</v>
      </c>
      <c r="H90">
        <v>2</v>
      </c>
      <c r="I90" t="s">
        <v>568</v>
      </c>
      <c r="J90" t="s">
        <v>569</v>
      </c>
      <c r="K90" t="s">
        <v>570</v>
      </c>
      <c r="L90">
        <v>1367</v>
      </c>
      <c r="N90">
        <v>1011</v>
      </c>
      <c r="O90" t="s">
        <v>490</v>
      </c>
      <c r="P90" t="s">
        <v>490</v>
      </c>
      <c r="Q90">
        <v>1</v>
      </c>
      <c r="X90">
        <v>0.10000000000000001</v>
      </c>
      <c r="Y90">
        <v>0</v>
      </c>
      <c r="Z90">
        <v>86.400000000000006</v>
      </c>
      <c r="AA90">
        <v>13.5</v>
      </c>
      <c r="AB90">
        <v>0</v>
      </c>
      <c r="AC90">
        <v>0</v>
      </c>
      <c r="AD90">
        <v>1</v>
      </c>
      <c r="AE90">
        <v>0</v>
      </c>
      <c r="AF90" t="s">
        <v>242</v>
      </c>
      <c r="AG90">
        <v>0.10000000000000001</v>
      </c>
      <c r="AH90">
        <v>2</v>
      </c>
      <c r="AI90">
        <v>65099462</v>
      </c>
      <c r="AJ90">
        <v>81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>
      <c r="A91">
        <f>ROW(Source!A42)</f>
        <v>42</v>
      </c>
      <c r="B91">
        <v>65099463</v>
      </c>
      <c r="C91">
        <v>65099459</v>
      </c>
      <c r="D91">
        <v>55846159</v>
      </c>
      <c r="E91">
        <v>1</v>
      </c>
      <c r="F91">
        <v>1</v>
      </c>
      <c r="G91">
        <v>1</v>
      </c>
      <c r="H91">
        <v>2</v>
      </c>
      <c r="I91" t="s">
        <v>571</v>
      </c>
      <c r="J91" t="s">
        <v>572</v>
      </c>
      <c r="K91" t="s">
        <v>573</v>
      </c>
      <c r="L91">
        <v>1367</v>
      </c>
      <c r="N91">
        <v>1011</v>
      </c>
      <c r="O91" t="s">
        <v>490</v>
      </c>
      <c r="P91" t="s">
        <v>490</v>
      </c>
      <c r="Q91">
        <v>1</v>
      </c>
      <c r="X91">
        <v>0.17999999999999999</v>
      </c>
      <c r="Y91">
        <v>0</v>
      </c>
      <c r="Z91">
        <v>115.40000000000001</v>
      </c>
      <c r="AA91">
        <v>13.5</v>
      </c>
      <c r="AB91">
        <v>0</v>
      </c>
      <c r="AC91">
        <v>0</v>
      </c>
      <c r="AD91">
        <v>1</v>
      </c>
      <c r="AE91">
        <v>0</v>
      </c>
      <c r="AF91" t="s">
        <v>242</v>
      </c>
      <c r="AG91">
        <v>0.17999999999999999</v>
      </c>
      <c r="AH91">
        <v>2</v>
      </c>
      <c r="AI91">
        <v>65099463</v>
      </c>
      <c r="AJ91">
        <v>82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>
      <c r="A92">
        <f>ROW(Source!A42)</f>
        <v>42</v>
      </c>
      <c r="B92">
        <v>65099464</v>
      </c>
      <c r="C92">
        <v>65099459</v>
      </c>
      <c r="D92">
        <v>55847089</v>
      </c>
      <c r="E92">
        <v>1</v>
      </c>
      <c r="F92">
        <v>1</v>
      </c>
      <c r="G92">
        <v>1</v>
      </c>
      <c r="H92">
        <v>2</v>
      </c>
      <c r="I92" t="s">
        <v>494</v>
      </c>
      <c r="J92" t="s">
        <v>495</v>
      </c>
      <c r="K92" t="s">
        <v>496</v>
      </c>
      <c r="L92">
        <v>1367</v>
      </c>
      <c r="N92">
        <v>1011</v>
      </c>
      <c r="O92" t="s">
        <v>490</v>
      </c>
      <c r="P92" t="s">
        <v>490</v>
      </c>
      <c r="Q92">
        <v>1</v>
      </c>
      <c r="X92">
        <v>0.17999999999999999</v>
      </c>
      <c r="Y92">
        <v>0</v>
      </c>
      <c r="Z92">
        <v>65.709999999999994</v>
      </c>
      <c r="AA92">
        <v>11.6</v>
      </c>
      <c r="AB92">
        <v>0</v>
      </c>
      <c r="AC92">
        <v>0</v>
      </c>
      <c r="AD92">
        <v>1</v>
      </c>
      <c r="AE92">
        <v>0</v>
      </c>
      <c r="AF92" t="s">
        <v>242</v>
      </c>
      <c r="AG92">
        <v>0.17999999999999999</v>
      </c>
      <c r="AH92">
        <v>2</v>
      </c>
      <c r="AI92">
        <v>65099464</v>
      </c>
      <c r="AJ92">
        <v>83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>
      <c r="A93">
        <f>ROW(Source!A42)</f>
        <v>42</v>
      </c>
      <c r="B93">
        <v>65099465</v>
      </c>
      <c r="C93">
        <v>65099459</v>
      </c>
      <c r="D93">
        <v>55696789</v>
      </c>
      <c r="E93">
        <v>1</v>
      </c>
      <c r="F93">
        <v>1</v>
      </c>
      <c r="G93">
        <v>1</v>
      </c>
      <c r="H93">
        <v>3</v>
      </c>
      <c r="I93" t="s">
        <v>574</v>
      </c>
      <c r="J93" t="s">
        <v>575</v>
      </c>
      <c r="K93" t="s">
        <v>576</v>
      </c>
      <c r="L93">
        <v>1339</v>
      </c>
      <c r="N93">
        <v>1007</v>
      </c>
      <c r="O93" t="s">
        <v>516</v>
      </c>
      <c r="P93" t="s">
        <v>516</v>
      </c>
      <c r="Q93">
        <v>1</v>
      </c>
      <c r="X93">
        <v>0.78600000000000003</v>
      </c>
      <c r="Y93">
        <v>2.4399999999999999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242</v>
      </c>
      <c r="AG93">
        <v>0.78600000000000003</v>
      </c>
      <c r="AH93">
        <v>2</v>
      </c>
      <c r="AI93">
        <v>65099465</v>
      </c>
      <c r="AJ93">
        <v>84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>
      <c r="A94">
        <f>ROW(Source!A42)</f>
        <v>42</v>
      </c>
      <c r="B94">
        <v>65099466</v>
      </c>
      <c r="C94">
        <v>65099459</v>
      </c>
      <c r="D94">
        <v>55699057</v>
      </c>
      <c r="E94">
        <v>1</v>
      </c>
      <c r="F94">
        <v>1</v>
      </c>
      <c r="G94">
        <v>1</v>
      </c>
      <c r="H94">
        <v>3</v>
      </c>
      <c r="I94" t="s">
        <v>577</v>
      </c>
      <c r="J94" t="s">
        <v>578</v>
      </c>
      <c r="K94" t="s">
        <v>579</v>
      </c>
      <c r="L94">
        <v>1348</v>
      </c>
      <c r="N94">
        <v>1009</v>
      </c>
      <c r="O94" t="s">
        <v>500</v>
      </c>
      <c r="P94" t="s">
        <v>500</v>
      </c>
      <c r="Q94">
        <v>1000</v>
      </c>
      <c r="X94">
        <v>0.00266</v>
      </c>
      <c r="Y94">
        <v>14830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242</v>
      </c>
      <c r="AG94">
        <v>0.00266</v>
      </c>
      <c r="AH94">
        <v>2</v>
      </c>
      <c r="AI94">
        <v>65099466</v>
      </c>
      <c r="AJ94">
        <v>85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>
      <c r="A95">
        <f>ROW(Source!A42)</f>
        <v>42</v>
      </c>
      <c r="B95">
        <v>65099467</v>
      </c>
      <c r="C95">
        <v>65099459</v>
      </c>
      <c r="D95">
        <v>55700035</v>
      </c>
      <c r="E95">
        <v>1</v>
      </c>
      <c r="F95">
        <v>1</v>
      </c>
      <c r="G95">
        <v>1</v>
      </c>
      <c r="H95">
        <v>3</v>
      </c>
      <c r="I95" t="s">
        <v>583</v>
      </c>
      <c r="J95" t="s">
        <v>584</v>
      </c>
      <c r="K95" t="s">
        <v>585</v>
      </c>
      <c r="L95">
        <v>1425</v>
      </c>
      <c r="N95">
        <v>1013</v>
      </c>
      <c r="O95" t="s">
        <v>255</v>
      </c>
      <c r="P95" t="s">
        <v>255</v>
      </c>
      <c r="Q95">
        <v>1</v>
      </c>
      <c r="X95">
        <v>0.12</v>
      </c>
      <c r="Y95">
        <v>141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242</v>
      </c>
      <c r="AG95">
        <v>0.12</v>
      </c>
      <c r="AH95">
        <v>2</v>
      </c>
      <c r="AI95">
        <v>65099467</v>
      </c>
      <c r="AJ95">
        <v>86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>
      <c r="A96">
        <f>ROW(Source!A42)</f>
        <v>42</v>
      </c>
      <c r="B96">
        <v>65099468</v>
      </c>
      <c r="C96">
        <v>65099459</v>
      </c>
      <c r="D96">
        <v>55687843</v>
      </c>
      <c r="E96">
        <v>70</v>
      </c>
      <c r="F96">
        <v>1</v>
      </c>
      <c r="G96">
        <v>1</v>
      </c>
      <c r="H96">
        <v>3</v>
      </c>
      <c r="I96" t="s">
        <v>604</v>
      </c>
      <c r="J96" t="s">
        <v>242</v>
      </c>
      <c r="K96" t="s">
        <v>605</v>
      </c>
      <c r="L96">
        <v>1371</v>
      </c>
      <c r="N96">
        <v>1013</v>
      </c>
      <c r="O96" t="s">
        <v>312</v>
      </c>
      <c r="P96" t="s">
        <v>312</v>
      </c>
      <c r="Q96">
        <v>1</v>
      </c>
      <c r="X96">
        <v>0</v>
      </c>
      <c r="Y96">
        <v>0</v>
      </c>
      <c r="Z96">
        <v>0</v>
      </c>
      <c r="AA96">
        <v>0</v>
      </c>
      <c r="AB96">
        <v>0</v>
      </c>
      <c r="AC96">
        <v>1</v>
      </c>
      <c r="AD96">
        <v>0</v>
      </c>
      <c r="AE96">
        <v>0</v>
      </c>
      <c r="AF96" t="s">
        <v>242</v>
      </c>
      <c r="AG96">
        <v>0</v>
      </c>
      <c r="AH96">
        <v>3</v>
      </c>
      <c r="AI96">
        <v>-1</v>
      </c>
      <c r="AJ96" t="s">
        <v>242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>
      <c r="A97">
        <f>ROW(Source!A42)</f>
        <v>42</v>
      </c>
      <c r="B97">
        <v>65099469</v>
      </c>
      <c r="C97">
        <v>65099459</v>
      </c>
      <c r="D97">
        <v>55688576</v>
      </c>
      <c r="E97">
        <v>70</v>
      </c>
      <c r="F97">
        <v>1</v>
      </c>
      <c r="G97">
        <v>1</v>
      </c>
      <c r="H97">
        <v>3</v>
      </c>
      <c r="I97" t="s">
        <v>606</v>
      </c>
      <c r="J97" t="s">
        <v>242</v>
      </c>
      <c r="K97" t="s">
        <v>607</v>
      </c>
      <c r="L97">
        <v>1346</v>
      </c>
      <c r="N97">
        <v>1009</v>
      </c>
      <c r="O97" t="s">
        <v>322</v>
      </c>
      <c r="P97" t="s">
        <v>322</v>
      </c>
      <c r="Q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1</v>
      </c>
      <c r="AD97">
        <v>0</v>
      </c>
      <c r="AE97">
        <v>0</v>
      </c>
      <c r="AF97" t="s">
        <v>242</v>
      </c>
      <c r="AG97">
        <v>0</v>
      </c>
      <c r="AH97">
        <v>3</v>
      </c>
      <c r="AI97">
        <v>-1</v>
      </c>
      <c r="AJ97" t="s">
        <v>242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>
      <c r="A98">
        <f>ROW(Source!A42)</f>
        <v>42</v>
      </c>
      <c r="B98">
        <v>65099470</v>
      </c>
      <c r="C98">
        <v>65099459</v>
      </c>
      <c r="D98">
        <v>55688938</v>
      </c>
      <c r="E98">
        <v>70</v>
      </c>
      <c r="F98">
        <v>1</v>
      </c>
      <c r="G98">
        <v>1</v>
      </c>
      <c r="H98">
        <v>3</v>
      </c>
      <c r="I98" t="s">
        <v>608</v>
      </c>
      <c r="J98" t="s">
        <v>242</v>
      </c>
      <c r="K98" t="s">
        <v>609</v>
      </c>
      <c r="L98">
        <v>1301</v>
      </c>
      <c r="N98">
        <v>1003</v>
      </c>
      <c r="O98" t="s">
        <v>327</v>
      </c>
      <c r="P98" t="s">
        <v>327</v>
      </c>
      <c r="Q98">
        <v>1</v>
      </c>
      <c r="X98">
        <v>99.799999999999997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 t="s">
        <v>242</v>
      </c>
      <c r="AG98">
        <v>99.799999999999997</v>
      </c>
      <c r="AH98">
        <v>3</v>
      </c>
      <c r="AI98">
        <v>-1</v>
      </c>
      <c r="AJ98" t="s">
        <v>242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>
      <c r="A99">
        <f>ROW(Source!A42)</f>
        <v>42</v>
      </c>
      <c r="B99">
        <v>65099471</v>
      </c>
      <c r="C99">
        <v>65099459</v>
      </c>
      <c r="D99">
        <v>55689036</v>
      </c>
      <c r="E99">
        <v>70</v>
      </c>
      <c r="F99">
        <v>1</v>
      </c>
      <c r="G99">
        <v>1</v>
      </c>
      <c r="H99">
        <v>3</v>
      </c>
      <c r="I99" t="s">
        <v>201</v>
      </c>
      <c r="J99" t="s">
        <v>242</v>
      </c>
      <c r="K99" t="s">
        <v>330</v>
      </c>
      <c r="L99">
        <v>1371</v>
      </c>
      <c r="N99">
        <v>1013</v>
      </c>
      <c r="O99" t="s">
        <v>312</v>
      </c>
      <c r="P99" t="s">
        <v>312</v>
      </c>
      <c r="Q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1</v>
      </c>
      <c r="AD99">
        <v>0</v>
      </c>
      <c r="AE99">
        <v>0</v>
      </c>
      <c r="AF99" t="s">
        <v>242</v>
      </c>
      <c r="AG99">
        <v>0</v>
      </c>
      <c r="AH99">
        <v>2</v>
      </c>
      <c r="AI99">
        <v>65099471</v>
      </c>
      <c r="AJ99">
        <v>89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>
      <c r="A100">
        <f>ROW(Source!A46)</f>
        <v>46</v>
      </c>
      <c r="B100">
        <v>65099481</v>
      </c>
      <c r="C100">
        <v>65099480</v>
      </c>
      <c r="D100">
        <v>55684335</v>
      </c>
      <c r="E100">
        <v>70</v>
      </c>
      <c r="F100">
        <v>1</v>
      </c>
      <c r="G100">
        <v>1</v>
      </c>
      <c r="H100">
        <v>1</v>
      </c>
      <c r="I100" t="s">
        <v>566</v>
      </c>
      <c r="J100" t="s">
        <v>242</v>
      </c>
      <c r="K100" t="s">
        <v>567</v>
      </c>
      <c r="L100">
        <v>1191</v>
      </c>
      <c r="N100">
        <v>1013</v>
      </c>
      <c r="O100" t="s">
        <v>30</v>
      </c>
      <c r="P100" t="s">
        <v>30</v>
      </c>
      <c r="Q100">
        <v>1</v>
      </c>
      <c r="X100">
        <v>13.18</v>
      </c>
      <c r="Y100">
        <v>0</v>
      </c>
      <c r="Z100">
        <v>0</v>
      </c>
      <c r="AA100">
        <v>0</v>
      </c>
      <c r="AB100">
        <v>9.4000000000000004</v>
      </c>
      <c r="AC100">
        <v>0</v>
      </c>
      <c r="AD100">
        <v>1</v>
      </c>
      <c r="AE100">
        <v>1</v>
      </c>
      <c r="AF100" t="s">
        <v>242</v>
      </c>
      <c r="AG100">
        <v>13.18</v>
      </c>
      <c r="AH100">
        <v>2</v>
      </c>
      <c r="AI100">
        <v>65099481</v>
      </c>
      <c r="AJ100">
        <v>90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>
      <c r="A101">
        <f>ROW(Source!A46)</f>
        <v>46</v>
      </c>
      <c r="B101">
        <v>65099482</v>
      </c>
      <c r="C101">
        <v>65099480</v>
      </c>
      <c r="D101">
        <v>55684491</v>
      </c>
      <c r="E101">
        <v>70</v>
      </c>
      <c r="F101">
        <v>1</v>
      </c>
      <c r="G101">
        <v>1</v>
      </c>
      <c r="H101">
        <v>1</v>
      </c>
      <c r="I101" t="s">
        <v>485</v>
      </c>
      <c r="J101" t="s">
        <v>242</v>
      </c>
      <c r="K101" t="s">
        <v>486</v>
      </c>
      <c r="L101">
        <v>1191</v>
      </c>
      <c r="N101">
        <v>1013</v>
      </c>
      <c r="O101" t="s">
        <v>30</v>
      </c>
      <c r="P101" t="s">
        <v>30</v>
      </c>
      <c r="Q101">
        <v>1</v>
      </c>
      <c r="X101">
        <v>0.040000000000000001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2</v>
      </c>
      <c r="AF101" t="s">
        <v>242</v>
      </c>
      <c r="AG101">
        <v>0.040000000000000001</v>
      </c>
      <c r="AH101">
        <v>2</v>
      </c>
      <c r="AI101">
        <v>65099482</v>
      </c>
      <c r="AJ101">
        <v>91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>
      <c r="A102">
        <f>ROW(Source!A46)</f>
        <v>46</v>
      </c>
      <c r="B102">
        <v>65099483</v>
      </c>
      <c r="C102">
        <v>65099480</v>
      </c>
      <c r="D102">
        <v>55846101</v>
      </c>
      <c r="E102">
        <v>1</v>
      </c>
      <c r="F102">
        <v>1</v>
      </c>
      <c r="G102">
        <v>1</v>
      </c>
      <c r="H102">
        <v>2</v>
      </c>
      <c r="I102" t="s">
        <v>568</v>
      </c>
      <c r="J102" t="s">
        <v>569</v>
      </c>
      <c r="K102" t="s">
        <v>570</v>
      </c>
      <c r="L102">
        <v>1367</v>
      </c>
      <c r="N102">
        <v>1011</v>
      </c>
      <c r="O102" t="s">
        <v>490</v>
      </c>
      <c r="P102" t="s">
        <v>490</v>
      </c>
      <c r="Q102">
        <v>1</v>
      </c>
      <c r="X102">
        <v>0.01</v>
      </c>
      <c r="Y102">
        <v>0</v>
      </c>
      <c r="Z102">
        <v>86.400000000000006</v>
      </c>
      <c r="AA102">
        <v>13.5</v>
      </c>
      <c r="AB102">
        <v>0</v>
      </c>
      <c r="AC102">
        <v>0</v>
      </c>
      <c r="AD102">
        <v>1</v>
      </c>
      <c r="AE102">
        <v>0</v>
      </c>
      <c r="AF102" t="s">
        <v>242</v>
      </c>
      <c r="AG102">
        <v>0.01</v>
      </c>
      <c r="AH102">
        <v>2</v>
      </c>
      <c r="AI102">
        <v>65099483</v>
      </c>
      <c r="AJ102">
        <v>92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>
      <c r="A103">
        <f>ROW(Source!A46)</f>
        <v>46</v>
      </c>
      <c r="B103">
        <v>65099484</v>
      </c>
      <c r="C103">
        <v>65099480</v>
      </c>
      <c r="D103">
        <v>55846894</v>
      </c>
      <c r="E103">
        <v>1</v>
      </c>
      <c r="F103">
        <v>1</v>
      </c>
      <c r="G103">
        <v>1</v>
      </c>
      <c r="H103">
        <v>2</v>
      </c>
      <c r="I103" t="s">
        <v>586</v>
      </c>
      <c r="J103" t="s">
        <v>587</v>
      </c>
      <c r="K103" t="s">
        <v>588</v>
      </c>
      <c r="L103">
        <v>1367</v>
      </c>
      <c r="N103">
        <v>1011</v>
      </c>
      <c r="O103" t="s">
        <v>490</v>
      </c>
      <c r="P103" t="s">
        <v>490</v>
      </c>
      <c r="Q103">
        <v>1</v>
      </c>
      <c r="X103">
        <v>1.27</v>
      </c>
      <c r="Y103">
        <v>0</v>
      </c>
      <c r="Z103">
        <v>29.670000000000002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242</v>
      </c>
      <c r="AG103">
        <v>1.27</v>
      </c>
      <c r="AH103">
        <v>2</v>
      </c>
      <c r="AI103">
        <v>65099484</v>
      </c>
      <c r="AJ103">
        <v>93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>
      <c r="A104">
        <f>ROW(Source!A46)</f>
        <v>46</v>
      </c>
      <c r="B104">
        <v>65099485</v>
      </c>
      <c r="C104">
        <v>65099480</v>
      </c>
      <c r="D104">
        <v>55847089</v>
      </c>
      <c r="E104">
        <v>1</v>
      </c>
      <c r="F104">
        <v>1</v>
      </c>
      <c r="G104">
        <v>1</v>
      </c>
      <c r="H104">
        <v>2</v>
      </c>
      <c r="I104" t="s">
        <v>494</v>
      </c>
      <c r="J104" t="s">
        <v>495</v>
      </c>
      <c r="K104" t="s">
        <v>496</v>
      </c>
      <c r="L104">
        <v>1367</v>
      </c>
      <c r="N104">
        <v>1011</v>
      </c>
      <c r="O104" t="s">
        <v>490</v>
      </c>
      <c r="P104" t="s">
        <v>490</v>
      </c>
      <c r="Q104">
        <v>1</v>
      </c>
      <c r="X104">
        <v>0.029999999999999999</v>
      </c>
      <c r="Y104">
        <v>0</v>
      </c>
      <c r="Z104">
        <v>65.709999999999994</v>
      </c>
      <c r="AA104">
        <v>11.6</v>
      </c>
      <c r="AB104">
        <v>0</v>
      </c>
      <c r="AC104">
        <v>0</v>
      </c>
      <c r="AD104">
        <v>1</v>
      </c>
      <c r="AE104">
        <v>0</v>
      </c>
      <c r="AF104" t="s">
        <v>242</v>
      </c>
      <c r="AG104">
        <v>0.029999999999999999</v>
      </c>
      <c r="AH104">
        <v>2</v>
      </c>
      <c r="AI104">
        <v>65099485</v>
      </c>
      <c r="AJ104">
        <v>94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>
      <c r="A105">
        <f>ROW(Source!A46)</f>
        <v>46</v>
      </c>
      <c r="B105">
        <v>65099486</v>
      </c>
      <c r="C105">
        <v>65099480</v>
      </c>
      <c r="D105">
        <v>55696789</v>
      </c>
      <c r="E105">
        <v>1</v>
      </c>
      <c r="F105">
        <v>1</v>
      </c>
      <c r="G105">
        <v>1</v>
      </c>
      <c r="H105">
        <v>3</v>
      </c>
      <c r="I105" t="s">
        <v>574</v>
      </c>
      <c r="J105" t="s">
        <v>575</v>
      </c>
      <c r="K105" t="s">
        <v>576</v>
      </c>
      <c r="L105">
        <v>1339</v>
      </c>
      <c r="N105">
        <v>1007</v>
      </c>
      <c r="O105" t="s">
        <v>516</v>
      </c>
      <c r="P105" t="s">
        <v>516</v>
      </c>
      <c r="Q105">
        <v>1</v>
      </c>
      <c r="X105">
        <v>0.45779999999999998</v>
      </c>
      <c r="Y105">
        <v>2.4399999999999999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242</v>
      </c>
      <c r="AG105">
        <v>0.45779999999999998</v>
      </c>
      <c r="AH105">
        <v>2</v>
      </c>
      <c r="AI105">
        <v>65099486</v>
      </c>
      <c r="AJ105">
        <v>95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>
      <c r="A106">
        <f>ROW(Source!A46)</f>
        <v>46</v>
      </c>
      <c r="B106">
        <v>65099487</v>
      </c>
      <c r="C106">
        <v>65099480</v>
      </c>
      <c r="D106">
        <v>55699211</v>
      </c>
      <c r="E106">
        <v>1</v>
      </c>
      <c r="F106">
        <v>1</v>
      </c>
      <c r="G106">
        <v>1</v>
      </c>
      <c r="H106">
        <v>3</v>
      </c>
      <c r="I106" t="s">
        <v>589</v>
      </c>
      <c r="J106" t="s">
        <v>590</v>
      </c>
      <c r="K106" t="s">
        <v>591</v>
      </c>
      <c r="L106">
        <v>1407</v>
      </c>
      <c r="N106">
        <v>1013</v>
      </c>
      <c r="O106" t="s">
        <v>533</v>
      </c>
      <c r="P106" t="s">
        <v>533</v>
      </c>
      <c r="Q106">
        <v>1</v>
      </c>
      <c r="X106">
        <v>0.14299999999999999</v>
      </c>
      <c r="Y106">
        <v>270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242</v>
      </c>
      <c r="AG106">
        <v>0.14299999999999999</v>
      </c>
      <c r="AH106">
        <v>2</v>
      </c>
      <c r="AI106">
        <v>65099487</v>
      </c>
      <c r="AJ106">
        <v>96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>
      <c r="A107">
        <f>ROW(Source!A46)</f>
        <v>46</v>
      </c>
      <c r="B107">
        <v>65099488</v>
      </c>
      <c r="C107">
        <v>65099480</v>
      </c>
      <c r="D107">
        <v>55699411</v>
      </c>
      <c r="E107">
        <v>1</v>
      </c>
      <c r="F107">
        <v>1</v>
      </c>
      <c r="G107">
        <v>1</v>
      </c>
      <c r="H107">
        <v>3</v>
      </c>
      <c r="I107" t="s">
        <v>592</v>
      </c>
      <c r="J107" t="s">
        <v>593</v>
      </c>
      <c r="K107" t="s">
        <v>594</v>
      </c>
      <c r="L107">
        <v>1348</v>
      </c>
      <c r="N107">
        <v>1009</v>
      </c>
      <c r="O107" t="s">
        <v>500</v>
      </c>
      <c r="P107" t="s">
        <v>500</v>
      </c>
      <c r="Q107">
        <v>1000</v>
      </c>
      <c r="X107">
        <v>0.0027200000000000002</v>
      </c>
      <c r="Y107">
        <v>13889.450000000001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242</v>
      </c>
      <c r="AG107">
        <v>0.0027200000000000002</v>
      </c>
      <c r="AH107">
        <v>2</v>
      </c>
      <c r="AI107">
        <v>65099488</v>
      </c>
      <c r="AJ107">
        <v>97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>
      <c r="A108">
        <f>ROW(Source!A46)</f>
        <v>46</v>
      </c>
      <c r="B108">
        <v>65099489</v>
      </c>
      <c r="C108">
        <v>65099480</v>
      </c>
      <c r="D108">
        <v>55684980</v>
      </c>
      <c r="E108">
        <v>70</v>
      </c>
      <c r="F108">
        <v>1</v>
      </c>
      <c r="G108">
        <v>1</v>
      </c>
      <c r="H108">
        <v>3</v>
      </c>
      <c r="I108" t="s">
        <v>610</v>
      </c>
      <c r="J108" t="s">
        <v>242</v>
      </c>
      <c r="K108" t="s">
        <v>611</v>
      </c>
      <c r="L108">
        <v>1371</v>
      </c>
      <c r="N108">
        <v>1013</v>
      </c>
      <c r="O108" t="s">
        <v>312</v>
      </c>
      <c r="P108" t="s">
        <v>312</v>
      </c>
      <c r="Q108">
        <v>1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1</v>
      </c>
      <c r="AD108">
        <v>0</v>
      </c>
      <c r="AE108">
        <v>0</v>
      </c>
      <c r="AF108" t="s">
        <v>242</v>
      </c>
      <c r="AG108">
        <v>0</v>
      </c>
      <c r="AH108">
        <v>3</v>
      </c>
      <c r="AI108">
        <v>-1</v>
      </c>
      <c r="AJ108" t="s">
        <v>242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>
      <c r="A109">
        <f>ROW(Source!A46)</f>
        <v>46</v>
      </c>
      <c r="B109">
        <v>65099490</v>
      </c>
      <c r="C109">
        <v>65099480</v>
      </c>
      <c r="D109">
        <v>55687885</v>
      </c>
      <c r="E109">
        <v>70</v>
      </c>
      <c r="F109">
        <v>1</v>
      </c>
      <c r="G109">
        <v>1</v>
      </c>
      <c r="H109">
        <v>3</v>
      </c>
      <c r="I109" t="s">
        <v>612</v>
      </c>
      <c r="J109" t="s">
        <v>242</v>
      </c>
      <c r="K109" t="s">
        <v>613</v>
      </c>
      <c r="L109">
        <v>1371</v>
      </c>
      <c r="N109">
        <v>1013</v>
      </c>
      <c r="O109" t="s">
        <v>312</v>
      </c>
      <c r="P109" t="s">
        <v>312</v>
      </c>
      <c r="Q109">
        <v>1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1</v>
      </c>
      <c r="AD109">
        <v>0</v>
      </c>
      <c r="AE109">
        <v>0</v>
      </c>
      <c r="AF109" t="s">
        <v>242</v>
      </c>
      <c r="AG109">
        <v>0</v>
      </c>
      <c r="AH109">
        <v>3</v>
      </c>
      <c r="AI109">
        <v>-1</v>
      </c>
      <c r="AJ109" t="s">
        <v>242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>
      <c r="A110">
        <f>ROW(Source!A46)</f>
        <v>46</v>
      </c>
      <c r="B110">
        <v>65099491</v>
      </c>
      <c r="C110">
        <v>65099480</v>
      </c>
      <c r="D110">
        <v>55688856</v>
      </c>
      <c r="E110">
        <v>70</v>
      </c>
      <c r="F110">
        <v>1</v>
      </c>
      <c r="G110">
        <v>1</v>
      </c>
      <c r="H110">
        <v>3</v>
      </c>
      <c r="I110" t="s">
        <v>614</v>
      </c>
      <c r="J110" t="s">
        <v>242</v>
      </c>
      <c r="K110" t="s">
        <v>615</v>
      </c>
      <c r="L110">
        <v>1455</v>
      </c>
      <c r="N110">
        <v>1013</v>
      </c>
      <c r="O110" t="s">
        <v>616</v>
      </c>
      <c r="P110" t="s">
        <v>616</v>
      </c>
      <c r="Q110">
        <v>1</v>
      </c>
      <c r="X110">
        <v>14.300000000000001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 t="s">
        <v>242</v>
      </c>
      <c r="AG110">
        <v>14.300000000000001</v>
      </c>
      <c r="AH110">
        <v>3</v>
      </c>
      <c r="AI110">
        <v>-1</v>
      </c>
      <c r="AJ110" t="s">
        <v>242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>
      <c r="A111">
        <f>ROW(Source!A46)</f>
        <v>46</v>
      </c>
      <c r="B111">
        <v>65099492</v>
      </c>
      <c r="C111">
        <v>65099480</v>
      </c>
      <c r="D111">
        <v>55688941</v>
      </c>
      <c r="E111">
        <v>70</v>
      </c>
      <c r="F111">
        <v>1</v>
      </c>
      <c r="G111">
        <v>1</v>
      </c>
      <c r="H111">
        <v>3</v>
      </c>
      <c r="I111" t="s">
        <v>617</v>
      </c>
      <c r="J111" t="s">
        <v>242</v>
      </c>
      <c r="K111" t="s">
        <v>618</v>
      </c>
      <c r="L111">
        <v>1301</v>
      </c>
      <c r="N111">
        <v>1003</v>
      </c>
      <c r="O111" t="s">
        <v>327</v>
      </c>
      <c r="P111" t="s">
        <v>327</v>
      </c>
      <c r="Q111">
        <v>1</v>
      </c>
      <c r="X111">
        <v>102.5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 t="s">
        <v>242</v>
      </c>
      <c r="AG111">
        <v>102.5</v>
      </c>
      <c r="AH111">
        <v>3</v>
      </c>
      <c r="AI111">
        <v>-1</v>
      </c>
      <c r="AJ111" t="s">
        <v>242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>
      <c r="A112">
        <f>ROW(Source!A46)</f>
        <v>46</v>
      </c>
      <c r="B112">
        <v>65099493</v>
      </c>
      <c r="C112">
        <v>65099480</v>
      </c>
      <c r="D112">
        <v>55689033</v>
      </c>
      <c r="E112">
        <v>70</v>
      </c>
      <c r="F112">
        <v>1</v>
      </c>
      <c r="G112">
        <v>1</v>
      </c>
      <c r="H112">
        <v>3</v>
      </c>
      <c r="I112" t="s">
        <v>201</v>
      </c>
      <c r="J112" t="s">
        <v>242</v>
      </c>
      <c r="K112" t="s">
        <v>357</v>
      </c>
      <c r="L112">
        <v>1371</v>
      </c>
      <c r="N112">
        <v>1013</v>
      </c>
      <c r="O112" t="s">
        <v>312</v>
      </c>
      <c r="P112" t="s">
        <v>312</v>
      </c>
      <c r="Q112">
        <v>1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1</v>
      </c>
      <c r="AD112">
        <v>0</v>
      </c>
      <c r="AE112">
        <v>0</v>
      </c>
      <c r="AF112" t="s">
        <v>242</v>
      </c>
      <c r="AG112">
        <v>0</v>
      </c>
      <c r="AH112">
        <v>2</v>
      </c>
      <c r="AI112">
        <v>65099493</v>
      </c>
      <c r="AJ112">
        <v>101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>
      <c r="A113">
        <f>ROW(Source!A51)</f>
        <v>51</v>
      </c>
      <c r="B113">
        <v>65099506</v>
      </c>
      <c r="C113">
        <v>65099505</v>
      </c>
      <c r="D113">
        <v>55684359</v>
      </c>
      <c r="E113">
        <v>70</v>
      </c>
      <c r="F113">
        <v>1</v>
      </c>
      <c r="G113">
        <v>1</v>
      </c>
      <c r="H113">
        <v>1</v>
      </c>
      <c r="I113" t="s">
        <v>595</v>
      </c>
      <c r="J113" t="s">
        <v>242</v>
      </c>
      <c r="K113" t="s">
        <v>596</v>
      </c>
      <c r="L113">
        <v>1191</v>
      </c>
      <c r="N113">
        <v>1013</v>
      </c>
      <c r="O113" t="s">
        <v>30</v>
      </c>
      <c r="P113" t="s">
        <v>30</v>
      </c>
      <c r="Q113">
        <v>1</v>
      </c>
      <c r="X113">
        <v>2.3399999999999999</v>
      </c>
      <c r="Y113">
        <v>0</v>
      </c>
      <c r="Z113">
        <v>0</v>
      </c>
      <c r="AA113">
        <v>0</v>
      </c>
      <c r="AB113">
        <v>10.210000000000001</v>
      </c>
      <c r="AC113">
        <v>0</v>
      </c>
      <c r="AD113">
        <v>1</v>
      </c>
      <c r="AE113">
        <v>1</v>
      </c>
      <c r="AF113" t="s">
        <v>242</v>
      </c>
      <c r="AG113">
        <v>2.3399999999999999</v>
      </c>
      <c r="AH113">
        <v>2</v>
      </c>
      <c r="AI113">
        <v>65099506</v>
      </c>
      <c r="AJ113">
        <v>102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</sheetData>
  <printOptions headings="0" gridLines="1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ColWidth="9.140625" defaultRowHeight="12.75"/>
  <cols>
    <col customWidth="1" min="1" max="256" width="9.140625"/>
  </cols>
  <sheetData>
    <row r="1">
      <c r="A1">
        <v>26</v>
      </c>
      <c r="B1">
        <v>1</v>
      </c>
      <c r="C1" t="s">
        <v>242</v>
      </c>
      <c r="D1" t="s">
        <v>269</v>
      </c>
      <c r="E1" t="s">
        <v>270</v>
      </c>
      <c r="F1" t="s">
        <v>270</v>
      </c>
      <c r="G1" t="s">
        <v>270</v>
      </c>
      <c r="H1" t="s">
        <v>242</v>
      </c>
      <c r="I1" t="s">
        <v>270</v>
      </c>
      <c r="J1" t="s">
        <v>270</v>
      </c>
      <c r="K1" t="s">
        <v>242</v>
      </c>
      <c r="L1" t="s">
        <v>242</v>
      </c>
      <c r="M1" t="s">
        <v>242</v>
      </c>
      <c r="N1" t="s">
        <v>501</v>
      </c>
      <c r="O1" t="s">
        <v>493</v>
      </c>
      <c r="P1" t="s">
        <v>242</v>
      </c>
      <c r="Q1" t="s">
        <v>242</v>
      </c>
      <c r="R1" t="s">
        <v>242</v>
      </c>
      <c r="S1" t="s">
        <v>65</v>
      </c>
      <c r="T1" t="s">
        <v>619</v>
      </c>
      <c r="U1" t="s">
        <v>620</v>
      </c>
    </row>
  </sheetData>
  <printOptions headings="0" gridLines="1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ColWidth="9.140625" defaultRowHeight="12.75"/>
  <cols>
    <col customWidth="1" min="1" max="256" width="9.140625"/>
  </cols>
  <sheetData>
    <row r="1">
      <c r="A1">
        <v>0</v>
      </c>
      <c r="B1" t="s">
        <v>239</v>
      </c>
      <c r="D1" t="s">
        <v>240</v>
      </c>
      <c r="F1">
        <v>0</v>
      </c>
      <c r="G1">
        <v>0</v>
      </c>
      <c r="H1">
        <v>0</v>
      </c>
      <c r="I1" t="s">
        <v>241</v>
      </c>
      <c r="J1" t="s">
        <v>242</v>
      </c>
      <c r="K1">
        <v>1</v>
      </c>
      <c r="L1">
        <v>72631</v>
      </c>
      <c r="M1">
        <v>10</v>
      </c>
      <c r="N1">
        <v>11</v>
      </c>
      <c r="O1">
        <v>11</v>
      </c>
      <c r="P1">
        <v>0</v>
      </c>
      <c r="Q1">
        <v>0</v>
      </c>
    </row>
    <row r="12">
      <c r="F12" t="str">
        <f>Source!F12</f>
        <v xml:space="preserve">Новый объект</v>
      </c>
      <c r="G12" t="str">
        <f>Source!G12</f>
        <v>Астрахань</v>
      </c>
      <c r="AB12" t="s">
        <v>242</v>
      </c>
      <c r="AC12" t="s">
        <v>242</v>
      </c>
      <c r="AD12" t="s">
        <v>242</v>
      </c>
      <c r="AE12" t="s">
        <v>242</v>
      </c>
      <c r="AH12" t="s">
        <v>242</v>
      </c>
      <c r="AI12" t="s">
        <v>242</v>
      </c>
      <c r="CY12">
        <f>Source!CY12</f>
        <v>0</v>
      </c>
    </row>
  </sheetData>
  <printOptions headings="0" gridLines="1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Tech1</dc:creator>
  <cp:lastModifiedBy>nadezhda.felemezova</cp:lastModifiedBy>
  <cp:revision>1</cp:revision>
  <dcterms:created xsi:type="dcterms:W3CDTF">2026-03-05T14:14:15Z</dcterms:created>
  <dcterms:modified xsi:type="dcterms:W3CDTF">2026-05-15T12:05:18Z</dcterms:modified>
</cp:coreProperties>
</file>