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Комарова ТИ\Стомат ЕП 2026\Березка стомат\Мебель медицинская 73\"/>
    </mc:Choice>
  </mc:AlternateContent>
  <xr:revisionPtr revIDLastSave="0" documentId="13_ncr:1_{E3556FFE-4DDF-47AE-B847-5F34B0963871}" xr6:coauthVersionLast="47" xr6:coauthVersionMax="47" xr10:uidLastSave="{00000000-0000-0000-0000-000000000000}"/>
  <bookViews>
    <workbookView xWindow="28680" yWindow="-120" windowWidth="29040" windowHeight="15840" tabRatio="904" xr2:uid="{00000000-000D-0000-FFFF-FFFF00000000}"/>
  </bookViews>
  <sheets>
    <sheet name="НМЦК АА" sheetId="32" r:id="rId1"/>
  </sheets>
  <externalReferences>
    <externalReference r:id="rId2"/>
  </externalReferences>
  <definedNames>
    <definedName name="dict3ca883d2eb224ae7b9ac0023a7b4e7b6">[1]!Ед.изм.[Ед.изм.]</definedName>
  </definedNames>
  <calcPr calcId="191029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20" i="32" l="1"/>
  <c r="AE20" i="32"/>
  <c r="I15" i="32"/>
  <c r="AE15" i="32"/>
  <c r="F20" i="32"/>
  <c r="I18" i="32"/>
  <c r="L18" i="32"/>
  <c r="O18" i="32"/>
  <c r="P18" i="32"/>
  <c r="Q18" i="32" s="1"/>
  <c r="R18" i="32" s="1"/>
  <c r="S18" i="32"/>
  <c r="T18" i="32"/>
  <c r="U18" i="32"/>
  <c r="Z18" i="32"/>
  <c r="AA18" i="32" s="1"/>
  <c r="AB18" i="32" s="1"/>
  <c r="I19" i="32"/>
  <c r="L19" i="32"/>
  <c r="O19" i="32"/>
  <c r="P19" i="32"/>
  <c r="Q19" i="32" s="1"/>
  <c r="R19" i="32" s="1"/>
  <c r="S19" i="32"/>
  <c r="T19" i="32"/>
  <c r="U19" i="32"/>
  <c r="Z19" i="32"/>
  <c r="AA19" i="32" s="1"/>
  <c r="AB19" i="32" s="1"/>
  <c r="Z16" i="32"/>
  <c r="AA16" i="32" s="1"/>
  <c r="AB16" i="32" s="1"/>
  <c r="Z17" i="32"/>
  <c r="AA17" i="32" s="1"/>
  <c r="AB17" i="32" s="1"/>
  <c r="S16" i="32"/>
  <c r="T16" i="32"/>
  <c r="U16" i="32"/>
  <c r="S17" i="32"/>
  <c r="T17" i="32"/>
  <c r="U17" i="32"/>
  <c r="P16" i="32"/>
  <c r="Q16" i="32" s="1"/>
  <c r="R16" i="32" s="1"/>
  <c r="P17" i="32"/>
  <c r="Q17" i="32" s="1"/>
  <c r="R17" i="32" s="1"/>
  <c r="I16" i="32"/>
  <c r="L16" i="32"/>
  <c r="O16" i="32"/>
  <c r="I17" i="32"/>
  <c r="L17" i="32"/>
  <c r="O17" i="32"/>
  <c r="V19" i="32" l="1"/>
  <c r="W19" i="32" s="1"/>
  <c r="V18" i="32"/>
  <c r="W18" i="32" s="1"/>
  <c r="AC18" i="32"/>
  <c r="AD18" i="32" s="1"/>
  <c r="AE18" i="32" s="1"/>
  <c r="AC19" i="32"/>
  <c r="AD19" i="32" s="1"/>
  <c r="AE19" i="32" s="1"/>
  <c r="V17" i="32"/>
  <c r="W17" i="32" s="1"/>
  <c r="V16" i="32"/>
  <c r="W16" i="32" s="1"/>
  <c r="AC17" i="32" l="1"/>
  <c r="AD17" i="32" s="1"/>
  <c r="AE17" i="32" s="1"/>
  <c r="AC16" i="32"/>
  <c r="AD16" i="32" s="1"/>
  <c r="AE16" i="32" s="1"/>
  <c r="O15" i="32"/>
  <c r="M20" i="32" s="1"/>
  <c r="L15" i="32"/>
  <c r="J20" i="32" s="1"/>
  <c r="G20" i="32" l="1"/>
  <c r="P20" i="32" l="1"/>
  <c r="Q20" i="32" s="1"/>
  <c r="R20" i="32" s="1"/>
  <c r="P15" i="32" l="1"/>
  <c r="Q15" i="32" s="1"/>
  <c r="R15" i="32" s="1"/>
  <c r="Z15" i="32"/>
  <c r="AA15" i="32" s="1"/>
  <c r="AB15" i="32" s="1"/>
  <c r="U15" i="32"/>
  <c r="S15" i="32"/>
  <c r="T15" i="32" l="1"/>
  <c r="V15" i="32" s="1"/>
  <c r="W15" i="32" l="1"/>
  <c r="AC15" i="32"/>
  <c r="AD15" i="32" l="1"/>
  <c r="B24" i="32" l="1"/>
  <c r="C24" i="32" s="1"/>
</calcChain>
</file>

<file path=xl/sharedStrings.xml><?xml version="1.0" encoding="utf-8"?>
<sst xmlns="http://schemas.openxmlformats.org/spreadsheetml/2006/main" count="79" uniqueCount="58">
  <si>
    <t>№ п/п</t>
  </si>
  <si>
    <t xml:space="preserve">Наименование объекта закупки: </t>
  </si>
  <si>
    <t>ЕИ</t>
  </si>
  <si>
    <t>Кол-во ЕИ</t>
  </si>
  <si>
    <t xml:space="preserve">Среднее квадратичное отклонение </t>
  </si>
  <si>
    <t xml:space="preserve">Коэффициент вариации цен V, %    </t>
  </si>
  <si>
    <t>Средняя арифметическая цена за единицу &lt;ц&gt;, руб.</t>
  </si>
  <si>
    <t>Наименование, характеристики</t>
  </si>
  <si>
    <t>не предусмотрен для данного вида медицинских изделий</t>
  </si>
  <si>
    <t>Цена за ЕИ минимальная, руб. Без НДС</t>
  </si>
  <si>
    <t>Итого</t>
  </si>
  <si>
    <t>Ставка НДС в отношении МИ*, %</t>
  </si>
  <si>
    <t xml:space="preserve">Средне взвешенная цена за единицу &lt;ц&gt;, руб. без НДС </t>
  </si>
  <si>
    <t>Н(М)ЦК , руб.</t>
  </si>
  <si>
    <t>Средне взвешенная цена за единицу &lt;ц&gt;, руб/  с НДС</t>
  </si>
  <si>
    <t>по источнику 1</t>
  </si>
  <si>
    <t>по источнику 2</t>
  </si>
  <si>
    <t>по источнику 3</t>
  </si>
  <si>
    <t>цена за ЕИ, в т.ч. НДС</t>
  </si>
  <si>
    <t>Контроль однородности совокупности значений в соответствии с п.11 Приказа 450н</t>
  </si>
  <si>
    <t>Расчетная цена за ЕИ, без учета НДС</t>
  </si>
  <si>
    <t xml:space="preserve">Расчет Н(М)ЦК с НДС, руб                                                                                                         </t>
  </si>
  <si>
    <t xml:space="preserve">метод сопоставимых рыночных цен (анализа рынка) в соответствии с подп. "А" п.9 Приказа 450н
</t>
  </si>
  <si>
    <t>тарифный  
метод в соответствии с п. 5 Приказа 450н</t>
  </si>
  <si>
    <t>Расчет НМЦК в соответствии с Приказом 450н</t>
  </si>
  <si>
    <t>Цена за ЕИ  руб. Без НДС</t>
  </si>
  <si>
    <t>Цена за ЕИ  руб. с НДС</t>
  </si>
  <si>
    <t>Начальная (максимальная) цена контракта сформирована в соответствии с приказом Минздрава России  от 15 мая 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</t>
  </si>
  <si>
    <t>Обоснование начальной (максимальной) цены контракта</t>
  </si>
  <si>
    <t>Цена за ЕИ, согласно информации, полученной заказчиком, с учетом НДС,  руб.</t>
  </si>
  <si>
    <t>Ставка НДС в отношении МИ, %</t>
  </si>
  <si>
    <t>*ставка НДС принята в отношении медицинского изделия в соответствии с НК РФ</t>
  </si>
  <si>
    <t xml:space="preserve">**ставка НДС для расчета цены по п. 9 подп а) принята в размере ставки НДС по Постановлению Правительства РФ  в соответствии с НК РФ (ввиду отсутствия данных о размере НДС в ценовой информации) </t>
  </si>
  <si>
    <t xml:space="preserve">Минимальное значение, предложенное заказчиком, исходя из имеющегося у заказчика объема финансового обеспечения для осуществления закупки </t>
  </si>
  <si>
    <t>Цена за ЕИ минимальная, руб. c НДС</t>
  </si>
  <si>
    <t xml:space="preserve">Расчет Н(М)ЦК с НДС, руб                                                                                                                    </t>
  </si>
  <si>
    <t>штука</t>
  </si>
  <si>
    <t>Заказчик принял решение в целях повышения эффективности бюджетных расходов, на основании ст. 34 Бюджетного кодекса РФ, Приказа МЗ РФ № 450н от 15.05.2020г. установить начальную сумму цен единиц товара контракта в размере:</t>
  </si>
  <si>
    <t>код ОКПД2 / КТРУ</t>
  </si>
  <si>
    <t>Коммерческое предложение №1</t>
  </si>
  <si>
    <t>Коммерческое предложение №2</t>
  </si>
  <si>
    <t>Коммерческое предложение №3</t>
  </si>
  <si>
    <t xml:space="preserve">Предмет закупки: </t>
  </si>
  <si>
    <t>Цена итого, в т.ч. НДС</t>
  </si>
  <si>
    <t xml:space="preserve">Код по ОКПД2/КТРУ: </t>
  </si>
  <si>
    <t>Поставка медицинских изделий (Медицинская мебель)</t>
  </si>
  <si>
    <t>32.50.30.110</t>
  </si>
  <si>
    <t>Стул медицинский для лечебных учреждений М16</t>
  </si>
  <si>
    <t>Стол медицинский инструментальный СМИ - 02</t>
  </si>
  <si>
    <t>Стол лабораторный СТР СЛ 12.021</t>
  </si>
  <si>
    <t>Стол лабораторный СТР СЛ 12.004</t>
  </si>
  <si>
    <t>Тумба медицинская подкатная  СТР МД ТМ 13.15</t>
  </si>
  <si>
    <t>от 20.03.2026</t>
  </si>
  <si>
    <t>вх. №496</t>
  </si>
  <si>
    <t>вх. №497</t>
  </si>
  <si>
    <t>вх. №543</t>
  </si>
  <si>
    <t>от 26.03.2026</t>
  </si>
  <si>
    <t>Цена установленная Заказчиком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</si>
</sst>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_р_."/>
    <numFmt numFmtId="166" formatCode="#,##0.00_ ;\-#,##0.00\ "/>
  </numFmts>
  <fonts count="14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ill="0" applyBorder="0" applyAlignment="0" applyProtection="0"/>
    <xf numFmtId="0" fontId="3" fillId="0" borderId="0"/>
    <xf numFmtId="0" fontId="3" fillId="0" borderId="0"/>
    <xf numFmtId="164" fontId="2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5" fontId="5" fillId="0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" fontId="9" fillId="5" borderId="7" xfId="0" applyNumberFormat="1" applyFont="1" applyFill="1" applyBorder="1" applyAlignment="1">
      <alignment horizontal="center" vertical="center" wrapText="1"/>
    </xf>
    <xf numFmtId="3" fontId="9" fillId="5" borderId="2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164" fontId="6" fillId="0" borderId="7" xfId="5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3" fontId="6" fillId="4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164" fontId="6" fillId="6" borderId="6" xfId="2" applyNumberFormat="1" applyFont="1" applyFill="1" applyBorder="1" applyAlignment="1">
      <alignment horizontal="center" vertical="center" wrapText="1"/>
    </xf>
    <xf numFmtId="164" fontId="6" fillId="6" borderId="10" xfId="2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4" borderId="26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6" fillId="4" borderId="23" xfId="0" applyNumberFormat="1" applyFont="1" applyFill="1" applyBorder="1" applyAlignment="1">
      <alignment horizontal="center" vertical="center" wrapText="1"/>
    </xf>
    <xf numFmtId="4" fontId="6" fillId="4" borderId="24" xfId="0" applyNumberFormat="1" applyFont="1" applyFill="1" applyBorder="1" applyAlignment="1">
      <alignment horizontal="center" vertical="center" wrapText="1"/>
    </xf>
    <xf numFmtId="4" fontId="6" fillId="4" borderId="25" xfId="0" applyNumberFormat="1" applyFont="1" applyFill="1" applyBorder="1" applyAlignment="1">
      <alignment horizontal="center" vertical="center" wrapText="1"/>
    </xf>
    <xf numFmtId="4" fontId="6" fillId="4" borderId="26" xfId="0" applyNumberFormat="1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top" wrapText="1"/>
    </xf>
    <xf numFmtId="165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vertical="top" wrapText="1"/>
    </xf>
    <xf numFmtId="165" fontId="7" fillId="3" borderId="19" xfId="0" applyNumberFormat="1" applyFont="1" applyFill="1" applyBorder="1" applyAlignment="1">
      <alignment horizontal="center" vertical="top" wrapText="1"/>
    </xf>
    <xf numFmtId="165" fontId="7" fillId="4" borderId="18" xfId="0" applyNumberFormat="1" applyFont="1" applyFill="1" applyBorder="1" applyAlignment="1">
      <alignment horizontal="center" vertical="top" wrapText="1"/>
    </xf>
    <xf numFmtId="165" fontId="7" fillId="4" borderId="19" xfId="0" applyNumberFormat="1" applyFont="1" applyFill="1" applyBorder="1" applyAlignment="1">
      <alignment horizontal="center" vertical="top" wrapText="1"/>
    </xf>
    <xf numFmtId="165" fontId="7" fillId="4" borderId="20" xfId="0" applyNumberFormat="1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top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2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7" fillId="3" borderId="18" xfId="0" applyNumberFormat="1" applyFont="1" applyFill="1" applyBorder="1" applyAlignment="1">
      <alignment horizontal="center" vertical="top" wrapText="1"/>
    </xf>
    <xf numFmtId="165" fontId="7" fillId="3" borderId="17" xfId="0" applyNumberFormat="1" applyFont="1" applyFill="1" applyBorder="1" applyAlignment="1">
      <alignment horizontal="center" vertical="top" wrapText="1"/>
    </xf>
    <xf numFmtId="165" fontId="7" fillId="4" borderId="17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6">
    <cellStyle name="TableStyleLight1" xfId="1" xr:uid="{00000000-0005-0000-0000-000000000000}"/>
    <cellStyle name="Обычный" xfId="0" builtinId="0"/>
    <cellStyle name="Обычный 2" xfId="3" xr:uid="{00000000-0005-0000-0000-000002000000}"/>
    <cellStyle name="Обычный 4" xfId="4" xr:uid="{00000000-0005-0000-0000-000003000000}"/>
    <cellStyle name="Процентный" xfId="2" builtinId="5"/>
    <cellStyle name="Финансовый" xfId="5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2B2B2"/>
      <rgbColor rgb="00993366"/>
      <rgbColor rgb="00FFFFCC"/>
      <rgbColor rgb="00CCFF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FF66CC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data\Users\1\Desktop\&#1064;&#1072;&#1073;&#1083;&#1086;&#1085;&#1099;\19-05-2016_16-52-43\grid-a11c3693-0918-40d3-a614-87a485f9c2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  <sheetName val="Код_ОКПД"/>
      <sheetName val="Ед.изм."/>
      <sheetName val="ОКВЭД"/>
      <sheetName val="Ведомства"/>
      <sheetName val="Раздел_подраздел"/>
      <sheetName val="КОСГУ"/>
      <sheetName val="ЦСт"/>
      <sheetName val="Расх"/>
      <sheetName val="Код_цели"/>
      <sheetName val="РегКласс"/>
      <sheetName val="Программа"/>
      <sheetName val="Номер_позиции_каталога__ID"/>
      <sheetName val="grid-a11c3693-0918-40d3-a614-87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I28"/>
  <sheetViews>
    <sheetView tabSelected="1" zoomScale="55" zoomScaleNormal="55" workbookViewId="0">
      <selection activeCell="C19" sqref="C19"/>
    </sheetView>
  </sheetViews>
  <sheetFormatPr defaultRowHeight="15" x14ac:dyDescent="0.25"/>
  <cols>
    <col min="1" max="1" width="6" style="1" customWidth="1"/>
    <col min="2" max="2" width="39.5703125" style="17" customWidth="1"/>
    <col min="3" max="3" width="15.85546875" style="17" customWidth="1"/>
    <col min="4" max="4" width="7.85546875" style="17" customWidth="1"/>
    <col min="5" max="5" width="8.140625" style="1" customWidth="1"/>
    <col min="6" max="6" width="11.28515625" style="1" customWidth="1"/>
    <col min="7" max="7" width="14.7109375" style="2" customWidth="1"/>
    <col min="8" max="8" width="13.7109375" style="2" customWidth="1"/>
    <col min="9" max="9" width="17" style="2" customWidth="1"/>
    <col min="10" max="10" width="12.5703125" style="2" customWidth="1"/>
    <col min="11" max="12" width="15.140625" style="2" customWidth="1"/>
    <col min="13" max="13" width="13.28515625" style="2" customWidth="1"/>
    <col min="14" max="15" width="14.7109375" style="2" customWidth="1"/>
    <col min="16" max="16" width="16.42578125" style="1" customWidth="1"/>
    <col min="17" max="17" width="18.140625" style="2" customWidth="1"/>
    <col min="18" max="18" width="13" style="1" customWidth="1"/>
    <col min="19" max="19" width="14.5703125" style="1" customWidth="1"/>
    <col min="20" max="20" width="15" style="1" customWidth="1"/>
    <col min="21" max="21" width="14.28515625" style="1" customWidth="1"/>
    <col min="22" max="22" width="15.5703125" style="1" customWidth="1"/>
    <col min="23" max="23" width="14" style="1" customWidth="1"/>
    <col min="24" max="25" width="14.5703125" style="2" customWidth="1"/>
    <col min="26" max="26" width="20.5703125" style="2" bestFit="1" customWidth="1"/>
    <col min="27" max="27" width="14.5703125" style="2" customWidth="1"/>
    <col min="28" max="28" width="20" style="2" customWidth="1"/>
    <col min="29" max="29" width="16.85546875" style="3" customWidth="1"/>
    <col min="30" max="30" width="13.85546875" style="3" customWidth="1"/>
    <col min="31" max="32" width="18" style="3" customWidth="1"/>
    <col min="33" max="34" width="9.140625" style="1"/>
    <col min="35" max="35" width="20.85546875" style="1" customWidth="1"/>
    <col min="36" max="16384" width="9.140625" style="1"/>
  </cols>
  <sheetData>
    <row r="1" spans="1:35" ht="20.25" x14ac:dyDescent="0.25"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35" ht="24" customHeight="1" x14ac:dyDescent="0.25">
      <c r="F2" s="105" t="s">
        <v>28</v>
      </c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1:35" ht="15.75" customHeight="1" x14ac:dyDescent="0.25">
      <c r="B3" s="28"/>
      <c r="C3" s="28"/>
      <c r="D3" s="28"/>
      <c r="F3" s="29"/>
      <c r="G3" s="29"/>
      <c r="H3" s="29"/>
      <c r="I3" s="33"/>
      <c r="J3" s="29"/>
      <c r="K3" s="29"/>
      <c r="L3" s="33"/>
      <c r="M3" s="29"/>
      <c r="N3" s="29"/>
      <c r="O3" s="33"/>
      <c r="P3" s="29"/>
      <c r="Q3" s="29"/>
      <c r="R3" s="29"/>
    </row>
    <row r="4" spans="1:35" ht="22.5" customHeight="1" x14ac:dyDescent="0.25">
      <c r="B4" s="38" t="s">
        <v>42</v>
      </c>
      <c r="C4" s="106" t="s">
        <v>45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5" spans="1:35" ht="15.75" customHeight="1" x14ac:dyDescent="0.25">
      <c r="B5" s="38" t="s">
        <v>44</v>
      </c>
      <c r="C5" s="106" t="s">
        <v>46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7" spans="1:35" ht="36" customHeight="1" x14ac:dyDescent="0.25">
      <c r="B7" s="113" t="s">
        <v>27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35" ht="16.5" customHeight="1" thickBot="1" x14ac:dyDescent="0.3">
      <c r="A8" s="8"/>
      <c r="B8" s="15"/>
      <c r="C8" s="15"/>
      <c r="D8" s="15"/>
      <c r="E8" s="8"/>
      <c r="F8" s="8"/>
      <c r="G8" s="9"/>
      <c r="H8" s="9"/>
      <c r="I8" s="9"/>
      <c r="J8" s="9"/>
      <c r="K8" s="9"/>
      <c r="L8" s="9"/>
      <c r="M8" s="9"/>
      <c r="N8" s="9"/>
      <c r="O8" s="9"/>
      <c r="P8" s="8"/>
      <c r="Q8" s="9"/>
      <c r="R8" s="8"/>
      <c r="S8" s="8"/>
      <c r="T8" s="8"/>
      <c r="U8" s="8"/>
      <c r="V8" s="8"/>
      <c r="W8" s="8"/>
      <c r="X8" s="9"/>
      <c r="Y8" s="9"/>
      <c r="Z8" s="9"/>
      <c r="AA8" s="9"/>
      <c r="AB8" s="9"/>
      <c r="AC8" s="10"/>
      <c r="AD8" s="10"/>
      <c r="AE8" s="10"/>
      <c r="AF8" s="10"/>
    </row>
    <row r="9" spans="1:35" ht="53.25" customHeight="1" x14ac:dyDescent="0.25">
      <c r="A9" s="83" t="s">
        <v>0</v>
      </c>
      <c r="B9" s="83" t="s">
        <v>1</v>
      </c>
      <c r="C9" s="83"/>
      <c r="D9" s="83"/>
      <c r="E9" s="83" t="s">
        <v>2</v>
      </c>
      <c r="F9" s="87" t="s">
        <v>3</v>
      </c>
      <c r="G9" s="114" t="s">
        <v>29</v>
      </c>
      <c r="H9" s="115"/>
      <c r="I9" s="115"/>
      <c r="J9" s="115"/>
      <c r="K9" s="115"/>
      <c r="L9" s="115"/>
      <c r="M9" s="115"/>
      <c r="N9" s="115"/>
      <c r="O9" s="115"/>
      <c r="P9" s="116" t="s">
        <v>19</v>
      </c>
      <c r="Q9" s="117"/>
      <c r="R9" s="118"/>
      <c r="S9" s="116" t="s">
        <v>22</v>
      </c>
      <c r="T9" s="117"/>
      <c r="U9" s="117"/>
      <c r="V9" s="117"/>
      <c r="W9" s="118"/>
      <c r="X9" s="110" t="s">
        <v>23</v>
      </c>
      <c r="Y9" s="112"/>
      <c r="Z9" s="110" t="s">
        <v>33</v>
      </c>
      <c r="AA9" s="111"/>
      <c r="AB9" s="112"/>
      <c r="AC9" s="107" t="s">
        <v>24</v>
      </c>
      <c r="AD9" s="108"/>
      <c r="AE9" s="109"/>
      <c r="AF9" s="100" t="s">
        <v>57</v>
      </c>
    </row>
    <row r="10" spans="1:35" ht="17.25" customHeight="1" x14ac:dyDescent="0.25">
      <c r="A10" s="83"/>
      <c r="B10" s="83" t="s">
        <v>7</v>
      </c>
      <c r="C10" s="83" t="s">
        <v>38</v>
      </c>
      <c r="D10" s="84" t="s">
        <v>11</v>
      </c>
      <c r="E10" s="83"/>
      <c r="F10" s="87"/>
      <c r="G10" s="122" t="s">
        <v>39</v>
      </c>
      <c r="H10" s="89"/>
      <c r="I10" s="123"/>
      <c r="J10" s="88" t="s">
        <v>40</v>
      </c>
      <c r="K10" s="89"/>
      <c r="L10" s="123"/>
      <c r="M10" s="88" t="s">
        <v>41</v>
      </c>
      <c r="N10" s="89"/>
      <c r="O10" s="89"/>
      <c r="P10" s="125" t="s">
        <v>6</v>
      </c>
      <c r="Q10" s="119" t="s">
        <v>4</v>
      </c>
      <c r="R10" s="79" t="s">
        <v>5</v>
      </c>
      <c r="S10" s="120" t="s">
        <v>20</v>
      </c>
      <c r="T10" s="121"/>
      <c r="U10" s="121"/>
      <c r="V10" s="119" t="s">
        <v>12</v>
      </c>
      <c r="W10" s="93" t="s">
        <v>14</v>
      </c>
      <c r="X10" s="94" t="s">
        <v>9</v>
      </c>
      <c r="Y10" s="97" t="s">
        <v>21</v>
      </c>
      <c r="Z10" s="94" t="s">
        <v>9</v>
      </c>
      <c r="AA10" s="96" t="s">
        <v>34</v>
      </c>
      <c r="AB10" s="97" t="s">
        <v>35</v>
      </c>
      <c r="AC10" s="95" t="s">
        <v>25</v>
      </c>
      <c r="AD10" s="100" t="s">
        <v>26</v>
      </c>
      <c r="AE10" s="101" t="s">
        <v>13</v>
      </c>
      <c r="AF10" s="100"/>
    </row>
    <row r="11" spans="1:35" ht="19.5" customHeight="1" x14ac:dyDescent="0.25">
      <c r="A11" s="83"/>
      <c r="B11" s="83"/>
      <c r="C11" s="83"/>
      <c r="D11" s="85"/>
      <c r="E11" s="83"/>
      <c r="F11" s="87"/>
      <c r="G11" s="90" t="s">
        <v>53</v>
      </c>
      <c r="H11" s="91"/>
      <c r="I11" s="92"/>
      <c r="J11" s="90" t="s">
        <v>54</v>
      </c>
      <c r="K11" s="91"/>
      <c r="L11" s="92"/>
      <c r="M11" s="90" t="s">
        <v>55</v>
      </c>
      <c r="N11" s="91"/>
      <c r="O11" s="92"/>
      <c r="P11" s="125"/>
      <c r="Q11" s="119"/>
      <c r="R11" s="79"/>
      <c r="S11" s="126" t="s">
        <v>15</v>
      </c>
      <c r="T11" s="102" t="s">
        <v>16</v>
      </c>
      <c r="U11" s="102" t="s">
        <v>17</v>
      </c>
      <c r="V11" s="119"/>
      <c r="W11" s="93"/>
      <c r="X11" s="94"/>
      <c r="Y11" s="97"/>
      <c r="Z11" s="94"/>
      <c r="AA11" s="96"/>
      <c r="AB11" s="97"/>
      <c r="AC11" s="95"/>
      <c r="AD11" s="100"/>
      <c r="AE11" s="101"/>
      <c r="AF11" s="100"/>
    </row>
    <row r="12" spans="1:35" ht="22.5" customHeight="1" x14ac:dyDescent="0.25">
      <c r="A12" s="83"/>
      <c r="B12" s="83"/>
      <c r="C12" s="83"/>
      <c r="D12" s="85"/>
      <c r="E12" s="83"/>
      <c r="F12" s="87"/>
      <c r="G12" s="90" t="s">
        <v>52</v>
      </c>
      <c r="H12" s="91"/>
      <c r="I12" s="124"/>
      <c r="J12" s="90" t="s">
        <v>52</v>
      </c>
      <c r="K12" s="91"/>
      <c r="L12" s="124"/>
      <c r="M12" s="90" t="s">
        <v>56</v>
      </c>
      <c r="N12" s="91"/>
      <c r="O12" s="91"/>
      <c r="P12" s="125"/>
      <c r="Q12" s="119"/>
      <c r="R12" s="79"/>
      <c r="S12" s="127"/>
      <c r="T12" s="103"/>
      <c r="U12" s="103"/>
      <c r="V12" s="119"/>
      <c r="W12" s="93"/>
      <c r="X12" s="94"/>
      <c r="Y12" s="97"/>
      <c r="Z12" s="94"/>
      <c r="AA12" s="96"/>
      <c r="AB12" s="97"/>
      <c r="AC12" s="95"/>
      <c r="AD12" s="100"/>
      <c r="AE12" s="101"/>
      <c r="AF12" s="100"/>
    </row>
    <row r="13" spans="1:35" ht="68.25" customHeight="1" x14ac:dyDescent="0.25">
      <c r="A13" s="83"/>
      <c r="B13" s="83"/>
      <c r="C13" s="83"/>
      <c r="D13" s="86"/>
      <c r="E13" s="83"/>
      <c r="F13" s="87"/>
      <c r="G13" s="25" t="s">
        <v>18</v>
      </c>
      <c r="H13" s="32" t="s">
        <v>30</v>
      </c>
      <c r="I13" s="32" t="s">
        <v>43</v>
      </c>
      <c r="J13" s="32" t="s">
        <v>18</v>
      </c>
      <c r="K13" s="32" t="s">
        <v>30</v>
      </c>
      <c r="L13" s="32" t="s">
        <v>43</v>
      </c>
      <c r="M13" s="32" t="s">
        <v>18</v>
      </c>
      <c r="N13" s="32" t="s">
        <v>30</v>
      </c>
      <c r="O13" s="51" t="s">
        <v>43</v>
      </c>
      <c r="P13" s="125"/>
      <c r="Q13" s="119"/>
      <c r="R13" s="79"/>
      <c r="S13" s="128"/>
      <c r="T13" s="104"/>
      <c r="U13" s="104"/>
      <c r="V13" s="119"/>
      <c r="W13" s="93"/>
      <c r="X13" s="94"/>
      <c r="Y13" s="97"/>
      <c r="Z13" s="94"/>
      <c r="AA13" s="96"/>
      <c r="AB13" s="97"/>
      <c r="AC13" s="95"/>
      <c r="AD13" s="100"/>
      <c r="AE13" s="101"/>
      <c r="AF13" s="100"/>
    </row>
    <row r="14" spans="1:35" ht="16.5" customHeight="1" x14ac:dyDescent="0.25">
      <c r="A14" s="14">
        <v>1</v>
      </c>
      <c r="B14" s="14">
        <v>2</v>
      </c>
      <c r="C14" s="14">
        <v>3</v>
      </c>
      <c r="D14" s="14">
        <v>4</v>
      </c>
      <c r="E14" s="14">
        <v>5</v>
      </c>
      <c r="F14" s="24">
        <v>6</v>
      </c>
      <c r="G14" s="25">
        <v>7</v>
      </c>
      <c r="H14" s="32">
        <v>8</v>
      </c>
      <c r="I14" s="32"/>
      <c r="J14" s="32">
        <v>9</v>
      </c>
      <c r="K14" s="32">
        <v>10</v>
      </c>
      <c r="L14" s="32"/>
      <c r="M14" s="32">
        <v>11</v>
      </c>
      <c r="N14" s="32">
        <v>12</v>
      </c>
      <c r="O14" s="51"/>
      <c r="P14" s="25">
        <v>13</v>
      </c>
      <c r="Q14" s="50">
        <v>14</v>
      </c>
      <c r="R14" s="60">
        <v>15</v>
      </c>
      <c r="S14" s="25">
        <v>16</v>
      </c>
      <c r="T14" s="30">
        <v>17</v>
      </c>
      <c r="U14" s="30">
        <v>18</v>
      </c>
      <c r="V14" s="30">
        <v>19</v>
      </c>
      <c r="W14" s="26">
        <v>20</v>
      </c>
      <c r="X14" s="25">
        <v>22</v>
      </c>
      <c r="Y14" s="26">
        <v>23</v>
      </c>
      <c r="Z14" s="25">
        <v>24</v>
      </c>
      <c r="AA14" s="30">
        <v>25</v>
      </c>
      <c r="AB14" s="26">
        <v>26</v>
      </c>
      <c r="AC14" s="65">
        <v>27</v>
      </c>
      <c r="AD14" s="66">
        <v>28</v>
      </c>
      <c r="AE14" s="67">
        <v>29</v>
      </c>
      <c r="AF14" s="68">
        <v>30</v>
      </c>
    </row>
    <row r="15" spans="1:35" ht="76.5" customHeight="1" x14ac:dyDescent="0.25">
      <c r="A15" s="21">
        <v>1</v>
      </c>
      <c r="B15" s="57" t="s">
        <v>47</v>
      </c>
      <c r="C15" s="55" t="s">
        <v>46</v>
      </c>
      <c r="D15" s="20">
        <v>0.22</v>
      </c>
      <c r="E15" s="36" t="s">
        <v>36</v>
      </c>
      <c r="F15" s="35">
        <v>6</v>
      </c>
      <c r="G15" s="34">
        <v>7420</v>
      </c>
      <c r="H15" s="20">
        <v>0.22</v>
      </c>
      <c r="I15" s="7">
        <f>G15*F15</f>
        <v>44520</v>
      </c>
      <c r="J15" s="34">
        <v>7510</v>
      </c>
      <c r="K15" s="20">
        <v>0.22</v>
      </c>
      <c r="L15" s="7">
        <f>J15*F15</f>
        <v>45060</v>
      </c>
      <c r="M15" s="37">
        <v>7674</v>
      </c>
      <c r="N15" s="20">
        <v>0</v>
      </c>
      <c r="O15" s="7">
        <f>M15*F15</f>
        <v>46044</v>
      </c>
      <c r="P15" s="49">
        <f>AVERAGE(G15,J15,M15)</f>
        <v>7534.67</v>
      </c>
      <c r="Q15" s="11">
        <f>SQRT((POWER(G15-P15,2)+POWER(J15-P15,2)+POWER(M15-P15,2))/2)</f>
        <v>128.78</v>
      </c>
      <c r="R15" s="61">
        <f>Q15/P15*100</f>
        <v>1.71</v>
      </c>
      <c r="S15" s="39">
        <f>G15/(1+H15)</f>
        <v>6081.97</v>
      </c>
      <c r="T15" s="7">
        <f>J15/(1+K15)</f>
        <v>6155.74</v>
      </c>
      <c r="U15" s="7">
        <f>M15/(1+N15)</f>
        <v>7674</v>
      </c>
      <c r="V15" s="11">
        <f>(S15+T15+U15)/3</f>
        <v>6637.24</v>
      </c>
      <c r="W15" s="40">
        <f>ROUND(V15*(1+D15),2)</f>
        <v>8097.43</v>
      </c>
      <c r="X15" s="98" t="s">
        <v>8</v>
      </c>
      <c r="Y15" s="99"/>
      <c r="Z15" s="45">
        <f>ROUND(MIN(G15/(1+H15),J15/(1+K15),M15/(1+N15)),2)</f>
        <v>6081.97</v>
      </c>
      <c r="AA15" s="48">
        <f>ROUND(Z15*(1+D15),2)</f>
        <v>7420</v>
      </c>
      <c r="AB15" s="46">
        <f>F15*AA15</f>
        <v>44520</v>
      </c>
      <c r="AC15" s="69">
        <f>MIN(V15,X15,Z15)</f>
        <v>6081.97</v>
      </c>
      <c r="AD15" s="70">
        <f>ROUND(AC15*(1+D15),1)</f>
        <v>7420</v>
      </c>
      <c r="AE15" s="63">
        <f>AD15*F15</f>
        <v>44520</v>
      </c>
      <c r="AF15" s="74">
        <v>44520</v>
      </c>
      <c r="AI15" s="23"/>
    </row>
    <row r="16" spans="1:35" ht="76.5" customHeight="1" x14ac:dyDescent="0.25">
      <c r="A16" s="56">
        <v>2</v>
      </c>
      <c r="B16" s="57" t="s">
        <v>48</v>
      </c>
      <c r="C16" s="55" t="s">
        <v>46</v>
      </c>
      <c r="D16" s="20">
        <v>0</v>
      </c>
      <c r="E16" s="36" t="s">
        <v>36</v>
      </c>
      <c r="F16" s="35">
        <v>2</v>
      </c>
      <c r="G16" s="34">
        <v>9500</v>
      </c>
      <c r="H16" s="20">
        <v>0.22</v>
      </c>
      <c r="I16" s="7">
        <f t="shared" ref="I16:I17" si="0">G16*F16</f>
        <v>19000</v>
      </c>
      <c r="J16" s="34">
        <v>9590</v>
      </c>
      <c r="K16" s="20">
        <v>0.22</v>
      </c>
      <c r="L16" s="7">
        <f t="shared" ref="L16:L17" si="1">J16*F16</f>
        <v>19180</v>
      </c>
      <c r="M16" s="37">
        <v>7752.5</v>
      </c>
      <c r="N16" s="20">
        <v>0</v>
      </c>
      <c r="O16" s="7">
        <f t="shared" ref="O16:O17" si="2">M16*F16</f>
        <v>15505</v>
      </c>
      <c r="P16" s="49">
        <f t="shared" ref="P16:P17" si="3">AVERAGE(G16,J16,M16)</f>
        <v>8947.5</v>
      </c>
      <c r="Q16" s="11">
        <f t="shared" ref="Q16:Q17" si="4">SQRT((POWER(G16-P16,2)+POWER(J16-P16,2)+POWER(M16-P16,2))/2)</f>
        <v>1035.8800000000001</v>
      </c>
      <c r="R16" s="61">
        <f t="shared" ref="R16:R17" si="5">Q16/P16*100</f>
        <v>11.58</v>
      </c>
      <c r="S16" s="39">
        <f t="shared" ref="S16:S17" si="6">G16/(1+H16)</f>
        <v>7786.89</v>
      </c>
      <c r="T16" s="7">
        <f t="shared" ref="T16:T17" si="7">J16/(1+K16)</f>
        <v>7860.66</v>
      </c>
      <c r="U16" s="7">
        <f t="shared" ref="U16:U17" si="8">M16/(1+N16)</f>
        <v>7752.5</v>
      </c>
      <c r="V16" s="11">
        <f t="shared" ref="V16:V17" si="9">(S16+T16+U16)/3</f>
        <v>7800.02</v>
      </c>
      <c r="W16" s="40">
        <f t="shared" ref="W16:W17" si="10">ROUND(V16*(1+D16),2)</f>
        <v>7800.02</v>
      </c>
      <c r="X16" s="98" t="s">
        <v>8</v>
      </c>
      <c r="Y16" s="99"/>
      <c r="Z16" s="45">
        <f t="shared" ref="Z16:Z17" si="11">ROUND(MIN(G16/(1+H16),J16/(1+K16),M16/(1+N16)),2)</f>
        <v>7752.5</v>
      </c>
      <c r="AA16" s="48">
        <f t="shared" ref="AA16:AA17" si="12">ROUND(Z16*(1+D16),2)</f>
        <v>7752.5</v>
      </c>
      <c r="AB16" s="46">
        <f t="shared" ref="AB16:AB17" si="13">F16*AA16</f>
        <v>15505</v>
      </c>
      <c r="AC16" s="69">
        <f>MIN(V16,X16,Z16)</f>
        <v>7752.5</v>
      </c>
      <c r="AD16" s="70">
        <f>ROUND(AC16*(1+D16),2)</f>
        <v>7752.5</v>
      </c>
      <c r="AE16" s="63">
        <f>AD16*F16</f>
        <v>15505</v>
      </c>
      <c r="AF16" s="74">
        <v>15505</v>
      </c>
      <c r="AI16" s="23"/>
    </row>
    <row r="17" spans="1:35" ht="76.5" customHeight="1" x14ac:dyDescent="0.25">
      <c r="A17" s="56">
        <v>3</v>
      </c>
      <c r="B17" s="57" t="s">
        <v>49</v>
      </c>
      <c r="C17" s="55" t="s">
        <v>46</v>
      </c>
      <c r="D17" s="20">
        <v>0.22</v>
      </c>
      <c r="E17" s="36" t="s">
        <v>36</v>
      </c>
      <c r="F17" s="35">
        <v>1</v>
      </c>
      <c r="G17" s="34">
        <v>34000</v>
      </c>
      <c r="H17" s="20">
        <v>0.22</v>
      </c>
      <c r="I17" s="7">
        <f t="shared" si="0"/>
        <v>34000</v>
      </c>
      <c r="J17" s="34">
        <v>34130</v>
      </c>
      <c r="K17" s="20">
        <v>0.22</v>
      </c>
      <c r="L17" s="7">
        <f t="shared" si="1"/>
        <v>34130</v>
      </c>
      <c r="M17" s="37">
        <v>36207</v>
      </c>
      <c r="N17" s="20">
        <v>0</v>
      </c>
      <c r="O17" s="7">
        <f t="shared" si="2"/>
        <v>36207</v>
      </c>
      <c r="P17" s="49">
        <f t="shared" si="3"/>
        <v>34779</v>
      </c>
      <c r="Q17" s="11">
        <f t="shared" si="4"/>
        <v>1238.3900000000001</v>
      </c>
      <c r="R17" s="61">
        <f t="shared" si="5"/>
        <v>3.56</v>
      </c>
      <c r="S17" s="39">
        <f t="shared" si="6"/>
        <v>27868.85</v>
      </c>
      <c r="T17" s="7">
        <f t="shared" si="7"/>
        <v>27975.41</v>
      </c>
      <c r="U17" s="7">
        <f t="shared" si="8"/>
        <v>36207</v>
      </c>
      <c r="V17" s="11">
        <f t="shared" si="9"/>
        <v>30683.75</v>
      </c>
      <c r="W17" s="40">
        <f t="shared" si="10"/>
        <v>37434.18</v>
      </c>
      <c r="X17" s="98" t="s">
        <v>8</v>
      </c>
      <c r="Y17" s="99"/>
      <c r="Z17" s="45">
        <f t="shared" si="11"/>
        <v>27868.85</v>
      </c>
      <c r="AA17" s="48">
        <f t="shared" si="12"/>
        <v>34000</v>
      </c>
      <c r="AB17" s="46">
        <f t="shared" si="13"/>
        <v>34000</v>
      </c>
      <c r="AC17" s="69">
        <f>MIN(V17,X17,Z17)</f>
        <v>27868.85</v>
      </c>
      <c r="AD17" s="70">
        <f>ROUND(AC17*(1+D17),2)</f>
        <v>34000</v>
      </c>
      <c r="AE17" s="63">
        <f>AD17*F17</f>
        <v>34000</v>
      </c>
      <c r="AF17" s="74">
        <v>34000</v>
      </c>
      <c r="AI17" s="23"/>
    </row>
    <row r="18" spans="1:35" ht="76.5" customHeight="1" x14ac:dyDescent="0.25">
      <c r="A18" s="59">
        <v>4</v>
      </c>
      <c r="B18" s="57" t="s">
        <v>50</v>
      </c>
      <c r="C18" s="55" t="s">
        <v>46</v>
      </c>
      <c r="D18" s="20">
        <v>0.22</v>
      </c>
      <c r="E18" s="36" t="s">
        <v>36</v>
      </c>
      <c r="F18" s="35">
        <v>1</v>
      </c>
      <c r="G18" s="34">
        <v>30000</v>
      </c>
      <c r="H18" s="20">
        <v>0.22</v>
      </c>
      <c r="I18" s="7">
        <f t="shared" ref="I18:I19" si="14">G18*F18</f>
        <v>30000</v>
      </c>
      <c r="J18" s="34">
        <v>30260</v>
      </c>
      <c r="K18" s="20">
        <v>0.22</v>
      </c>
      <c r="L18" s="7">
        <f t="shared" ref="L18:L19" si="15">J18*F18</f>
        <v>30260</v>
      </c>
      <c r="M18" s="37">
        <v>31950</v>
      </c>
      <c r="N18" s="20">
        <v>0</v>
      </c>
      <c r="O18" s="7">
        <f t="shared" ref="O18:O19" si="16">M18*F18</f>
        <v>31950</v>
      </c>
      <c r="P18" s="49">
        <f t="shared" ref="P18:P19" si="17">AVERAGE(G18,J18,M18)</f>
        <v>30736.67</v>
      </c>
      <c r="Q18" s="11">
        <f t="shared" ref="Q18:Q19" si="18">SQRT((POWER(G18-P18,2)+POWER(J18-P18,2)+POWER(M18-P18,2))/2)</f>
        <v>1058.79</v>
      </c>
      <c r="R18" s="61">
        <f t="shared" ref="R18:R19" si="19">Q18/P18*100</f>
        <v>3.44</v>
      </c>
      <c r="S18" s="39">
        <f t="shared" ref="S18:S19" si="20">G18/(1+H18)</f>
        <v>24590.16</v>
      </c>
      <c r="T18" s="7">
        <f t="shared" ref="T18:T19" si="21">J18/(1+K18)</f>
        <v>24803.279999999999</v>
      </c>
      <c r="U18" s="7">
        <f t="shared" ref="U18:U19" si="22">M18/(1+N18)</f>
        <v>31950</v>
      </c>
      <c r="V18" s="11">
        <f t="shared" ref="V18:V19" si="23">(S18+T18+U18)/3</f>
        <v>27114.48</v>
      </c>
      <c r="W18" s="40">
        <f t="shared" ref="W18:W19" si="24">ROUND(V18*(1+D18),2)</f>
        <v>33079.67</v>
      </c>
      <c r="X18" s="98" t="s">
        <v>8</v>
      </c>
      <c r="Y18" s="99"/>
      <c r="Z18" s="45">
        <f t="shared" ref="Z18:Z19" si="25">ROUND(MIN(G18/(1+H18),J18/(1+K18),M18/(1+N18)),2)</f>
        <v>24590.16</v>
      </c>
      <c r="AA18" s="48">
        <f t="shared" ref="AA18:AA19" si="26">ROUND(Z18*(1+D18),2)</f>
        <v>30000</v>
      </c>
      <c r="AB18" s="46">
        <f t="shared" ref="AB18:AB19" si="27">F18*AA18</f>
        <v>30000</v>
      </c>
      <c r="AC18" s="69">
        <f>MIN(V18,X18,Z18)</f>
        <v>24590.16</v>
      </c>
      <c r="AD18" s="70">
        <f>ROUND(AC18*(1+D18),2)</f>
        <v>30000</v>
      </c>
      <c r="AE18" s="63">
        <f>AD18*F18</f>
        <v>30000</v>
      </c>
      <c r="AF18" s="74">
        <v>30000</v>
      </c>
      <c r="AI18" s="23"/>
    </row>
    <row r="19" spans="1:35" ht="76.5" customHeight="1" x14ac:dyDescent="0.25">
      <c r="A19" s="59">
        <v>5</v>
      </c>
      <c r="B19" s="57" t="s">
        <v>51</v>
      </c>
      <c r="C19" s="55" t="s">
        <v>46</v>
      </c>
      <c r="D19" s="20">
        <v>0.22</v>
      </c>
      <c r="E19" s="36" t="s">
        <v>36</v>
      </c>
      <c r="F19" s="35">
        <v>2</v>
      </c>
      <c r="G19" s="34">
        <v>11750</v>
      </c>
      <c r="H19" s="20">
        <v>0.22</v>
      </c>
      <c r="I19" s="7">
        <f t="shared" si="14"/>
        <v>23500</v>
      </c>
      <c r="J19" s="34">
        <v>12190</v>
      </c>
      <c r="K19" s="20">
        <v>0.22</v>
      </c>
      <c r="L19" s="7">
        <f t="shared" si="15"/>
        <v>24380</v>
      </c>
      <c r="M19" s="37">
        <v>12159</v>
      </c>
      <c r="N19" s="20">
        <v>0</v>
      </c>
      <c r="O19" s="7">
        <f t="shared" si="16"/>
        <v>24318</v>
      </c>
      <c r="P19" s="49">
        <f t="shared" si="17"/>
        <v>12033</v>
      </c>
      <c r="Q19" s="11">
        <f t="shared" si="18"/>
        <v>245.57</v>
      </c>
      <c r="R19" s="61">
        <f t="shared" si="19"/>
        <v>2.04</v>
      </c>
      <c r="S19" s="39">
        <f t="shared" si="20"/>
        <v>9631.15</v>
      </c>
      <c r="T19" s="7">
        <f t="shared" si="21"/>
        <v>9991.7999999999993</v>
      </c>
      <c r="U19" s="7">
        <f t="shared" si="22"/>
        <v>12159</v>
      </c>
      <c r="V19" s="11">
        <f t="shared" si="23"/>
        <v>10593.98</v>
      </c>
      <c r="W19" s="40">
        <f t="shared" si="24"/>
        <v>12924.66</v>
      </c>
      <c r="X19" s="98" t="s">
        <v>8</v>
      </c>
      <c r="Y19" s="99"/>
      <c r="Z19" s="45">
        <f t="shared" si="25"/>
        <v>9631.15</v>
      </c>
      <c r="AA19" s="48">
        <f t="shared" si="26"/>
        <v>11750</v>
      </c>
      <c r="AB19" s="46">
        <f t="shared" si="27"/>
        <v>23500</v>
      </c>
      <c r="AC19" s="69">
        <f>MIN(V19,X19,Z19)</f>
        <v>9631.15</v>
      </c>
      <c r="AD19" s="70">
        <f>ROUND(AC19*(1+D19),2)</f>
        <v>11750</v>
      </c>
      <c r="AE19" s="63">
        <f>AD19*F19</f>
        <v>23500</v>
      </c>
      <c r="AF19" s="74">
        <v>23500</v>
      </c>
      <c r="AI19" s="23"/>
    </row>
    <row r="20" spans="1:35" ht="24.75" customHeight="1" thickBot="1" x14ac:dyDescent="0.3">
      <c r="A20" s="82" t="s">
        <v>10</v>
      </c>
      <c r="B20" s="82"/>
      <c r="C20" s="16"/>
      <c r="D20" s="16"/>
      <c r="E20" s="12"/>
      <c r="F20" s="54">
        <f>SUM(F15:F19)</f>
        <v>12</v>
      </c>
      <c r="G20" s="75">
        <f>SUM(I15:I19)</f>
        <v>151020</v>
      </c>
      <c r="H20" s="76"/>
      <c r="I20" s="77"/>
      <c r="J20" s="78">
        <f>SUM(L15:L19)</f>
        <v>153010</v>
      </c>
      <c r="K20" s="76"/>
      <c r="L20" s="77"/>
      <c r="M20" s="78">
        <f>SUM(O15:O19)</f>
        <v>154024</v>
      </c>
      <c r="N20" s="76"/>
      <c r="O20" s="76"/>
      <c r="P20" s="52">
        <f>AVERAGE(G20,J20,M20)</f>
        <v>152684.67000000001</v>
      </c>
      <c r="Q20" s="53">
        <f>SQRT((POWER(G20-P20,2)+POWER(J20-P20,2)+POWER(M20-P20,2))/2)</f>
        <v>1528.2</v>
      </c>
      <c r="R20" s="62">
        <f>Q20/P20*100</f>
        <v>1</v>
      </c>
      <c r="S20" s="41"/>
      <c r="T20" s="27"/>
      <c r="U20" s="27"/>
      <c r="V20" s="27"/>
      <c r="W20" s="42"/>
      <c r="X20" s="43"/>
      <c r="Y20" s="44"/>
      <c r="Z20" s="43"/>
      <c r="AA20" s="47"/>
      <c r="AB20" s="44"/>
      <c r="AC20" s="71"/>
      <c r="AD20" s="72"/>
      <c r="AE20" s="64">
        <f>SUM(AE15:AE19)</f>
        <v>147525</v>
      </c>
      <c r="AF20" s="73">
        <f>SUM(AF15:AF19)</f>
        <v>147525</v>
      </c>
      <c r="AI20" s="23"/>
    </row>
    <row r="21" spans="1:35" ht="24.75" customHeight="1" x14ac:dyDescent="0.25">
      <c r="A21" s="19" t="s">
        <v>31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4"/>
      <c r="R21" s="5"/>
      <c r="S21" s="5"/>
      <c r="T21" s="5"/>
      <c r="U21" s="5"/>
      <c r="V21" s="5"/>
      <c r="W21" s="5"/>
      <c r="X21" s="6"/>
      <c r="Y21" s="6"/>
      <c r="Z21" s="6"/>
      <c r="AA21" s="6"/>
      <c r="AB21" s="6"/>
      <c r="AC21" s="6"/>
      <c r="AD21" s="6"/>
      <c r="AE21" s="6"/>
      <c r="AF21" s="6"/>
    </row>
    <row r="22" spans="1:35" ht="24.75" customHeight="1" x14ac:dyDescent="0.25">
      <c r="A22" s="19" t="s">
        <v>32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4"/>
      <c r="R22" s="5"/>
      <c r="S22" s="5"/>
      <c r="T22" s="5"/>
      <c r="U22" s="5"/>
      <c r="V22" s="5"/>
      <c r="W22" s="5"/>
      <c r="X22" s="6"/>
      <c r="Y22" s="6"/>
      <c r="Z22" s="6"/>
      <c r="AA22" s="6"/>
      <c r="AB22" s="6"/>
      <c r="AC22" s="6"/>
      <c r="AD22" s="6"/>
      <c r="AE22" s="6"/>
      <c r="AF22" s="6"/>
    </row>
    <row r="23" spans="1:35" ht="51.75" customHeight="1" x14ac:dyDescent="0.25">
      <c r="A23" s="81" t="s">
        <v>37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13"/>
      <c r="R23" s="15"/>
      <c r="S23" s="18"/>
      <c r="T23" s="18"/>
      <c r="U23" s="18"/>
      <c r="V23" s="18"/>
      <c r="W23" s="18"/>
      <c r="X23" s="80"/>
      <c r="Y23" s="80"/>
      <c r="Z23" s="80"/>
      <c r="AA23" s="80"/>
      <c r="AB23" s="80"/>
      <c r="AC23" s="80"/>
      <c r="AD23" s="80"/>
      <c r="AE23" s="80"/>
      <c r="AF23" s="58"/>
    </row>
    <row r="24" spans="1:35" ht="15.75" x14ac:dyDescent="0.25">
      <c r="A24" s="8"/>
      <c r="B24" s="13">
        <f>AE20</f>
        <v>147525</v>
      </c>
      <c r="C24" s="80" t="str">
        <f>INDEX({"","сто ","двести ","триста ","четыреста ","пятьсот ","шестьсот ","семьсот ","восемьсот ","девятьсот "},MOD(TRUNC(B24/10^8),10)+1)&amp;CHOOSE(MOD(TRUNC(B24/10^7),10)+1,"",INDEX({"десять ","одиннадцать ","двенадцать ","тринадцать ","четырнадцать ","пятнадцать ","шестнадцать ","семнадцать ","восемнадцать ","девятнадцать "},MOD(TRUNC(B24/10^6),10)+1),"двадцать ","тридцать ","сорок ","пятьдесят ","шестьдесят ","семьдесят ","восемьдесят ","девяносто ")&amp;IF(MOD(TRUNC(B24/10^7),10)&lt;&gt;1,INDEX({"","один ","два ","три ","четыре ","пять ","шесть ","семь ","восемь ","девять "},MOD(TRUNC(B24/10^6),10)+1),"")&amp;IF(MOD(TRUNC(B24/10^6),1000),"миллион"&amp;IF(MOD(TRUNC(B24/10^7),10)=1,"ов ",VLOOKUP(MOD(TRUNC(B24/10^6),10),{0,"ов ";1," ";2,"а ";5,"ов "},2)),"")&amp;INDEX({"","сто ","двести ","триста ","четыреста ","пятьсот ","шестьсот ","семьсот ","восемьсот ","девятьсот "},MOD(TRUNC(B24/10^5),10)+1)&amp;CHOOSE(MOD(TRUNC(B24/10^4),10)+1,"",INDEX({"десять ","одиннадцать ","двенадцать ","тринадцать ","четырнадцать ","пятнадцать ","шестнадцать ","семнадцать ","восемнадцать ","девятнадцать "},MOD(TRUNC(B24/1000),10)+1),"двадцать ","тридцать ","сорок ","пятьдесят ","шестьдесят ","семьдесят ","восемьдесят ","девяносто ")&amp;IF(MOD(TRUNC(B24/10^4),10)&lt;&gt;1,INDEX({"","одна ","две ","три ","четыре ","пять ","шесть ","семь ","восемь ","девять "},MOD(TRUNC(B24/1000),10)+1),"")&amp;IF(MOD(TRUNC(B24/1000),1000),"тысяч"&amp;IF(MOD(TRUNC(B24/10^4),10)=1," ",VLOOKUP(MOD(TRUNC(B24/1000),10),{0," ";1,"а ";2,"и ";5," "},2)),"")&amp;INDEX({"","сто ","двести ","триста ","четыреста ","пятьсот ","шестьсот ","семьсот ","восемьсот ","девятьсот "},MOD(TRUNC(B24/100),10)+1)&amp;CHOOSE(MOD(TRUNC(B24/10),10)+1,"",INDEX({"десять ","одиннадцать ","двенадцать ","тринадцать ","четырнадцать ","пятнадцать ","шестнадцать ","семнадцать ","восемнадцать ","девятнадцать "},MOD(TRUNC(B24),10)+1),"двадцать ","тридцать ","сорок ","пятьдесят ","шестьдесят ","семьдесят ","восемьдесят ","девяносто ")&amp;IF(TRUNC(B24)=0,"ноль ",IF(MOD(TRUNC(B24/10),10)&lt;&gt;1,INDEX({"","один ","два ","три ","четыре ","пять ","шесть ","семь ","восемь ","девять "},MOD(TRUNC(B24),10)+1),""))&amp;"рубл"&amp;IF(MOD(TRUNC(B24/10),10)=1,"ей",VLOOKUP(MOD(TRUNC(B24),10),{0,"ей";1,"ь";2,"я";5,"ей"},2))&amp;TEXT(TRUNC((B24-TRUNC(B24)+0.00001)*100)," 00\ коп.;;")</f>
        <v>сто сорок семь тысяч пятьсот двадцать пять рублей</v>
      </c>
      <c r="D24" s="80"/>
      <c r="E24" s="80"/>
      <c r="F24" s="80"/>
      <c r="G24" s="80"/>
      <c r="H24" s="80"/>
      <c r="I24" s="80"/>
      <c r="J24" s="80"/>
      <c r="K24" s="80"/>
      <c r="L24" s="31"/>
      <c r="M24" s="9"/>
      <c r="N24" s="9"/>
      <c r="O24" s="9"/>
      <c r="P24" s="8"/>
      <c r="Q24" s="9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5" ht="15.75" x14ac:dyDescent="0.25">
      <c r="A25" s="8"/>
      <c r="B25" s="13"/>
      <c r="C25" s="22"/>
      <c r="D25" s="22"/>
      <c r="E25" s="22"/>
      <c r="F25" s="22"/>
      <c r="G25" s="22"/>
      <c r="H25" s="22"/>
      <c r="I25" s="31"/>
      <c r="J25" s="22"/>
      <c r="K25" s="22"/>
      <c r="L25" s="31"/>
      <c r="M25" s="9"/>
      <c r="N25" s="9"/>
      <c r="O25" s="9"/>
      <c r="P25" s="8"/>
      <c r="Q25" s="9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8" spans="1:35" x14ac:dyDescent="0.25">
      <c r="B28" s="113"/>
      <c r="C28" s="113"/>
      <c r="D28" s="113"/>
      <c r="E28" s="113"/>
      <c r="F28" s="113"/>
      <c r="G28" s="113"/>
      <c r="H28" s="113"/>
      <c r="I28" s="113"/>
      <c r="J28" s="113"/>
      <c r="K28" s="113"/>
    </row>
  </sheetData>
  <mergeCells count="58">
    <mergeCell ref="AF9:AF13"/>
    <mergeCell ref="B28:K28"/>
    <mergeCell ref="V10:V13"/>
    <mergeCell ref="Y10:Y13"/>
    <mergeCell ref="S10:U10"/>
    <mergeCell ref="G11:I11"/>
    <mergeCell ref="G10:I10"/>
    <mergeCell ref="G12:I12"/>
    <mergeCell ref="P10:P13"/>
    <mergeCell ref="Q10:Q13"/>
    <mergeCell ref="J10:L10"/>
    <mergeCell ref="J11:L11"/>
    <mergeCell ref="J12:L12"/>
    <mergeCell ref="M12:O12"/>
    <mergeCell ref="S11:S13"/>
    <mergeCell ref="T11:T13"/>
    <mergeCell ref="U11:U13"/>
    <mergeCell ref="F1:R1"/>
    <mergeCell ref="C4:R4"/>
    <mergeCell ref="AC9:AE9"/>
    <mergeCell ref="Z9:AB9"/>
    <mergeCell ref="B7:W7"/>
    <mergeCell ref="F2:R2"/>
    <mergeCell ref="C5:R5"/>
    <mergeCell ref="G9:O9"/>
    <mergeCell ref="S9:W9"/>
    <mergeCell ref="X9:Y9"/>
    <mergeCell ref="P9:R9"/>
    <mergeCell ref="X23:AE23"/>
    <mergeCell ref="W10:W13"/>
    <mergeCell ref="X10:X13"/>
    <mergeCell ref="AC10:AC13"/>
    <mergeCell ref="Z10:Z13"/>
    <mergeCell ref="AA10:AA13"/>
    <mergeCell ref="AB10:AB13"/>
    <mergeCell ref="X15:Y15"/>
    <mergeCell ref="AD10:AD13"/>
    <mergeCell ref="AE10:AE13"/>
    <mergeCell ref="X16:Y16"/>
    <mergeCell ref="X17:Y17"/>
    <mergeCell ref="X18:Y18"/>
    <mergeCell ref="X19:Y19"/>
    <mergeCell ref="G20:I20"/>
    <mergeCell ref="J20:L20"/>
    <mergeCell ref="M20:O20"/>
    <mergeCell ref="R10:R13"/>
    <mergeCell ref="C24:K24"/>
    <mergeCell ref="A23:P23"/>
    <mergeCell ref="A20:B20"/>
    <mergeCell ref="A9:A13"/>
    <mergeCell ref="B10:B13"/>
    <mergeCell ref="C10:C13"/>
    <mergeCell ref="D10:D13"/>
    <mergeCell ref="E9:E13"/>
    <mergeCell ref="F9:F13"/>
    <mergeCell ref="B9:D9"/>
    <mergeCell ref="M10:O10"/>
    <mergeCell ref="M11:O11"/>
  </mergeCells>
  <phoneticPr fontId="13" type="noConversion"/>
  <conditionalFormatting sqref="R15:R20">
    <cfRule type="cellIs" dxfId="0" priority="1" operator="greaterThan">
      <formula>33</formula>
    </cfRule>
  </conditionalFormatting>
  <pageMargins left="0.23622047244094491" right="0.23622047244094491" top="0.74803149606299213" bottom="0.74803149606299213" header="0.31496062992125984" footer="0.31496062992125984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АА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Петросова Светлана Евгеньевна</dc:creator>
  <cp:lastModifiedBy>Комарова Татьяна Ильинична</cp:lastModifiedBy>
  <cp:lastPrinted>2026-03-27T07:26:11Z</cp:lastPrinted>
  <dcterms:created xsi:type="dcterms:W3CDTF">2014-05-05T14:17:43Z</dcterms:created>
  <dcterms:modified xsi:type="dcterms:W3CDTF">2026-03-27T07:59:45Z</dcterms:modified>
</cp:coreProperties>
</file>