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chernova\Desktop\Подработка ОЛЯ\"/>
    </mc:Choice>
  </mc:AlternateContent>
  <bookViews>
    <workbookView xWindow="0" yWindow="0" windowWidth="15285" windowHeight="11475"/>
  </bookViews>
  <sheets>
    <sheet name="Смета по ТСН-2001(с доп.67" sheetId="7" r:id="rId1"/>
    <sheet name="Дефектная ведомость" sheetId="8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definedNames>
    <definedName name="_xlnm.Print_Titles" localSheetId="1">'Дефектная ведомость'!$15:$15</definedName>
    <definedName name="_xlnm.Print_Titles" localSheetId="0">'Смета по ТСН-2001(с доп.67'!$27:$27</definedName>
    <definedName name="_xlnm.Print_Area" localSheetId="1">'Дефектная ведомость'!$A$1:$D$67</definedName>
    <definedName name="_xlnm.Print_Area" localSheetId="0">'Смета по ТСН-2001(с доп.67'!$A$1:$K$308</definedName>
  </definedNames>
  <calcPr calcId="162913"/>
</workbook>
</file>

<file path=xl/calcChain.xml><?xml version="1.0" encoding="utf-8"?>
<calcChain xmlns="http://schemas.openxmlformats.org/spreadsheetml/2006/main">
  <c r="D62" i="8" l="1"/>
  <c r="C62" i="8"/>
  <c r="B62" i="8"/>
  <c r="D61" i="8"/>
  <c r="C61" i="8"/>
  <c r="B61" i="8"/>
  <c r="A60" i="8"/>
  <c r="D59" i="8"/>
  <c r="C59" i="8"/>
  <c r="B59" i="8"/>
  <c r="D58" i="8"/>
  <c r="C58" i="8"/>
  <c r="B58" i="8"/>
  <c r="D57" i="8"/>
  <c r="C57" i="8"/>
  <c r="B57" i="8"/>
  <c r="D56" i="8"/>
  <c r="C56" i="8"/>
  <c r="B56" i="8"/>
  <c r="D55" i="8"/>
  <c r="C55" i="8"/>
  <c r="B55" i="8"/>
  <c r="D54" i="8"/>
  <c r="C54" i="8"/>
  <c r="B54" i="8"/>
  <c r="D53" i="8"/>
  <c r="C53" i="8"/>
  <c r="B53" i="8"/>
  <c r="D52" i="8"/>
  <c r="C52" i="8"/>
  <c r="B52" i="8"/>
  <c r="D51" i="8"/>
  <c r="C51" i="8"/>
  <c r="B51" i="8"/>
  <c r="A50" i="8"/>
  <c r="D49" i="8"/>
  <c r="C49" i="8"/>
  <c r="B49" i="8"/>
  <c r="D48" i="8"/>
  <c r="C48" i="8"/>
  <c r="B48" i="8"/>
  <c r="D47" i="8"/>
  <c r="C47" i="8"/>
  <c r="B47" i="8"/>
  <c r="D46" i="8"/>
  <c r="C46" i="8"/>
  <c r="B46" i="8"/>
  <c r="D45" i="8"/>
  <c r="C45" i="8"/>
  <c r="B45" i="8"/>
  <c r="D44" i="8"/>
  <c r="C44" i="8"/>
  <c r="B44" i="8"/>
  <c r="D43" i="8"/>
  <c r="C43" i="8"/>
  <c r="B43" i="8"/>
  <c r="D42" i="8"/>
  <c r="C42" i="8"/>
  <c r="B42" i="8"/>
  <c r="D41" i="8"/>
  <c r="C41" i="8"/>
  <c r="B41" i="8"/>
  <c r="D40" i="8"/>
  <c r="C40" i="8"/>
  <c r="B40" i="8"/>
  <c r="D39" i="8"/>
  <c r="C39" i="8"/>
  <c r="B39" i="8"/>
  <c r="D38" i="8"/>
  <c r="C38" i="8"/>
  <c r="B38" i="8"/>
  <c r="D37" i="8"/>
  <c r="C37" i="8"/>
  <c r="B37" i="8"/>
  <c r="D36" i="8"/>
  <c r="C36" i="8"/>
  <c r="B36" i="8"/>
  <c r="D35" i="8"/>
  <c r="C35" i="8"/>
  <c r="B35" i="8"/>
  <c r="A34" i="8"/>
  <c r="D33" i="8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A18" i="8"/>
  <c r="A17" i="8"/>
  <c r="A16" i="8"/>
  <c r="AC12" i="8"/>
  <c r="A11" i="8"/>
  <c r="A1" i="8"/>
  <c r="H306" i="7"/>
  <c r="H303" i="7"/>
  <c r="C306" i="7"/>
  <c r="C303" i="7"/>
  <c r="J300" i="7"/>
  <c r="C300" i="7"/>
  <c r="J299" i="7"/>
  <c r="C299" i="7"/>
  <c r="J298" i="7"/>
  <c r="C298" i="7"/>
  <c r="J22" i="7"/>
  <c r="J19" i="7"/>
  <c r="J18" i="7"/>
  <c r="J17" i="7"/>
  <c r="J16" i="7"/>
  <c r="J15" i="7"/>
  <c r="J14" i="7" s="1"/>
  <c r="I22" i="7"/>
  <c r="H297" i="7"/>
  <c r="J297" i="7"/>
  <c r="H296" i="7"/>
  <c r="J296" i="7"/>
  <c r="AQ295" i="7"/>
  <c r="A295" i="7"/>
  <c r="H293" i="7"/>
  <c r="J293" i="7"/>
  <c r="H292" i="7"/>
  <c r="J292" i="7"/>
  <c r="A291" i="7"/>
  <c r="H289" i="7"/>
  <c r="J289" i="7"/>
  <c r="H288" i="7"/>
  <c r="J288" i="7"/>
  <c r="A287" i="7"/>
  <c r="AA284" i="7"/>
  <c r="Z284" i="7"/>
  <c r="Y284" i="7"/>
  <c r="X284" i="7"/>
  <c r="H283" i="7"/>
  <c r="H282" i="7"/>
  <c r="P284" i="7"/>
  <c r="J283" i="7"/>
  <c r="J282" i="7"/>
  <c r="K281" i="7"/>
  <c r="J281" i="7"/>
  <c r="I281" i="7"/>
  <c r="O284" i="7" s="1"/>
  <c r="H281" i="7"/>
  <c r="F281" i="7"/>
  <c r="V280" i="7"/>
  <c r="T280" i="7"/>
  <c r="R280" i="7"/>
  <c r="U280" i="7"/>
  <c r="S280" i="7"/>
  <c r="Q280" i="7"/>
  <c r="E280" i="7"/>
  <c r="D280" i="7"/>
  <c r="B280" i="7"/>
  <c r="AA278" i="7"/>
  <c r="Z278" i="7"/>
  <c r="Y278" i="7"/>
  <c r="H277" i="7"/>
  <c r="J277" i="7"/>
  <c r="AB275" i="7"/>
  <c r="I275" i="7"/>
  <c r="H275" i="7"/>
  <c r="E275" i="7"/>
  <c r="K274" i="7"/>
  <c r="J274" i="7"/>
  <c r="I274" i="7"/>
  <c r="E274" i="7"/>
  <c r="J273" i="7"/>
  <c r="E273" i="7"/>
  <c r="K272" i="7"/>
  <c r="J272" i="7"/>
  <c r="I272" i="7"/>
  <c r="W272" i="7" s="1"/>
  <c r="H272" i="7"/>
  <c r="F272" i="7"/>
  <c r="K271" i="7"/>
  <c r="J271" i="7"/>
  <c r="I271" i="7"/>
  <c r="X278" i="7" s="1"/>
  <c r="H271" i="7"/>
  <c r="F271" i="7"/>
  <c r="K270" i="7"/>
  <c r="J270" i="7"/>
  <c r="W270" i="7"/>
  <c r="I270" i="7"/>
  <c r="H270" i="7"/>
  <c r="F270" i="7"/>
  <c r="V269" i="7"/>
  <c r="T269" i="7"/>
  <c r="R269" i="7"/>
  <c r="K273" i="7" s="1"/>
  <c r="P278" i="7" s="1"/>
  <c r="J287" i="7" s="1"/>
  <c r="U269" i="7"/>
  <c r="S269" i="7"/>
  <c r="Q269" i="7"/>
  <c r="I273" i="7" s="1"/>
  <c r="E269" i="7"/>
  <c r="D269" i="7"/>
  <c r="B269" i="7"/>
  <c r="A268" i="7"/>
  <c r="H266" i="7"/>
  <c r="J266" i="7"/>
  <c r="H265" i="7"/>
  <c r="J265" i="7"/>
  <c r="A264" i="7"/>
  <c r="H262" i="7"/>
  <c r="J262" i="7"/>
  <c r="H261" i="7"/>
  <c r="J261" i="7"/>
  <c r="A260" i="7"/>
  <c r="AA257" i="7"/>
  <c r="Z257" i="7"/>
  <c r="Y257" i="7"/>
  <c r="H256" i="7"/>
  <c r="J256" i="7"/>
  <c r="AB254" i="7"/>
  <c r="I254" i="7"/>
  <c r="H254" i="7"/>
  <c r="E254" i="7"/>
  <c r="K253" i="7"/>
  <c r="J253" i="7"/>
  <c r="E253" i="7"/>
  <c r="J252" i="7"/>
  <c r="E252" i="7"/>
  <c r="K251" i="7"/>
  <c r="J251" i="7"/>
  <c r="H251" i="7"/>
  <c r="AA251" i="7"/>
  <c r="Z251" i="7"/>
  <c r="Y251" i="7"/>
  <c r="I251" i="7"/>
  <c r="X251" i="7" s="1"/>
  <c r="F251" i="7"/>
  <c r="V251" i="7"/>
  <c r="T251" i="7"/>
  <c r="R251" i="7"/>
  <c r="K252" i="7" s="1"/>
  <c r="U251" i="7"/>
  <c r="S251" i="7"/>
  <c r="Q251" i="7"/>
  <c r="E251" i="7"/>
  <c r="D251" i="7"/>
  <c r="B251" i="7"/>
  <c r="K250" i="7"/>
  <c r="J250" i="7"/>
  <c r="H250" i="7"/>
  <c r="AA250" i="7"/>
  <c r="Z250" i="7"/>
  <c r="Y250" i="7"/>
  <c r="I250" i="7"/>
  <c r="X250" i="7" s="1"/>
  <c r="F250" i="7"/>
  <c r="V250" i="7"/>
  <c r="T250" i="7"/>
  <c r="R250" i="7"/>
  <c r="U250" i="7"/>
  <c r="S250" i="7"/>
  <c r="Q250" i="7"/>
  <c r="E250" i="7"/>
  <c r="D250" i="7"/>
  <c r="B250" i="7"/>
  <c r="K249" i="7"/>
  <c r="J249" i="7"/>
  <c r="H249" i="7"/>
  <c r="AA249" i="7"/>
  <c r="Z249" i="7"/>
  <c r="Y249" i="7"/>
  <c r="X249" i="7"/>
  <c r="I249" i="7"/>
  <c r="F249" i="7"/>
  <c r="V249" i="7"/>
  <c r="T249" i="7"/>
  <c r="R249" i="7"/>
  <c r="U249" i="7"/>
  <c r="S249" i="7"/>
  <c r="Q249" i="7"/>
  <c r="E249" i="7"/>
  <c r="D249" i="7"/>
  <c r="B249" i="7"/>
  <c r="K248" i="7"/>
  <c r="J248" i="7"/>
  <c r="I248" i="7"/>
  <c r="H248" i="7"/>
  <c r="F248" i="7"/>
  <c r="K247" i="7"/>
  <c r="J247" i="7"/>
  <c r="W247" i="7"/>
  <c r="I247" i="7"/>
  <c r="H247" i="7"/>
  <c r="F247" i="7"/>
  <c r="K246" i="7"/>
  <c r="J246" i="7"/>
  <c r="I246" i="7"/>
  <c r="H246" i="7"/>
  <c r="F246" i="7"/>
  <c r="K245" i="7"/>
  <c r="J245" i="7"/>
  <c r="I245" i="7"/>
  <c r="H245" i="7"/>
  <c r="F245" i="7"/>
  <c r="C244" i="7"/>
  <c r="V243" i="7"/>
  <c r="T243" i="7"/>
  <c r="R243" i="7"/>
  <c r="U243" i="7"/>
  <c r="S243" i="7"/>
  <c r="I253" i="7" s="1"/>
  <c r="Q243" i="7"/>
  <c r="I252" i="7" s="1"/>
  <c r="E243" i="7"/>
  <c r="D243" i="7"/>
  <c r="B243" i="7"/>
  <c r="AA241" i="7"/>
  <c r="Z241" i="7"/>
  <c r="Y241" i="7"/>
  <c r="H240" i="7"/>
  <c r="J240" i="7"/>
  <c r="I238" i="7"/>
  <c r="AB238" i="7" s="1"/>
  <c r="H238" i="7"/>
  <c r="E238" i="7"/>
  <c r="J237" i="7"/>
  <c r="E237" i="7"/>
  <c r="J236" i="7"/>
  <c r="E236" i="7"/>
  <c r="K235" i="7"/>
  <c r="J235" i="7"/>
  <c r="H235" i="7"/>
  <c r="AA235" i="7"/>
  <c r="Z235" i="7"/>
  <c r="Y235" i="7"/>
  <c r="X235" i="7"/>
  <c r="I235" i="7"/>
  <c r="F235" i="7"/>
  <c r="V235" i="7"/>
  <c r="T235" i="7"/>
  <c r="R235" i="7"/>
  <c r="U235" i="7"/>
  <c r="S235" i="7"/>
  <c r="Q235" i="7"/>
  <c r="I236" i="7" s="1"/>
  <c r="E235" i="7"/>
  <c r="D235" i="7"/>
  <c r="B235" i="7"/>
  <c r="K234" i="7"/>
  <c r="J234" i="7"/>
  <c r="H234" i="7"/>
  <c r="AA234" i="7"/>
  <c r="Z234" i="7"/>
  <c r="Y234" i="7"/>
  <c r="X234" i="7"/>
  <c r="I234" i="7"/>
  <c r="F234" i="7"/>
  <c r="V234" i="7"/>
  <c r="T234" i="7"/>
  <c r="R234" i="7"/>
  <c r="U234" i="7"/>
  <c r="S234" i="7"/>
  <c r="Q234" i="7"/>
  <c r="E234" i="7"/>
  <c r="D234" i="7"/>
  <c r="B234" i="7"/>
  <c r="K233" i="7"/>
  <c r="J233" i="7"/>
  <c r="W233" i="7"/>
  <c r="I233" i="7"/>
  <c r="H233" i="7"/>
  <c r="F233" i="7"/>
  <c r="C232" i="7"/>
  <c r="V231" i="7"/>
  <c r="T231" i="7"/>
  <c r="K237" i="7" s="1"/>
  <c r="R231" i="7"/>
  <c r="K236" i="7" s="1"/>
  <c r="U231" i="7"/>
  <c r="S231" i="7"/>
  <c r="I237" i="7" s="1"/>
  <c r="Q231" i="7"/>
  <c r="E231" i="7"/>
  <c r="D231" i="7"/>
  <c r="B231" i="7"/>
  <c r="AA229" i="7"/>
  <c r="Z229" i="7"/>
  <c r="Y229" i="7"/>
  <c r="H228" i="7"/>
  <c r="J228" i="7"/>
  <c r="AB226" i="7"/>
  <c r="I226" i="7"/>
  <c r="H226" i="7"/>
  <c r="E226" i="7"/>
  <c r="J225" i="7"/>
  <c r="I225" i="7"/>
  <c r="E225" i="7"/>
  <c r="J224" i="7"/>
  <c r="E224" i="7"/>
  <c r="K223" i="7"/>
  <c r="J223" i="7"/>
  <c r="H223" i="7"/>
  <c r="AA223" i="7"/>
  <c r="Z223" i="7"/>
  <c r="Y223" i="7"/>
  <c r="X223" i="7"/>
  <c r="I223" i="7"/>
  <c r="F223" i="7"/>
  <c r="V223" i="7"/>
  <c r="T223" i="7"/>
  <c r="R223" i="7"/>
  <c r="U223" i="7"/>
  <c r="S223" i="7"/>
  <c r="Q223" i="7"/>
  <c r="E223" i="7"/>
  <c r="D223" i="7"/>
  <c r="B223" i="7"/>
  <c r="K222" i="7"/>
  <c r="J222" i="7"/>
  <c r="W222" i="7"/>
  <c r="I222" i="7"/>
  <c r="H222" i="7"/>
  <c r="F222" i="7"/>
  <c r="V221" i="7"/>
  <c r="T221" i="7"/>
  <c r="K225" i="7" s="1"/>
  <c r="R221" i="7"/>
  <c r="K224" i="7" s="1"/>
  <c r="U221" i="7"/>
  <c r="S221" i="7"/>
  <c r="Q221" i="7"/>
  <c r="I224" i="7" s="1"/>
  <c r="E221" i="7"/>
  <c r="D221" i="7"/>
  <c r="B221" i="7"/>
  <c r="A220" i="7"/>
  <c r="H218" i="7"/>
  <c r="J218" i="7"/>
  <c r="H217" i="7"/>
  <c r="J217" i="7"/>
  <c r="A216" i="7"/>
  <c r="AA213" i="7"/>
  <c r="Z213" i="7"/>
  <c r="Y213" i="7"/>
  <c r="H212" i="7"/>
  <c r="J212" i="7"/>
  <c r="AB210" i="7"/>
  <c r="I210" i="7"/>
  <c r="H210" i="7"/>
  <c r="E210" i="7"/>
  <c r="J209" i="7"/>
  <c r="E209" i="7"/>
  <c r="J208" i="7"/>
  <c r="I208" i="7"/>
  <c r="E208" i="7"/>
  <c r="K207" i="7"/>
  <c r="J207" i="7"/>
  <c r="I207" i="7"/>
  <c r="W207" i="7" s="1"/>
  <c r="H207" i="7"/>
  <c r="F207" i="7"/>
  <c r="K206" i="7"/>
  <c r="J206" i="7"/>
  <c r="I206" i="7"/>
  <c r="H206" i="7"/>
  <c r="F206" i="7"/>
  <c r="K205" i="7"/>
  <c r="J205" i="7"/>
  <c r="W205" i="7"/>
  <c r="I205" i="7"/>
  <c r="H205" i="7"/>
  <c r="F205" i="7"/>
  <c r="C204" i="7"/>
  <c r="V203" i="7"/>
  <c r="T203" i="7"/>
  <c r="K209" i="7" s="1"/>
  <c r="R203" i="7"/>
  <c r="K208" i="7" s="1"/>
  <c r="U203" i="7"/>
  <c r="S203" i="7"/>
  <c r="I209" i="7" s="1"/>
  <c r="X213" i="7" s="1"/>
  <c r="Q203" i="7"/>
  <c r="E203" i="7"/>
  <c r="D203" i="7"/>
  <c r="B203" i="7"/>
  <c r="AA201" i="7"/>
  <c r="Z201" i="7"/>
  <c r="Y201" i="7"/>
  <c r="H200" i="7"/>
  <c r="J200" i="7"/>
  <c r="AB198" i="7"/>
  <c r="I198" i="7"/>
  <c r="H198" i="7"/>
  <c r="E198" i="7"/>
  <c r="J197" i="7"/>
  <c r="I197" i="7"/>
  <c r="E197" i="7"/>
  <c r="J196" i="7"/>
  <c r="E196" i="7"/>
  <c r="K195" i="7"/>
  <c r="J195" i="7"/>
  <c r="H195" i="7"/>
  <c r="AA195" i="7"/>
  <c r="Z195" i="7"/>
  <c r="Y195" i="7"/>
  <c r="X195" i="7"/>
  <c r="I195" i="7"/>
  <c r="F195" i="7"/>
  <c r="V195" i="7"/>
  <c r="T195" i="7"/>
  <c r="R195" i="7"/>
  <c r="K196" i="7" s="1"/>
  <c r="U195" i="7"/>
  <c r="S195" i="7"/>
  <c r="Q195" i="7"/>
  <c r="I196" i="7" s="1"/>
  <c r="E195" i="7"/>
  <c r="D195" i="7"/>
  <c r="B195" i="7"/>
  <c r="K194" i="7"/>
  <c r="J194" i="7"/>
  <c r="W194" i="7"/>
  <c r="I194" i="7"/>
  <c r="H194" i="7"/>
  <c r="F194" i="7"/>
  <c r="K193" i="7"/>
  <c r="J193" i="7"/>
  <c r="I193" i="7"/>
  <c r="H193" i="7"/>
  <c r="F193" i="7"/>
  <c r="K192" i="7"/>
  <c r="J192" i="7"/>
  <c r="W192" i="7"/>
  <c r="I192" i="7"/>
  <c r="H199" i="7" s="1"/>
  <c r="H192" i="7"/>
  <c r="F192" i="7"/>
  <c r="C191" i="7"/>
  <c r="V190" i="7"/>
  <c r="T190" i="7"/>
  <c r="K197" i="7" s="1"/>
  <c r="R190" i="7"/>
  <c r="U190" i="7"/>
  <c r="S190" i="7"/>
  <c r="Q190" i="7"/>
  <c r="E190" i="7"/>
  <c r="D190" i="7"/>
  <c r="B190" i="7"/>
  <c r="AA188" i="7"/>
  <c r="Z188" i="7"/>
  <c r="Y188" i="7"/>
  <c r="H187" i="7"/>
  <c r="J187" i="7"/>
  <c r="AB185" i="7"/>
  <c r="I185" i="7"/>
  <c r="H185" i="7"/>
  <c r="E185" i="7"/>
  <c r="K184" i="7"/>
  <c r="J184" i="7"/>
  <c r="E184" i="7"/>
  <c r="J183" i="7"/>
  <c r="E183" i="7"/>
  <c r="K182" i="7"/>
  <c r="J182" i="7"/>
  <c r="H182" i="7"/>
  <c r="AA182" i="7"/>
  <c r="Z182" i="7"/>
  <c r="Y182" i="7"/>
  <c r="I182" i="7"/>
  <c r="X182" i="7" s="1"/>
  <c r="F182" i="7"/>
  <c r="V182" i="7"/>
  <c r="T182" i="7"/>
  <c r="R182" i="7"/>
  <c r="U182" i="7"/>
  <c r="S182" i="7"/>
  <c r="Q182" i="7"/>
  <c r="E182" i="7"/>
  <c r="D182" i="7"/>
  <c r="B182" i="7"/>
  <c r="K181" i="7"/>
  <c r="J181" i="7"/>
  <c r="I181" i="7"/>
  <c r="H181" i="7"/>
  <c r="F181" i="7"/>
  <c r="K180" i="7"/>
  <c r="J180" i="7"/>
  <c r="W180" i="7"/>
  <c r="I180" i="7"/>
  <c r="X188" i="7" s="1"/>
  <c r="H180" i="7"/>
  <c r="F180" i="7"/>
  <c r="C179" i="7"/>
  <c r="V178" i="7"/>
  <c r="T178" i="7"/>
  <c r="R178" i="7"/>
  <c r="K183" i="7" s="1"/>
  <c r="U178" i="7"/>
  <c r="S178" i="7"/>
  <c r="I184" i="7" s="1"/>
  <c r="Q178" i="7"/>
  <c r="I183" i="7" s="1"/>
  <c r="E178" i="7"/>
  <c r="D178" i="7"/>
  <c r="B178" i="7"/>
  <c r="AA176" i="7"/>
  <c r="Z176" i="7"/>
  <c r="Y176" i="7"/>
  <c r="H175" i="7"/>
  <c r="J175" i="7"/>
  <c r="AB173" i="7"/>
  <c r="I173" i="7"/>
  <c r="H173" i="7"/>
  <c r="E173" i="7"/>
  <c r="J172" i="7"/>
  <c r="I172" i="7"/>
  <c r="E172" i="7"/>
  <c r="J171" i="7"/>
  <c r="E171" i="7"/>
  <c r="K170" i="7"/>
  <c r="J170" i="7"/>
  <c r="H170" i="7"/>
  <c r="AA170" i="7"/>
  <c r="Z170" i="7"/>
  <c r="Y170" i="7"/>
  <c r="X170" i="7"/>
  <c r="I170" i="7"/>
  <c r="F170" i="7"/>
  <c r="V170" i="7"/>
  <c r="T170" i="7"/>
  <c r="R170" i="7"/>
  <c r="U170" i="7"/>
  <c r="S170" i="7"/>
  <c r="Q170" i="7"/>
  <c r="E170" i="7"/>
  <c r="D170" i="7"/>
  <c r="B170" i="7"/>
  <c r="K169" i="7"/>
  <c r="J169" i="7"/>
  <c r="H169" i="7"/>
  <c r="AA169" i="7"/>
  <c r="Z169" i="7"/>
  <c r="Y169" i="7"/>
  <c r="I169" i="7"/>
  <c r="X169" i="7" s="1"/>
  <c r="F169" i="7"/>
  <c r="V169" i="7"/>
  <c r="T169" i="7"/>
  <c r="R169" i="7"/>
  <c r="U169" i="7"/>
  <c r="S169" i="7"/>
  <c r="Q169" i="7"/>
  <c r="E169" i="7"/>
  <c r="D169" i="7"/>
  <c r="B169" i="7"/>
  <c r="K168" i="7"/>
  <c r="J168" i="7"/>
  <c r="I168" i="7"/>
  <c r="H168" i="7"/>
  <c r="F168" i="7"/>
  <c r="K167" i="7"/>
  <c r="J167" i="7"/>
  <c r="W167" i="7"/>
  <c r="I167" i="7"/>
  <c r="H167" i="7"/>
  <c r="F167" i="7"/>
  <c r="C166" i="7"/>
  <c r="V165" i="7"/>
  <c r="T165" i="7"/>
  <c r="K172" i="7" s="1"/>
  <c r="R165" i="7"/>
  <c r="K171" i="7" s="1"/>
  <c r="J174" i="7" s="1"/>
  <c r="U165" i="7"/>
  <c r="S165" i="7"/>
  <c r="Q165" i="7"/>
  <c r="I171" i="7" s="1"/>
  <c r="E165" i="7"/>
  <c r="D165" i="7"/>
  <c r="B165" i="7"/>
  <c r="AA163" i="7"/>
  <c r="Z163" i="7"/>
  <c r="Y163" i="7"/>
  <c r="H162" i="7"/>
  <c r="J162" i="7"/>
  <c r="AB160" i="7"/>
  <c r="I160" i="7"/>
  <c r="H160" i="7"/>
  <c r="E160" i="7"/>
  <c r="J159" i="7"/>
  <c r="E159" i="7"/>
  <c r="K158" i="7"/>
  <c r="J158" i="7"/>
  <c r="E158" i="7"/>
  <c r="K157" i="7"/>
  <c r="J157" i="7"/>
  <c r="H157" i="7"/>
  <c r="AA157" i="7"/>
  <c r="Z157" i="7"/>
  <c r="Y157" i="7"/>
  <c r="X157" i="7"/>
  <c r="I157" i="7"/>
  <c r="F157" i="7"/>
  <c r="V157" i="7"/>
  <c r="T157" i="7"/>
  <c r="R157" i="7"/>
  <c r="U157" i="7"/>
  <c r="S157" i="7"/>
  <c r="Q157" i="7"/>
  <c r="I158" i="7" s="1"/>
  <c r="E157" i="7"/>
  <c r="D157" i="7"/>
  <c r="B157" i="7"/>
  <c r="K156" i="7"/>
  <c r="J156" i="7"/>
  <c r="H156" i="7"/>
  <c r="AA156" i="7"/>
  <c r="Z156" i="7"/>
  <c r="Y156" i="7"/>
  <c r="I156" i="7"/>
  <c r="X156" i="7" s="1"/>
  <c r="F156" i="7"/>
  <c r="V156" i="7"/>
  <c r="T156" i="7"/>
  <c r="R156" i="7"/>
  <c r="U156" i="7"/>
  <c r="S156" i="7"/>
  <c r="Q156" i="7"/>
  <c r="E156" i="7"/>
  <c r="D156" i="7"/>
  <c r="B156" i="7"/>
  <c r="K155" i="7"/>
  <c r="J155" i="7"/>
  <c r="H155" i="7"/>
  <c r="AA155" i="7"/>
  <c r="Z155" i="7"/>
  <c r="Y155" i="7"/>
  <c r="I155" i="7"/>
  <c r="X155" i="7" s="1"/>
  <c r="F155" i="7"/>
  <c r="V155" i="7"/>
  <c r="T155" i="7"/>
  <c r="R155" i="7"/>
  <c r="U155" i="7"/>
  <c r="S155" i="7"/>
  <c r="Q155" i="7"/>
  <c r="E155" i="7"/>
  <c r="D155" i="7"/>
  <c r="B155" i="7"/>
  <c r="K154" i="7"/>
  <c r="J154" i="7"/>
  <c r="I154" i="7"/>
  <c r="H154" i="7"/>
  <c r="F154" i="7"/>
  <c r="K153" i="7"/>
  <c r="J153" i="7"/>
  <c r="W153" i="7"/>
  <c r="I153" i="7"/>
  <c r="H153" i="7"/>
  <c r="F153" i="7"/>
  <c r="K152" i="7"/>
  <c r="J152" i="7"/>
  <c r="I152" i="7"/>
  <c r="X163" i="7" s="1"/>
  <c r="H152" i="7"/>
  <c r="F152" i="7"/>
  <c r="K151" i="7"/>
  <c r="J151" i="7"/>
  <c r="I151" i="7"/>
  <c r="H151" i="7"/>
  <c r="F151" i="7"/>
  <c r="C150" i="7"/>
  <c r="V149" i="7"/>
  <c r="T149" i="7"/>
  <c r="K159" i="7" s="1"/>
  <c r="R149" i="7"/>
  <c r="U149" i="7"/>
  <c r="S149" i="7"/>
  <c r="I159" i="7" s="1"/>
  <c r="Q149" i="7"/>
  <c r="E149" i="7"/>
  <c r="D149" i="7"/>
  <c r="B149" i="7"/>
  <c r="AA147" i="7"/>
  <c r="Z147" i="7"/>
  <c r="Y147" i="7"/>
  <c r="H146" i="7"/>
  <c r="J146" i="7"/>
  <c r="I144" i="7"/>
  <c r="AB144" i="7" s="1"/>
  <c r="H144" i="7"/>
  <c r="E144" i="7"/>
  <c r="K143" i="7"/>
  <c r="J143" i="7"/>
  <c r="I143" i="7"/>
  <c r="E143" i="7"/>
  <c r="J142" i="7"/>
  <c r="E142" i="7"/>
  <c r="K141" i="7"/>
  <c r="J141" i="7"/>
  <c r="H141" i="7"/>
  <c r="AA141" i="7"/>
  <c r="Z141" i="7"/>
  <c r="Y141" i="7"/>
  <c r="I141" i="7"/>
  <c r="X141" i="7" s="1"/>
  <c r="F141" i="7"/>
  <c r="V141" i="7"/>
  <c r="T141" i="7"/>
  <c r="R141" i="7"/>
  <c r="U141" i="7"/>
  <c r="S141" i="7"/>
  <c r="Q141" i="7"/>
  <c r="E141" i="7"/>
  <c r="D141" i="7"/>
  <c r="B141" i="7"/>
  <c r="K140" i="7"/>
  <c r="J140" i="7"/>
  <c r="I140" i="7"/>
  <c r="W140" i="7" s="1"/>
  <c r="H140" i="7"/>
  <c r="F140" i="7"/>
  <c r="C139" i="7"/>
  <c r="V138" i="7"/>
  <c r="T138" i="7"/>
  <c r="R138" i="7"/>
  <c r="K142" i="7" s="1"/>
  <c r="P147" i="7" s="1"/>
  <c r="U138" i="7"/>
  <c r="S138" i="7"/>
  <c r="Q138" i="7"/>
  <c r="I142" i="7" s="1"/>
  <c r="H145" i="7" s="1"/>
  <c r="E138" i="7"/>
  <c r="D138" i="7"/>
  <c r="B138" i="7"/>
  <c r="AA136" i="7"/>
  <c r="Z136" i="7"/>
  <c r="Y136" i="7"/>
  <c r="H135" i="7"/>
  <c r="J135" i="7"/>
  <c r="I133" i="7"/>
  <c r="AB133" i="7" s="1"/>
  <c r="H133" i="7"/>
  <c r="E133" i="7"/>
  <c r="K132" i="7"/>
  <c r="J132" i="7"/>
  <c r="E132" i="7"/>
  <c r="J131" i="7"/>
  <c r="E131" i="7"/>
  <c r="K130" i="7"/>
  <c r="J130" i="7"/>
  <c r="W130" i="7"/>
  <c r="I130" i="7"/>
  <c r="H130" i="7"/>
  <c r="F130" i="7"/>
  <c r="V129" i="7"/>
  <c r="T129" i="7"/>
  <c r="R129" i="7"/>
  <c r="K131" i="7" s="1"/>
  <c r="U129" i="7"/>
  <c r="S129" i="7"/>
  <c r="I132" i="7" s="1"/>
  <c r="Q129" i="7"/>
  <c r="I131" i="7" s="1"/>
  <c r="H134" i="7" s="1"/>
  <c r="E129" i="7"/>
  <c r="D129" i="7"/>
  <c r="B129" i="7"/>
  <c r="A128" i="7"/>
  <c r="H126" i="7"/>
  <c r="J126" i="7"/>
  <c r="H125" i="7"/>
  <c r="J125" i="7"/>
  <c r="A124" i="7"/>
  <c r="AA121" i="7"/>
  <c r="Z121" i="7"/>
  <c r="Y121" i="7"/>
  <c r="H120" i="7"/>
  <c r="J120" i="7"/>
  <c r="AB118" i="7"/>
  <c r="I118" i="7"/>
  <c r="H118" i="7"/>
  <c r="E118" i="7"/>
  <c r="J117" i="7"/>
  <c r="I117" i="7"/>
  <c r="E117" i="7"/>
  <c r="J116" i="7"/>
  <c r="E116" i="7"/>
  <c r="K115" i="7"/>
  <c r="J115" i="7"/>
  <c r="H115" i="7"/>
  <c r="AA115" i="7"/>
  <c r="Z115" i="7"/>
  <c r="Y115" i="7"/>
  <c r="X115" i="7"/>
  <c r="I115" i="7"/>
  <c r="F115" i="7"/>
  <c r="V115" i="7"/>
  <c r="T115" i="7"/>
  <c r="R115" i="7"/>
  <c r="K116" i="7" s="1"/>
  <c r="U115" i="7"/>
  <c r="S115" i="7"/>
  <c r="Q115" i="7"/>
  <c r="I116" i="7" s="1"/>
  <c r="E115" i="7"/>
  <c r="D115" i="7"/>
  <c r="B115" i="7"/>
  <c r="K114" i="7"/>
  <c r="J114" i="7"/>
  <c r="I114" i="7"/>
  <c r="H114" i="7"/>
  <c r="F114" i="7"/>
  <c r="K113" i="7"/>
  <c r="J113" i="7"/>
  <c r="I113" i="7"/>
  <c r="O121" i="7" s="1"/>
  <c r="H113" i="7"/>
  <c r="F113" i="7"/>
  <c r="K112" i="7"/>
  <c r="J112" i="7"/>
  <c r="W112" i="7"/>
  <c r="I112" i="7"/>
  <c r="H112" i="7"/>
  <c r="F112" i="7"/>
  <c r="C111" i="7"/>
  <c r="V110" i="7"/>
  <c r="T110" i="7"/>
  <c r="K117" i="7" s="1"/>
  <c r="R110" i="7"/>
  <c r="U110" i="7"/>
  <c r="S110" i="7"/>
  <c r="Q110" i="7"/>
  <c r="E110" i="7"/>
  <c r="D110" i="7"/>
  <c r="B110" i="7"/>
  <c r="AA108" i="7"/>
  <c r="Z108" i="7"/>
  <c r="Y108" i="7"/>
  <c r="H107" i="7"/>
  <c r="J107" i="7"/>
  <c r="AB105" i="7"/>
  <c r="I105" i="7"/>
  <c r="H105" i="7"/>
  <c r="E105" i="7"/>
  <c r="J104" i="7"/>
  <c r="E104" i="7"/>
  <c r="J103" i="7"/>
  <c r="E103" i="7"/>
  <c r="K102" i="7"/>
  <c r="J102" i="7"/>
  <c r="H102" i="7"/>
  <c r="AA102" i="7"/>
  <c r="Z102" i="7"/>
  <c r="Y102" i="7"/>
  <c r="I102" i="7"/>
  <c r="X102" i="7" s="1"/>
  <c r="F102" i="7"/>
  <c r="V102" i="7"/>
  <c r="T102" i="7"/>
  <c r="R102" i="7"/>
  <c r="U102" i="7"/>
  <c r="S102" i="7"/>
  <c r="Q102" i="7"/>
  <c r="E102" i="7"/>
  <c r="D102" i="7"/>
  <c r="B102" i="7"/>
  <c r="K101" i="7"/>
  <c r="J101" i="7"/>
  <c r="H101" i="7"/>
  <c r="AA101" i="7"/>
  <c r="Z101" i="7"/>
  <c r="Y101" i="7"/>
  <c r="I101" i="7"/>
  <c r="X101" i="7" s="1"/>
  <c r="F101" i="7"/>
  <c r="V101" i="7"/>
  <c r="T101" i="7"/>
  <c r="R101" i="7"/>
  <c r="U101" i="7"/>
  <c r="S101" i="7"/>
  <c r="Q101" i="7"/>
  <c r="E101" i="7"/>
  <c r="D101" i="7"/>
  <c r="B101" i="7"/>
  <c r="K100" i="7"/>
  <c r="J100" i="7"/>
  <c r="H100" i="7"/>
  <c r="AA100" i="7"/>
  <c r="Z100" i="7"/>
  <c r="Y100" i="7"/>
  <c r="X100" i="7"/>
  <c r="I100" i="7"/>
  <c r="F100" i="7"/>
  <c r="V100" i="7"/>
  <c r="T100" i="7"/>
  <c r="R100" i="7"/>
  <c r="U100" i="7"/>
  <c r="S100" i="7"/>
  <c r="I104" i="7" s="1"/>
  <c r="Q100" i="7"/>
  <c r="E100" i="7"/>
  <c r="D100" i="7"/>
  <c r="B100" i="7"/>
  <c r="K99" i="7"/>
  <c r="J99" i="7"/>
  <c r="H99" i="7"/>
  <c r="AA99" i="7"/>
  <c r="Z99" i="7"/>
  <c r="Y99" i="7"/>
  <c r="I99" i="7"/>
  <c r="X99" i="7" s="1"/>
  <c r="F99" i="7"/>
  <c r="V99" i="7"/>
  <c r="T99" i="7"/>
  <c r="R99" i="7"/>
  <c r="U99" i="7"/>
  <c r="S99" i="7"/>
  <c r="Q99" i="7"/>
  <c r="E99" i="7"/>
  <c r="D99" i="7"/>
  <c r="B99" i="7"/>
  <c r="K98" i="7"/>
  <c r="J98" i="7"/>
  <c r="I98" i="7"/>
  <c r="H98" i="7"/>
  <c r="F98" i="7"/>
  <c r="K97" i="7"/>
  <c r="J97" i="7"/>
  <c r="I97" i="7"/>
  <c r="W97" i="7" s="1"/>
  <c r="H97" i="7"/>
  <c r="F97" i="7"/>
  <c r="K96" i="7"/>
  <c r="J96" i="7"/>
  <c r="I96" i="7"/>
  <c r="H96" i="7"/>
  <c r="F96" i="7"/>
  <c r="K95" i="7"/>
  <c r="J95" i="7"/>
  <c r="W95" i="7"/>
  <c r="I95" i="7"/>
  <c r="H95" i="7"/>
  <c r="F95" i="7"/>
  <c r="C94" i="7"/>
  <c r="V93" i="7"/>
  <c r="T93" i="7"/>
  <c r="K104" i="7" s="1"/>
  <c r="R93" i="7"/>
  <c r="K103" i="7" s="1"/>
  <c r="P108" i="7" s="1"/>
  <c r="U93" i="7"/>
  <c r="S93" i="7"/>
  <c r="Q93" i="7"/>
  <c r="I103" i="7" s="1"/>
  <c r="H106" i="7" s="1"/>
  <c r="E93" i="7"/>
  <c r="D93" i="7"/>
  <c r="B93" i="7"/>
  <c r="AA91" i="7"/>
  <c r="Z91" i="7"/>
  <c r="Y91" i="7"/>
  <c r="H90" i="7"/>
  <c r="J90" i="7"/>
  <c r="AB88" i="7"/>
  <c r="I88" i="7"/>
  <c r="H88" i="7"/>
  <c r="E88" i="7"/>
  <c r="J87" i="7"/>
  <c r="E87" i="7"/>
  <c r="K86" i="7"/>
  <c r="J86" i="7"/>
  <c r="E86" i="7"/>
  <c r="K85" i="7"/>
  <c r="J85" i="7"/>
  <c r="I85" i="7"/>
  <c r="H85" i="7"/>
  <c r="F85" i="7"/>
  <c r="K84" i="7"/>
  <c r="J84" i="7"/>
  <c r="W84" i="7"/>
  <c r="I84" i="7"/>
  <c r="H84" i="7"/>
  <c r="F84" i="7"/>
  <c r="K83" i="7"/>
  <c r="J83" i="7"/>
  <c r="I83" i="7"/>
  <c r="H83" i="7"/>
  <c r="F83" i="7"/>
  <c r="K82" i="7"/>
  <c r="J82" i="7"/>
  <c r="I82" i="7"/>
  <c r="H82" i="7"/>
  <c r="F82" i="7"/>
  <c r="C81" i="7"/>
  <c r="V80" i="7"/>
  <c r="T80" i="7"/>
  <c r="K87" i="7" s="1"/>
  <c r="R80" i="7"/>
  <c r="U80" i="7"/>
  <c r="S80" i="7"/>
  <c r="I87" i="7" s="1"/>
  <c r="Q80" i="7"/>
  <c r="I86" i="7" s="1"/>
  <c r="E80" i="7"/>
  <c r="D80" i="7"/>
  <c r="B80" i="7"/>
  <c r="AA78" i="7"/>
  <c r="Z78" i="7"/>
  <c r="Y78" i="7"/>
  <c r="H77" i="7"/>
  <c r="J77" i="7"/>
  <c r="I75" i="7"/>
  <c r="AB75" i="7" s="1"/>
  <c r="H75" i="7"/>
  <c r="E75" i="7"/>
  <c r="J74" i="7"/>
  <c r="E74" i="7"/>
  <c r="J73" i="7"/>
  <c r="E73" i="7"/>
  <c r="K72" i="7"/>
  <c r="J72" i="7"/>
  <c r="H72" i="7"/>
  <c r="AA72" i="7"/>
  <c r="Z72" i="7"/>
  <c r="Y72" i="7"/>
  <c r="X72" i="7"/>
  <c r="I72" i="7"/>
  <c r="F72" i="7"/>
  <c r="V72" i="7"/>
  <c r="T72" i="7"/>
  <c r="R72" i="7"/>
  <c r="U72" i="7"/>
  <c r="S72" i="7"/>
  <c r="Q72" i="7"/>
  <c r="I73" i="7" s="1"/>
  <c r="E72" i="7"/>
  <c r="D72" i="7"/>
  <c r="B72" i="7"/>
  <c r="K71" i="7"/>
  <c r="J71" i="7"/>
  <c r="H71" i="7"/>
  <c r="AA71" i="7"/>
  <c r="Z71" i="7"/>
  <c r="Y71" i="7"/>
  <c r="I71" i="7"/>
  <c r="X71" i="7" s="1"/>
  <c r="F71" i="7"/>
  <c r="V71" i="7"/>
  <c r="T71" i="7"/>
  <c r="R71" i="7"/>
  <c r="K73" i="7" s="1"/>
  <c r="U71" i="7"/>
  <c r="S71" i="7"/>
  <c r="Q71" i="7"/>
  <c r="E71" i="7"/>
  <c r="D71" i="7"/>
  <c r="B71" i="7"/>
  <c r="K70" i="7"/>
  <c r="J70" i="7"/>
  <c r="H70" i="7"/>
  <c r="AA70" i="7"/>
  <c r="Z70" i="7"/>
  <c r="Y70" i="7"/>
  <c r="I70" i="7"/>
  <c r="X70" i="7" s="1"/>
  <c r="F70" i="7"/>
  <c r="V70" i="7"/>
  <c r="T70" i="7"/>
  <c r="R70" i="7"/>
  <c r="U70" i="7"/>
  <c r="S70" i="7"/>
  <c r="Q70" i="7"/>
  <c r="E70" i="7"/>
  <c r="D70" i="7"/>
  <c r="B70" i="7"/>
  <c r="K69" i="7"/>
  <c r="J69" i="7"/>
  <c r="I69" i="7"/>
  <c r="H69" i="7"/>
  <c r="F69" i="7"/>
  <c r="K68" i="7"/>
  <c r="J68" i="7"/>
  <c r="W68" i="7"/>
  <c r="I68" i="7"/>
  <c r="H68" i="7"/>
  <c r="F68" i="7"/>
  <c r="K67" i="7"/>
  <c r="J67" i="7"/>
  <c r="I67" i="7"/>
  <c r="H67" i="7"/>
  <c r="F67" i="7"/>
  <c r="K66" i="7"/>
  <c r="J66" i="7"/>
  <c r="I66" i="7"/>
  <c r="H66" i="7"/>
  <c r="F66" i="7"/>
  <c r="C65" i="7"/>
  <c r="V64" i="7"/>
  <c r="T64" i="7"/>
  <c r="K74" i="7" s="1"/>
  <c r="R64" i="7"/>
  <c r="U64" i="7"/>
  <c r="S64" i="7"/>
  <c r="I74" i="7" s="1"/>
  <c r="Q64" i="7"/>
  <c r="E64" i="7"/>
  <c r="D64" i="7"/>
  <c r="B64" i="7"/>
  <c r="AA62" i="7"/>
  <c r="Z62" i="7"/>
  <c r="Y62" i="7"/>
  <c r="H61" i="7"/>
  <c r="J61" i="7"/>
  <c r="I59" i="7"/>
  <c r="AB59" i="7" s="1"/>
  <c r="H59" i="7"/>
  <c r="E59" i="7"/>
  <c r="J58" i="7"/>
  <c r="I58" i="7"/>
  <c r="E58" i="7"/>
  <c r="J57" i="7"/>
  <c r="E57" i="7"/>
  <c r="K56" i="7"/>
  <c r="J56" i="7"/>
  <c r="W56" i="7"/>
  <c r="I56" i="7"/>
  <c r="H56" i="7"/>
  <c r="F56" i="7"/>
  <c r="C55" i="7"/>
  <c r="V54" i="7"/>
  <c r="T54" i="7"/>
  <c r="K58" i="7" s="1"/>
  <c r="R54" i="7"/>
  <c r="K57" i="7" s="1"/>
  <c r="U54" i="7"/>
  <c r="S54" i="7"/>
  <c r="Q54" i="7"/>
  <c r="I57" i="7" s="1"/>
  <c r="H60" i="7" s="1"/>
  <c r="E54" i="7"/>
  <c r="D54" i="7"/>
  <c r="B54" i="7"/>
  <c r="AA52" i="7"/>
  <c r="I18" i="7" s="1"/>
  <c r="Z52" i="7"/>
  <c r="I17" i="7" s="1"/>
  <c r="Y52" i="7"/>
  <c r="H51" i="7"/>
  <c r="J51" i="7"/>
  <c r="AB49" i="7"/>
  <c r="I49" i="7"/>
  <c r="H49" i="7"/>
  <c r="E49" i="7"/>
  <c r="J48" i="7"/>
  <c r="E48" i="7"/>
  <c r="K47" i="7"/>
  <c r="P52" i="7" s="1"/>
  <c r="J47" i="7"/>
  <c r="E47" i="7"/>
  <c r="K46" i="7"/>
  <c r="J46" i="7"/>
  <c r="I46" i="7"/>
  <c r="H46" i="7"/>
  <c r="F46" i="7"/>
  <c r="C45" i="7"/>
  <c r="V44" i="7"/>
  <c r="T44" i="7"/>
  <c r="K48" i="7" s="1"/>
  <c r="J50" i="7" s="1"/>
  <c r="R44" i="7"/>
  <c r="U44" i="7"/>
  <c r="S44" i="7"/>
  <c r="I48" i="7" s="1"/>
  <c r="Q44" i="7"/>
  <c r="I47" i="7" s="1"/>
  <c r="E44" i="7"/>
  <c r="D44" i="7"/>
  <c r="B44" i="7"/>
  <c r="AA42" i="7"/>
  <c r="Z42" i="7"/>
  <c r="Y42" i="7"/>
  <c r="I16" i="7" s="1"/>
  <c r="H41" i="7"/>
  <c r="J41" i="7"/>
  <c r="I39" i="7"/>
  <c r="AB39" i="7" s="1"/>
  <c r="I20" i="7" s="1"/>
  <c r="H39" i="7"/>
  <c r="E39" i="7"/>
  <c r="J38" i="7"/>
  <c r="E38" i="7"/>
  <c r="K37" i="7"/>
  <c r="J37" i="7"/>
  <c r="I37" i="7"/>
  <c r="H40" i="7" s="1"/>
  <c r="E37" i="7"/>
  <c r="K36" i="7"/>
  <c r="P42" i="7" s="1"/>
  <c r="J36" i="7"/>
  <c r="I36" i="7"/>
  <c r="W36" i="7" s="1"/>
  <c r="H36" i="7"/>
  <c r="F36" i="7"/>
  <c r="C35" i="7"/>
  <c r="V34" i="7"/>
  <c r="T34" i="7"/>
  <c r="K38" i="7" s="1"/>
  <c r="R34" i="7"/>
  <c r="U34" i="7"/>
  <c r="S34" i="7"/>
  <c r="I38" i="7" s="1"/>
  <c r="X42" i="7" s="1"/>
  <c r="Q34" i="7"/>
  <c r="E34" i="7"/>
  <c r="D34" i="7"/>
  <c r="B34" i="7"/>
  <c r="A33" i="7"/>
  <c r="A31" i="7"/>
  <c r="A29" i="7"/>
  <c r="A11" i="7"/>
  <c r="A6" i="7"/>
  <c r="A1" i="7"/>
  <c r="H239" i="7" l="1"/>
  <c r="P176" i="7"/>
  <c r="X108" i="7"/>
  <c r="X136" i="7"/>
  <c r="P62" i="7"/>
  <c r="H119" i="7"/>
  <c r="H186" i="7"/>
  <c r="P201" i="7"/>
  <c r="H211" i="7"/>
  <c r="J227" i="7"/>
  <c r="P229" i="7"/>
  <c r="P241" i="7"/>
  <c r="O278" i="7"/>
  <c r="H287" i="7" s="1"/>
  <c r="O229" i="7"/>
  <c r="X62" i="7"/>
  <c r="O91" i="7"/>
  <c r="J106" i="7"/>
  <c r="J134" i="7"/>
  <c r="H161" i="7"/>
  <c r="J199" i="7"/>
  <c r="J211" i="7"/>
  <c r="J145" i="7"/>
  <c r="J89" i="7"/>
  <c r="H76" i="7"/>
  <c r="X78" i="7"/>
  <c r="O78" i="7"/>
  <c r="P121" i="7"/>
  <c r="X121" i="7"/>
  <c r="J161" i="7"/>
  <c r="O176" i="7"/>
  <c r="O201" i="7"/>
  <c r="P213" i="7"/>
  <c r="J276" i="7"/>
  <c r="P78" i="7"/>
  <c r="J264" i="7" s="1"/>
  <c r="H255" i="7"/>
  <c r="X241" i="7"/>
  <c r="O241" i="7"/>
  <c r="O52" i="7"/>
  <c r="J60" i="7"/>
  <c r="J119" i="7"/>
  <c r="P163" i="7"/>
  <c r="J186" i="7"/>
  <c r="P257" i="7"/>
  <c r="X52" i="7"/>
  <c r="I15" i="7" s="1"/>
  <c r="I14" i="7" s="1"/>
  <c r="X91" i="7"/>
  <c r="O163" i="7"/>
  <c r="X176" i="7"/>
  <c r="X201" i="7"/>
  <c r="O213" i="7"/>
  <c r="X229" i="7"/>
  <c r="J255" i="7"/>
  <c r="O42" i="7"/>
  <c r="P136" i="7"/>
  <c r="P188" i="7"/>
  <c r="W82" i="7"/>
  <c r="J40" i="7"/>
  <c r="J76" i="7"/>
  <c r="P91" i="7"/>
  <c r="J124" i="7" s="1"/>
  <c r="O136" i="7"/>
  <c r="O147" i="7"/>
  <c r="O188" i="7"/>
  <c r="J239" i="7"/>
  <c r="H276" i="7"/>
  <c r="H50" i="7"/>
  <c r="O62" i="7"/>
  <c r="H89" i="7"/>
  <c r="O108" i="7"/>
  <c r="X147" i="7"/>
  <c r="H174" i="7"/>
  <c r="H227" i="7"/>
  <c r="O257" i="7"/>
  <c r="W151" i="7"/>
  <c r="X257" i="7"/>
  <c r="W46" i="7"/>
  <c r="I19" i="7" s="1"/>
  <c r="W245" i="7"/>
  <c r="W66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" i="3"/>
  <c r="Y1" i="3"/>
  <c r="CY1" i="3"/>
  <c r="CZ1" i="3"/>
  <c r="DB1" i="3" s="1"/>
  <c r="DA1" i="3"/>
  <c r="DC1" i="3"/>
  <c r="A2" i="3"/>
  <c r="Y2" i="3"/>
  <c r="CY2" i="3"/>
  <c r="CZ2" i="3"/>
  <c r="DB2" i="3" s="1"/>
  <c r="DA2" i="3"/>
  <c r="DC2" i="3"/>
  <c r="A3" i="3"/>
  <c r="Y3" i="3"/>
  <c r="CY3" i="3"/>
  <c r="CZ3" i="3"/>
  <c r="DB3" i="3" s="1"/>
  <c r="DA3" i="3"/>
  <c r="DC3" i="3"/>
  <c r="A4" i="3"/>
  <c r="Y4" i="3"/>
  <c r="CY4" i="3"/>
  <c r="CZ4" i="3"/>
  <c r="DA4" i="3"/>
  <c r="DB4" i="3"/>
  <c r="DC4" i="3"/>
  <c r="A5" i="3"/>
  <c r="Y5" i="3"/>
  <c r="CY5" i="3"/>
  <c r="CZ5" i="3"/>
  <c r="DB5" i="3" s="1"/>
  <c r="DA5" i="3"/>
  <c r="DC5" i="3"/>
  <c r="A6" i="3"/>
  <c r="Y6" i="3"/>
  <c r="CY6" i="3"/>
  <c r="CZ6" i="3"/>
  <c r="DB6" i="3" s="1"/>
  <c r="DA6" i="3"/>
  <c r="DC6" i="3"/>
  <c r="A7" i="3"/>
  <c r="Y7" i="3"/>
  <c r="CY7" i="3"/>
  <c r="CZ7" i="3"/>
  <c r="DA7" i="3"/>
  <c r="DB7" i="3"/>
  <c r="DC7" i="3"/>
  <c r="A8" i="3"/>
  <c r="Y8" i="3"/>
  <c r="CY8" i="3"/>
  <c r="CZ8" i="3"/>
  <c r="DB8" i="3" s="1"/>
  <c r="DA8" i="3"/>
  <c r="DC8" i="3"/>
  <c r="A9" i="3"/>
  <c r="Y9" i="3"/>
  <c r="CY9" i="3"/>
  <c r="CZ9" i="3"/>
  <c r="DB9" i="3" s="1"/>
  <c r="DA9" i="3"/>
  <c r="DC9" i="3"/>
  <c r="A10" i="3"/>
  <c r="Y10" i="3"/>
  <c r="CY10" i="3"/>
  <c r="CZ10" i="3"/>
  <c r="DA10" i="3"/>
  <c r="DB10" i="3"/>
  <c r="DC10" i="3"/>
  <c r="A11" i="3"/>
  <c r="Y11" i="3"/>
  <c r="CY11" i="3"/>
  <c r="CZ11" i="3"/>
  <c r="DA11" i="3"/>
  <c r="DB11" i="3"/>
  <c r="DC11" i="3"/>
  <c r="A12" i="3"/>
  <c r="Y12" i="3"/>
  <c r="CY12" i="3"/>
  <c r="CZ12" i="3"/>
  <c r="DB12" i="3" s="1"/>
  <c r="DA12" i="3"/>
  <c r="DC12" i="3"/>
  <c r="A13" i="3"/>
  <c r="Y13" i="3"/>
  <c r="CY13" i="3"/>
  <c r="CZ13" i="3"/>
  <c r="DA13" i="3"/>
  <c r="DB13" i="3"/>
  <c r="DC13" i="3"/>
  <c r="A14" i="3"/>
  <c r="Y14" i="3"/>
  <c r="CY14" i="3"/>
  <c r="CZ14" i="3"/>
  <c r="DA14" i="3"/>
  <c r="DB14" i="3"/>
  <c r="DC14" i="3"/>
  <c r="A15" i="3"/>
  <c r="Y15" i="3"/>
  <c r="CY15" i="3"/>
  <c r="CZ15" i="3"/>
  <c r="DB15" i="3" s="1"/>
  <c r="DA15" i="3"/>
  <c r="DC15" i="3"/>
  <c r="A16" i="3"/>
  <c r="Y16" i="3"/>
  <c r="CY16" i="3"/>
  <c r="CZ16" i="3"/>
  <c r="DB16" i="3" s="1"/>
  <c r="DA16" i="3"/>
  <c r="DC16" i="3"/>
  <c r="A17" i="3"/>
  <c r="Y17" i="3"/>
  <c r="CY17" i="3"/>
  <c r="CZ17" i="3"/>
  <c r="DA17" i="3"/>
  <c r="DB17" i="3"/>
  <c r="DC17" i="3"/>
  <c r="A18" i="3"/>
  <c r="Y18" i="3"/>
  <c r="CY18" i="3"/>
  <c r="CZ18" i="3"/>
  <c r="DA18" i="3"/>
  <c r="DB18" i="3"/>
  <c r="DC18" i="3"/>
  <c r="A19" i="3"/>
  <c r="Y19" i="3"/>
  <c r="CY19" i="3"/>
  <c r="CZ19" i="3"/>
  <c r="DA19" i="3"/>
  <c r="DB19" i="3"/>
  <c r="DC19" i="3"/>
  <c r="A20" i="3"/>
  <c r="Y20" i="3"/>
  <c r="CY20" i="3"/>
  <c r="CZ20" i="3"/>
  <c r="DB20" i="3" s="1"/>
  <c r="DA20" i="3"/>
  <c r="DC20" i="3"/>
  <c r="A21" i="3"/>
  <c r="Y21" i="3"/>
  <c r="CY21" i="3"/>
  <c r="CZ21" i="3"/>
  <c r="DB21" i="3" s="1"/>
  <c r="DA21" i="3"/>
  <c r="DC21" i="3"/>
  <c r="A22" i="3"/>
  <c r="Y22" i="3"/>
  <c r="CY22" i="3"/>
  <c r="CZ22" i="3"/>
  <c r="DA22" i="3"/>
  <c r="DB22" i="3"/>
  <c r="DC22" i="3"/>
  <c r="A23" i="3"/>
  <c r="Y23" i="3"/>
  <c r="CY23" i="3"/>
  <c r="CZ23" i="3"/>
  <c r="DA23" i="3"/>
  <c r="DB23" i="3"/>
  <c r="DC23" i="3"/>
  <c r="A24" i="3"/>
  <c r="Y24" i="3"/>
  <c r="CY24" i="3"/>
  <c r="CZ24" i="3"/>
  <c r="DB24" i="3" s="1"/>
  <c r="DA24" i="3"/>
  <c r="DC24" i="3"/>
  <c r="A25" i="3"/>
  <c r="Y25" i="3"/>
  <c r="CY25" i="3"/>
  <c r="CZ25" i="3"/>
  <c r="DA25" i="3"/>
  <c r="DB25" i="3"/>
  <c r="DC25" i="3"/>
  <c r="A26" i="3"/>
  <c r="Y26" i="3"/>
  <c r="CY26" i="3"/>
  <c r="CZ26" i="3"/>
  <c r="DA26" i="3"/>
  <c r="DB26" i="3"/>
  <c r="DC26" i="3"/>
  <c r="A27" i="3"/>
  <c r="Y27" i="3"/>
  <c r="CY27" i="3"/>
  <c r="CZ27" i="3"/>
  <c r="DB27" i="3" s="1"/>
  <c r="DA27" i="3"/>
  <c r="DC27" i="3"/>
  <c r="A28" i="3"/>
  <c r="Y28" i="3"/>
  <c r="CY28" i="3"/>
  <c r="CZ28" i="3"/>
  <c r="DA28" i="3"/>
  <c r="DB28" i="3"/>
  <c r="DC28" i="3"/>
  <c r="A29" i="3"/>
  <c r="Y29" i="3"/>
  <c r="CY29" i="3"/>
  <c r="CZ29" i="3"/>
  <c r="DA29" i="3"/>
  <c r="DB29" i="3"/>
  <c r="DC29" i="3"/>
  <c r="A30" i="3"/>
  <c r="Y30" i="3"/>
  <c r="CY30" i="3"/>
  <c r="CZ30" i="3"/>
  <c r="DA30" i="3"/>
  <c r="DB30" i="3"/>
  <c r="DC30" i="3"/>
  <c r="A31" i="3"/>
  <c r="Y31" i="3"/>
  <c r="CY31" i="3"/>
  <c r="CZ31" i="3"/>
  <c r="DB31" i="3" s="1"/>
  <c r="DA31" i="3"/>
  <c r="DC31" i="3"/>
  <c r="A32" i="3"/>
  <c r="Y32" i="3"/>
  <c r="CY32" i="3"/>
  <c r="CZ32" i="3"/>
  <c r="DA32" i="3"/>
  <c r="DB32" i="3"/>
  <c r="DC32" i="3"/>
  <c r="A33" i="3"/>
  <c r="Y33" i="3"/>
  <c r="CY33" i="3"/>
  <c r="CZ33" i="3"/>
  <c r="DA33" i="3"/>
  <c r="DB33" i="3"/>
  <c r="DC33" i="3"/>
  <c r="A34" i="3"/>
  <c r="Y34" i="3"/>
  <c r="CY34" i="3"/>
  <c r="CZ34" i="3"/>
  <c r="DA34" i="3"/>
  <c r="DB34" i="3"/>
  <c r="DC34" i="3"/>
  <c r="A35" i="3"/>
  <c r="Y35" i="3"/>
  <c r="CY35" i="3"/>
  <c r="CZ35" i="3"/>
  <c r="DB35" i="3" s="1"/>
  <c r="DA35" i="3"/>
  <c r="DC35" i="3"/>
  <c r="A36" i="3"/>
  <c r="Y36" i="3"/>
  <c r="CY36" i="3"/>
  <c r="CZ36" i="3"/>
  <c r="DA36" i="3"/>
  <c r="DB36" i="3"/>
  <c r="DC36" i="3"/>
  <c r="A37" i="3"/>
  <c r="Y37" i="3"/>
  <c r="CY37" i="3"/>
  <c r="CZ37" i="3"/>
  <c r="DB37" i="3" s="1"/>
  <c r="DA37" i="3"/>
  <c r="DC37" i="3"/>
  <c r="A38" i="3"/>
  <c r="Y38" i="3"/>
  <c r="CY38" i="3"/>
  <c r="CZ38" i="3"/>
  <c r="DA38" i="3"/>
  <c r="DB38" i="3"/>
  <c r="DC38" i="3"/>
  <c r="A39" i="3"/>
  <c r="Y39" i="3"/>
  <c r="CY39" i="3"/>
  <c r="CZ39" i="3"/>
  <c r="DB39" i="3" s="1"/>
  <c r="DA39" i="3"/>
  <c r="DC39" i="3"/>
  <c r="A40" i="3"/>
  <c r="Y40" i="3"/>
  <c r="CY40" i="3"/>
  <c r="CZ40" i="3"/>
  <c r="DA40" i="3"/>
  <c r="DB40" i="3"/>
  <c r="DC40" i="3"/>
  <c r="A41" i="3"/>
  <c r="Y41" i="3"/>
  <c r="CY41" i="3"/>
  <c r="CZ41" i="3"/>
  <c r="DA41" i="3"/>
  <c r="DB41" i="3"/>
  <c r="DC41" i="3"/>
  <c r="A42" i="3"/>
  <c r="Y42" i="3"/>
  <c r="CY42" i="3"/>
  <c r="CZ42" i="3"/>
  <c r="DB42" i="3" s="1"/>
  <c r="DA42" i="3"/>
  <c r="DC42" i="3"/>
  <c r="A43" i="3"/>
  <c r="Y43" i="3"/>
  <c r="CY43" i="3"/>
  <c r="CZ43" i="3"/>
  <c r="DB43" i="3" s="1"/>
  <c r="DA43" i="3"/>
  <c r="DC43" i="3"/>
  <c r="A44" i="3"/>
  <c r="Y44" i="3"/>
  <c r="CY44" i="3"/>
  <c r="CZ44" i="3"/>
  <c r="DA44" i="3"/>
  <c r="DB44" i="3"/>
  <c r="DC44" i="3"/>
  <c r="A45" i="3"/>
  <c r="Y45" i="3"/>
  <c r="CY45" i="3"/>
  <c r="CZ45" i="3"/>
  <c r="DA45" i="3"/>
  <c r="DB45" i="3"/>
  <c r="DC45" i="3"/>
  <c r="A46" i="3"/>
  <c r="Y46" i="3"/>
  <c r="CY46" i="3"/>
  <c r="CZ46" i="3"/>
  <c r="DB46" i="3" s="1"/>
  <c r="DA46" i="3"/>
  <c r="DC46" i="3"/>
  <c r="A47" i="3"/>
  <c r="Y47" i="3"/>
  <c r="CY47" i="3"/>
  <c r="CZ47" i="3"/>
  <c r="DA47" i="3"/>
  <c r="DB47" i="3"/>
  <c r="DC47" i="3"/>
  <c r="A48" i="3"/>
  <c r="Y48" i="3"/>
  <c r="CY48" i="3"/>
  <c r="CZ48" i="3"/>
  <c r="DB48" i="3" s="1"/>
  <c r="DA48" i="3"/>
  <c r="DC48" i="3"/>
  <c r="A49" i="3"/>
  <c r="Y49" i="3"/>
  <c r="CY49" i="3"/>
  <c r="CZ49" i="3"/>
  <c r="DA49" i="3"/>
  <c r="DB49" i="3"/>
  <c r="DC49" i="3"/>
  <c r="A50" i="3"/>
  <c r="Y50" i="3"/>
  <c r="CY50" i="3"/>
  <c r="CZ50" i="3"/>
  <c r="DB50" i="3" s="1"/>
  <c r="DA50" i="3"/>
  <c r="DC50" i="3"/>
  <c r="A51" i="3"/>
  <c r="Y51" i="3"/>
  <c r="CY51" i="3"/>
  <c r="CZ51" i="3"/>
  <c r="DA51" i="3"/>
  <c r="DB51" i="3"/>
  <c r="DC51" i="3"/>
  <c r="A52" i="3"/>
  <c r="Y52" i="3"/>
  <c r="CY52" i="3"/>
  <c r="CZ52" i="3"/>
  <c r="DB52" i="3" s="1"/>
  <c r="DA52" i="3"/>
  <c r="DC52" i="3"/>
  <c r="A53" i="3"/>
  <c r="Y53" i="3"/>
  <c r="CY53" i="3"/>
  <c r="CZ53" i="3"/>
  <c r="DB53" i="3" s="1"/>
  <c r="DA53" i="3"/>
  <c r="DC53" i="3"/>
  <c r="A54" i="3"/>
  <c r="Y54" i="3"/>
  <c r="CY54" i="3"/>
  <c r="CZ54" i="3"/>
  <c r="DA54" i="3"/>
  <c r="DB54" i="3"/>
  <c r="DC54" i="3"/>
  <c r="A55" i="3"/>
  <c r="Y55" i="3"/>
  <c r="CY55" i="3"/>
  <c r="CZ55" i="3"/>
  <c r="DA55" i="3"/>
  <c r="DB55" i="3"/>
  <c r="DC55" i="3"/>
  <c r="A56" i="3"/>
  <c r="Y56" i="3"/>
  <c r="CY56" i="3"/>
  <c r="CZ56" i="3"/>
  <c r="DA56" i="3"/>
  <c r="DB56" i="3"/>
  <c r="DC56" i="3"/>
  <c r="A57" i="3"/>
  <c r="Y57" i="3"/>
  <c r="CY57" i="3"/>
  <c r="CZ57" i="3"/>
  <c r="DB57" i="3" s="1"/>
  <c r="DA57" i="3"/>
  <c r="DC57" i="3"/>
  <c r="A58" i="3"/>
  <c r="Y58" i="3"/>
  <c r="CY58" i="3"/>
  <c r="CZ58" i="3"/>
  <c r="DA58" i="3"/>
  <c r="DB58" i="3"/>
  <c r="DC58" i="3"/>
  <c r="A59" i="3"/>
  <c r="Y59" i="3"/>
  <c r="CY59" i="3"/>
  <c r="CZ59" i="3"/>
  <c r="DA59" i="3"/>
  <c r="DB59" i="3"/>
  <c r="DC59" i="3"/>
  <c r="A60" i="3"/>
  <c r="Y60" i="3"/>
  <c r="CY60" i="3"/>
  <c r="CZ60" i="3"/>
  <c r="DB60" i="3" s="1"/>
  <c r="DA60" i="3"/>
  <c r="DC60" i="3"/>
  <c r="A61" i="3"/>
  <c r="Y61" i="3"/>
  <c r="CY61" i="3"/>
  <c r="CZ61" i="3"/>
  <c r="DA61" i="3"/>
  <c r="DB61" i="3"/>
  <c r="DC61" i="3"/>
  <c r="A62" i="3"/>
  <c r="Y62" i="3"/>
  <c r="CY62" i="3"/>
  <c r="CZ62" i="3"/>
  <c r="DB62" i="3" s="1"/>
  <c r="DA62" i="3"/>
  <c r="DC62" i="3"/>
  <c r="A63" i="3"/>
  <c r="Y63" i="3"/>
  <c r="CY63" i="3"/>
  <c r="CZ63" i="3"/>
  <c r="DA63" i="3"/>
  <c r="DB63" i="3"/>
  <c r="DC63" i="3"/>
  <c r="A64" i="3"/>
  <c r="Y64" i="3"/>
  <c r="CY64" i="3"/>
  <c r="CZ64" i="3"/>
  <c r="DB64" i="3" s="1"/>
  <c r="DA64" i="3"/>
  <c r="DC64" i="3"/>
  <c r="A65" i="3"/>
  <c r="Y65" i="3"/>
  <c r="CY65" i="3"/>
  <c r="CZ65" i="3"/>
  <c r="DB65" i="3" s="1"/>
  <c r="DA65" i="3"/>
  <c r="DC65" i="3"/>
  <c r="A66" i="3"/>
  <c r="Y66" i="3"/>
  <c r="CY66" i="3"/>
  <c r="CZ66" i="3"/>
  <c r="DA66" i="3"/>
  <c r="DB66" i="3"/>
  <c r="DC66" i="3"/>
  <c r="A67" i="3"/>
  <c r="Y67" i="3"/>
  <c r="CY67" i="3"/>
  <c r="CZ67" i="3"/>
  <c r="DB67" i="3" s="1"/>
  <c r="DA67" i="3"/>
  <c r="DC67" i="3"/>
  <c r="A68" i="3"/>
  <c r="Y68" i="3"/>
  <c r="CY68" i="3"/>
  <c r="CZ68" i="3"/>
  <c r="DA68" i="3"/>
  <c r="DB68" i="3"/>
  <c r="DC68" i="3"/>
  <c r="A69" i="3"/>
  <c r="Y69" i="3"/>
  <c r="CY69" i="3"/>
  <c r="CZ69" i="3"/>
  <c r="DB69" i="3" s="1"/>
  <c r="DA69" i="3"/>
  <c r="DC69" i="3"/>
  <c r="A70" i="3"/>
  <c r="Y70" i="3"/>
  <c r="CY70" i="3"/>
  <c r="CZ70" i="3"/>
  <c r="DA70" i="3"/>
  <c r="DB70" i="3"/>
  <c r="DC70" i="3"/>
  <c r="A71" i="3"/>
  <c r="Y71" i="3"/>
  <c r="CY71" i="3"/>
  <c r="CZ71" i="3"/>
  <c r="DB71" i="3" s="1"/>
  <c r="DA71" i="3"/>
  <c r="DC71" i="3"/>
  <c r="A72" i="3"/>
  <c r="Y72" i="3"/>
  <c r="CY72" i="3"/>
  <c r="CZ72" i="3"/>
  <c r="DA72" i="3"/>
  <c r="DB72" i="3"/>
  <c r="DC72" i="3"/>
  <c r="A73" i="3"/>
  <c r="Y73" i="3"/>
  <c r="CY73" i="3"/>
  <c r="CZ73" i="3"/>
  <c r="DB73" i="3" s="1"/>
  <c r="DA73" i="3"/>
  <c r="DC73" i="3"/>
  <c r="A74" i="3"/>
  <c r="Y74" i="3"/>
  <c r="CY74" i="3"/>
  <c r="CZ74" i="3"/>
  <c r="DA74" i="3"/>
  <c r="DB74" i="3"/>
  <c r="DC74" i="3"/>
  <c r="A75" i="3"/>
  <c r="Y75" i="3"/>
  <c r="CY75" i="3"/>
  <c r="CZ75" i="3"/>
  <c r="DB75" i="3" s="1"/>
  <c r="DA75" i="3"/>
  <c r="DC75" i="3"/>
  <c r="A76" i="3"/>
  <c r="Y76" i="3"/>
  <c r="CY76" i="3"/>
  <c r="CZ76" i="3"/>
  <c r="DA76" i="3"/>
  <c r="DB76" i="3"/>
  <c r="DC76" i="3"/>
  <c r="A77" i="3"/>
  <c r="Y77" i="3"/>
  <c r="CY77" i="3"/>
  <c r="CZ77" i="3"/>
  <c r="DA77" i="3"/>
  <c r="DB77" i="3"/>
  <c r="DC77" i="3"/>
  <c r="A78" i="3"/>
  <c r="Y78" i="3"/>
  <c r="CY78" i="3"/>
  <c r="CZ78" i="3"/>
  <c r="DB78" i="3" s="1"/>
  <c r="DA78" i="3"/>
  <c r="DC78" i="3"/>
  <c r="A79" i="3"/>
  <c r="Y79" i="3"/>
  <c r="CY79" i="3"/>
  <c r="CZ79" i="3"/>
  <c r="DB79" i="3" s="1"/>
  <c r="DA79" i="3"/>
  <c r="DC79" i="3"/>
  <c r="A80" i="3"/>
  <c r="Y80" i="3"/>
  <c r="CY80" i="3"/>
  <c r="CZ80" i="3"/>
  <c r="DA80" i="3"/>
  <c r="DB80" i="3"/>
  <c r="DC80" i="3"/>
  <c r="A81" i="3"/>
  <c r="Y81" i="3"/>
  <c r="CY81" i="3"/>
  <c r="CZ81" i="3"/>
  <c r="DA81" i="3"/>
  <c r="DB81" i="3"/>
  <c r="DC81" i="3"/>
  <c r="A82" i="3"/>
  <c r="Y82" i="3"/>
  <c r="CY82" i="3"/>
  <c r="CZ82" i="3"/>
  <c r="DA82" i="3"/>
  <c r="DB82" i="3"/>
  <c r="DC82" i="3"/>
  <c r="A83" i="3"/>
  <c r="Y83" i="3"/>
  <c r="CY83" i="3"/>
  <c r="CZ83" i="3"/>
  <c r="DB83" i="3" s="1"/>
  <c r="DA83" i="3"/>
  <c r="DC83" i="3"/>
  <c r="A84" i="3"/>
  <c r="Y84" i="3"/>
  <c r="CY84" i="3"/>
  <c r="CZ84" i="3"/>
  <c r="DA84" i="3"/>
  <c r="DB84" i="3"/>
  <c r="DC84" i="3"/>
  <c r="A85" i="3"/>
  <c r="Y85" i="3"/>
  <c r="CY85" i="3"/>
  <c r="CZ85" i="3"/>
  <c r="DB85" i="3" s="1"/>
  <c r="DA85" i="3"/>
  <c r="DC85" i="3"/>
  <c r="A86" i="3"/>
  <c r="Y86" i="3"/>
  <c r="CY86" i="3"/>
  <c r="CZ86" i="3"/>
  <c r="DA86" i="3"/>
  <c r="DB86" i="3"/>
  <c r="DC86" i="3"/>
  <c r="A87" i="3"/>
  <c r="Y87" i="3"/>
  <c r="CY87" i="3"/>
  <c r="CZ87" i="3"/>
  <c r="DA87" i="3"/>
  <c r="DB87" i="3"/>
  <c r="DC87" i="3"/>
  <c r="A88" i="3"/>
  <c r="Y88" i="3"/>
  <c r="CY88" i="3"/>
  <c r="CZ88" i="3"/>
  <c r="DA88" i="3"/>
  <c r="DB88" i="3"/>
  <c r="DC88" i="3"/>
  <c r="A89" i="3"/>
  <c r="Y89" i="3"/>
  <c r="CV89" i="3" s="1"/>
  <c r="CU89" i="3"/>
  <c r="CY89" i="3"/>
  <c r="CZ89" i="3"/>
  <c r="DB89" i="3" s="1"/>
  <c r="DA89" i="3"/>
  <c r="DC89" i="3"/>
  <c r="A90" i="3"/>
  <c r="Y90" i="3"/>
  <c r="CY90" i="3"/>
  <c r="CZ90" i="3"/>
  <c r="DB90" i="3" s="1"/>
  <c r="DA90" i="3"/>
  <c r="DC90" i="3"/>
  <c r="A91" i="3"/>
  <c r="Y91" i="3"/>
  <c r="CY91" i="3"/>
  <c r="CZ91" i="3"/>
  <c r="DA91" i="3"/>
  <c r="DB91" i="3"/>
  <c r="DC91" i="3"/>
  <c r="A92" i="3"/>
  <c r="Y92" i="3"/>
  <c r="CY92" i="3"/>
  <c r="CZ92" i="3"/>
  <c r="DA92" i="3"/>
  <c r="DB92" i="3"/>
  <c r="DC92" i="3"/>
  <c r="A93" i="3"/>
  <c r="Y93" i="3"/>
  <c r="CY93" i="3"/>
  <c r="CZ93" i="3"/>
  <c r="DB93" i="3" s="1"/>
  <c r="DA93" i="3"/>
  <c r="DC93" i="3"/>
  <c r="A94" i="3"/>
  <c r="Y94" i="3"/>
  <c r="CY94" i="3"/>
  <c r="CZ94" i="3"/>
  <c r="DA94" i="3"/>
  <c r="DB94" i="3"/>
  <c r="DC94" i="3"/>
  <c r="A95" i="3"/>
  <c r="Y95" i="3"/>
  <c r="CY95" i="3"/>
  <c r="CZ95" i="3"/>
  <c r="DA95" i="3"/>
  <c r="DB95" i="3"/>
  <c r="DC95" i="3"/>
  <c r="A96" i="3"/>
  <c r="Y96" i="3"/>
  <c r="CY96" i="3"/>
  <c r="CZ96" i="3"/>
  <c r="DB96" i="3" s="1"/>
  <c r="DA96" i="3"/>
  <c r="DC96" i="3"/>
  <c r="A97" i="3"/>
  <c r="Y97" i="3"/>
  <c r="CY97" i="3"/>
  <c r="CZ97" i="3"/>
  <c r="DB97" i="3" s="1"/>
  <c r="DA97" i="3"/>
  <c r="DC97" i="3"/>
  <c r="A98" i="3"/>
  <c r="Y98" i="3"/>
  <c r="CY98" i="3"/>
  <c r="CZ98" i="3"/>
  <c r="DA98" i="3"/>
  <c r="DB98" i="3"/>
  <c r="DC98" i="3"/>
  <c r="A99" i="3"/>
  <c r="Y99" i="3"/>
  <c r="CY99" i="3"/>
  <c r="CZ99" i="3"/>
  <c r="DA99" i="3"/>
  <c r="DB99" i="3"/>
  <c r="DC99" i="3"/>
  <c r="A100" i="3"/>
  <c r="Y100" i="3"/>
  <c r="CY100" i="3"/>
  <c r="CZ100" i="3"/>
  <c r="DA100" i="3"/>
  <c r="DB100" i="3"/>
  <c r="DC100" i="3"/>
  <c r="A101" i="3"/>
  <c r="Y101" i="3"/>
  <c r="CY101" i="3"/>
  <c r="CZ101" i="3"/>
  <c r="DB101" i="3" s="1"/>
  <c r="DA101" i="3"/>
  <c r="DC101" i="3"/>
  <c r="A102" i="3"/>
  <c r="Y102" i="3"/>
  <c r="CY102" i="3"/>
  <c r="CZ102" i="3"/>
  <c r="DB102" i="3" s="1"/>
  <c r="DA102" i="3"/>
  <c r="DC102" i="3"/>
  <c r="A103" i="3"/>
  <c r="Y103" i="3"/>
  <c r="CY103" i="3"/>
  <c r="CZ103" i="3"/>
  <c r="DB103" i="3" s="1"/>
  <c r="DA103" i="3"/>
  <c r="DC103" i="3"/>
  <c r="A104" i="3"/>
  <c r="Y104" i="3"/>
  <c r="CY104" i="3"/>
  <c r="CZ104" i="3"/>
  <c r="DA104" i="3"/>
  <c r="DB104" i="3"/>
  <c r="DC104" i="3"/>
  <c r="A105" i="3"/>
  <c r="Y105" i="3"/>
  <c r="CY105" i="3"/>
  <c r="CZ105" i="3"/>
  <c r="DB105" i="3" s="1"/>
  <c r="DA105" i="3"/>
  <c r="DC105" i="3"/>
  <c r="A106" i="3"/>
  <c r="Y106" i="3"/>
  <c r="CY106" i="3"/>
  <c r="CZ106" i="3"/>
  <c r="DB106" i="3" s="1"/>
  <c r="DA106" i="3"/>
  <c r="DC106" i="3"/>
  <c r="A107" i="3"/>
  <c r="Y107" i="3"/>
  <c r="CY107" i="3"/>
  <c r="CZ107" i="3"/>
  <c r="DA107" i="3"/>
  <c r="DB107" i="3"/>
  <c r="DC107" i="3"/>
  <c r="A108" i="3"/>
  <c r="Y108" i="3"/>
  <c r="CY108" i="3"/>
  <c r="CZ108" i="3"/>
  <c r="DB108" i="3" s="1"/>
  <c r="DA108" i="3"/>
  <c r="DC108" i="3"/>
  <c r="A109" i="3"/>
  <c r="Y109" i="3"/>
  <c r="CY109" i="3"/>
  <c r="CZ109" i="3"/>
  <c r="DB109" i="3" s="1"/>
  <c r="DA109" i="3"/>
  <c r="DC109" i="3"/>
  <c r="A110" i="3"/>
  <c r="Y110" i="3"/>
  <c r="CY110" i="3"/>
  <c r="CZ110" i="3"/>
  <c r="DA110" i="3"/>
  <c r="DB110" i="3"/>
  <c r="DC110" i="3"/>
  <c r="A111" i="3"/>
  <c r="Y111" i="3"/>
  <c r="CY111" i="3"/>
  <c r="CZ111" i="3"/>
  <c r="DA111" i="3"/>
  <c r="DB111" i="3"/>
  <c r="DC111" i="3"/>
  <c r="A112" i="3"/>
  <c r="Y112" i="3"/>
  <c r="CY112" i="3"/>
  <c r="CZ112" i="3"/>
  <c r="DB112" i="3" s="1"/>
  <c r="DA112" i="3"/>
  <c r="DC112" i="3"/>
  <c r="A113" i="3"/>
  <c r="Y113" i="3"/>
  <c r="CY113" i="3"/>
  <c r="CZ113" i="3"/>
  <c r="DB113" i="3" s="1"/>
  <c r="DA113" i="3"/>
  <c r="DC113" i="3"/>
  <c r="A114" i="3"/>
  <c r="Y114" i="3"/>
  <c r="CY114" i="3"/>
  <c r="CZ114" i="3"/>
  <c r="DA114" i="3"/>
  <c r="DB114" i="3"/>
  <c r="DC114" i="3"/>
  <c r="A115" i="3"/>
  <c r="Y115" i="3"/>
  <c r="CY115" i="3"/>
  <c r="CZ115" i="3"/>
  <c r="DA115" i="3"/>
  <c r="DB115" i="3"/>
  <c r="DC115" i="3"/>
  <c r="A116" i="3"/>
  <c r="Y116" i="3"/>
  <c r="CX116" i="3" s="1"/>
  <c r="CU116" i="3"/>
  <c r="CV116" i="3"/>
  <c r="CY116" i="3"/>
  <c r="CZ116" i="3"/>
  <c r="DB116" i="3" s="1"/>
  <c r="DA116" i="3"/>
  <c r="DC116" i="3"/>
  <c r="A117" i="3"/>
  <c r="Y117" i="3"/>
  <c r="CX117" i="3"/>
  <c r="DF117" i="3" s="1"/>
  <c r="DJ117" i="3" s="1"/>
  <c r="CY117" i="3"/>
  <c r="CZ117" i="3"/>
  <c r="DB117" i="3" s="1"/>
  <c r="DA117" i="3"/>
  <c r="DC117" i="3"/>
  <c r="DH117" i="3"/>
  <c r="DI117" i="3"/>
  <c r="A118" i="3"/>
  <c r="Y118" i="3"/>
  <c r="CY118" i="3"/>
  <c r="CZ118" i="3"/>
  <c r="DB118" i="3" s="1"/>
  <c r="DA118" i="3"/>
  <c r="DC118" i="3"/>
  <c r="A119" i="3"/>
  <c r="Y119" i="3"/>
  <c r="CY119" i="3"/>
  <c r="CZ119" i="3"/>
  <c r="DA119" i="3"/>
  <c r="DB119" i="3"/>
  <c r="DC119" i="3"/>
  <c r="A120" i="3"/>
  <c r="Y120" i="3"/>
  <c r="CY120" i="3"/>
  <c r="CZ120" i="3"/>
  <c r="DA120" i="3"/>
  <c r="DB120" i="3"/>
  <c r="DC120" i="3"/>
  <c r="A121" i="3"/>
  <c r="Y121" i="3"/>
  <c r="CY121" i="3"/>
  <c r="CZ121" i="3"/>
  <c r="DB121" i="3" s="1"/>
  <c r="DA121" i="3"/>
  <c r="DC121" i="3"/>
  <c r="A122" i="3"/>
  <c r="Y122" i="3"/>
  <c r="CY122" i="3"/>
  <c r="CZ122" i="3"/>
  <c r="DA122" i="3"/>
  <c r="DB122" i="3"/>
  <c r="DC122" i="3"/>
  <c r="A123" i="3"/>
  <c r="Y123" i="3"/>
  <c r="CY123" i="3"/>
  <c r="CZ123" i="3"/>
  <c r="DA123" i="3"/>
  <c r="DB123" i="3"/>
  <c r="DC123" i="3"/>
  <c r="A124" i="3"/>
  <c r="Y124" i="3"/>
  <c r="CY124" i="3"/>
  <c r="CZ124" i="3"/>
  <c r="DB124" i="3" s="1"/>
  <c r="DA124" i="3"/>
  <c r="DC124" i="3"/>
  <c r="A125" i="3"/>
  <c r="Y125" i="3"/>
  <c r="CY125" i="3"/>
  <c r="CZ125" i="3"/>
  <c r="DB125" i="3" s="1"/>
  <c r="DA125" i="3"/>
  <c r="DC125" i="3"/>
  <c r="A126" i="3"/>
  <c r="Y126" i="3"/>
  <c r="CY126" i="3"/>
  <c r="CZ126" i="3"/>
  <c r="DA126" i="3"/>
  <c r="DB126" i="3"/>
  <c r="DC126" i="3"/>
  <c r="A127" i="3"/>
  <c r="Y127" i="3"/>
  <c r="CY127" i="3"/>
  <c r="CZ127" i="3"/>
  <c r="DA127" i="3"/>
  <c r="DB127" i="3"/>
  <c r="DC127" i="3"/>
  <c r="A128" i="3"/>
  <c r="Y128" i="3"/>
  <c r="CY128" i="3"/>
  <c r="CZ128" i="3"/>
  <c r="DA128" i="3"/>
  <c r="DB128" i="3"/>
  <c r="DC128" i="3"/>
  <c r="A129" i="3"/>
  <c r="Y129" i="3"/>
  <c r="CY129" i="3"/>
  <c r="CZ129" i="3"/>
  <c r="DB129" i="3" s="1"/>
  <c r="DA129" i="3"/>
  <c r="DC129" i="3"/>
  <c r="A130" i="3"/>
  <c r="Y130" i="3"/>
  <c r="CY130" i="3"/>
  <c r="CZ130" i="3"/>
  <c r="DB130" i="3" s="1"/>
  <c r="DA130" i="3"/>
  <c r="DC130" i="3"/>
  <c r="A131" i="3"/>
  <c r="Y131" i="3"/>
  <c r="CV131" i="3" s="1"/>
  <c r="CU131" i="3"/>
  <c r="CX131" i="3"/>
  <c r="DG131" i="3" s="1"/>
  <c r="CY131" i="3"/>
  <c r="CZ131" i="3"/>
  <c r="DB131" i="3" s="1"/>
  <c r="DA131" i="3"/>
  <c r="DC131" i="3"/>
  <c r="DF131" i="3"/>
  <c r="DH131" i="3"/>
  <c r="DI131" i="3"/>
  <c r="DJ131" i="3" s="1"/>
  <c r="A132" i="3"/>
  <c r="Y132" i="3"/>
  <c r="CW132" i="3"/>
  <c r="CX132" i="3"/>
  <c r="CY132" i="3"/>
  <c r="CZ132" i="3"/>
  <c r="DA132" i="3"/>
  <c r="DB132" i="3"/>
  <c r="DC132" i="3"/>
  <c r="A133" i="3"/>
  <c r="Y133" i="3"/>
  <c r="CX133" i="3" s="1"/>
  <c r="CW133" i="3"/>
  <c r="CY133" i="3"/>
  <c r="CZ133" i="3"/>
  <c r="DB133" i="3" s="1"/>
  <c r="DA133" i="3"/>
  <c r="DC133" i="3"/>
  <c r="DG133" i="3"/>
  <c r="DJ133" i="3" s="1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D28" i="1"/>
  <c r="E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R30" i="1"/>
  <c r="AZ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FP30" i="1"/>
  <c r="FQ30" i="1"/>
  <c r="FR30" i="1"/>
  <c r="FS30" i="1"/>
  <c r="FT30" i="1"/>
  <c r="FU30" i="1"/>
  <c r="FV30" i="1"/>
  <c r="FW30" i="1"/>
  <c r="FX30" i="1"/>
  <c r="FY30" i="1"/>
  <c r="FZ30" i="1"/>
  <c r="GA30" i="1"/>
  <c r="GB30" i="1"/>
  <c r="GC30" i="1"/>
  <c r="GD30" i="1"/>
  <c r="GE30" i="1"/>
  <c r="GF30" i="1"/>
  <c r="GG30" i="1"/>
  <c r="GH30" i="1"/>
  <c r="GI30" i="1"/>
  <c r="GJ30" i="1"/>
  <c r="GK30" i="1"/>
  <c r="GL30" i="1"/>
  <c r="GM30" i="1"/>
  <c r="GN30" i="1"/>
  <c r="GO30" i="1"/>
  <c r="GP30" i="1"/>
  <c r="GQ30" i="1"/>
  <c r="GR30" i="1"/>
  <c r="GS30" i="1"/>
  <c r="GT30" i="1"/>
  <c r="GU30" i="1"/>
  <c r="GV30" i="1"/>
  <c r="GW30" i="1"/>
  <c r="GX30" i="1"/>
  <c r="C32" i="1"/>
  <c r="D32" i="1"/>
  <c r="I32" i="1"/>
  <c r="K32" i="1"/>
  <c r="P32" i="1"/>
  <c r="AC32" i="1"/>
  <c r="AE32" i="1"/>
  <c r="AD32" i="1" s="1"/>
  <c r="AF32" i="1"/>
  <c r="AG32" i="1"/>
  <c r="AH32" i="1"/>
  <c r="CV32" i="1" s="1"/>
  <c r="U32" i="1" s="1"/>
  <c r="AI32" i="1"/>
  <c r="CW32" i="1" s="1"/>
  <c r="V32" i="1" s="1"/>
  <c r="AJ32" i="1"/>
  <c r="CR32" i="1"/>
  <c r="CT32" i="1"/>
  <c r="CU32" i="1"/>
  <c r="T32" i="1" s="1"/>
  <c r="CX32" i="1"/>
  <c r="W32" i="1" s="1"/>
  <c r="GL32" i="1"/>
  <c r="GO32" i="1"/>
  <c r="GP32" i="1"/>
  <c r="GV32" i="1"/>
  <c r="HC32" i="1"/>
  <c r="GX32" i="1" s="1"/>
  <c r="C33" i="1"/>
  <c r="D33" i="1"/>
  <c r="I33" i="1"/>
  <c r="K33" i="1"/>
  <c r="AC33" i="1"/>
  <c r="AE33" i="1"/>
  <c r="AF33" i="1"/>
  <c r="CT33" i="1" s="1"/>
  <c r="AG33" i="1"/>
  <c r="AH33" i="1"/>
  <c r="CV33" i="1" s="1"/>
  <c r="U33" i="1" s="1"/>
  <c r="AI33" i="1"/>
  <c r="AJ33" i="1"/>
  <c r="CU33" i="1"/>
  <c r="CW33" i="1"/>
  <c r="CX33" i="1"/>
  <c r="GL33" i="1"/>
  <c r="GO33" i="1"/>
  <c r="GP33" i="1"/>
  <c r="GV33" i="1"/>
  <c r="HC33" i="1"/>
  <c r="C34" i="1"/>
  <c r="D34" i="1"/>
  <c r="I34" i="1"/>
  <c r="I35" i="1" s="1"/>
  <c r="K34" i="1"/>
  <c r="P34" i="1"/>
  <c r="R34" i="1"/>
  <c r="AC34" i="1"/>
  <c r="CQ34" i="1" s="1"/>
  <c r="AE34" i="1"/>
  <c r="AD34" i="1" s="1"/>
  <c r="AB34" i="1" s="1"/>
  <c r="AF34" i="1"/>
  <c r="AG34" i="1"/>
  <c r="AH34" i="1"/>
  <c r="CV34" i="1" s="1"/>
  <c r="U34" i="1" s="1"/>
  <c r="AI34" i="1"/>
  <c r="AJ34" i="1"/>
  <c r="CX34" i="1" s="1"/>
  <c r="W34" i="1" s="1"/>
  <c r="CR34" i="1"/>
  <c r="CT34" i="1"/>
  <c r="CU34" i="1"/>
  <c r="T34" i="1" s="1"/>
  <c r="CW34" i="1"/>
  <c r="V34" i="1" s="1"/>
  <c r="GL34" i="1"/>
  <c r="GO34" i="1"/>
  <c r="GP34" i="1"/>
  <c r="GV34" i="1"/>
  <c r="HC34" i="1"/>
  <c r="GX34" i="1" s="1"/>
  <c r="R35" i="1"/>
  <c r="AC35" i="1"/>
  <c r="CQ35" i="1" s="1"/>
  <c r="AE35" i="1"/>
  <c r="AD35" i="1" s="1"/>
  <c r="AB35" i="1" s="1"/>
  <c r="AF35" i="1"/>
  <c r="AG35" i="1"/>
  <c r="AH35" i="1"/>
  <c r="CV35" i="1" s="1"/>
  <c r="U35" i="1" s="1"/>
  <c r="AI35" i="1"/>
  <c r="AJ35" i="1"/>
  <c r="CX35" i="1" s="1"/>
  <c r="W35" i="1" s="1"/>
  <c r="CR35" i="1"/>
  <c r="CT35" i="1"/>
  <c r="CU35" i="1"/>
  <c r="T35" i="1" s="1"/>
  <c r="CW35" i="1"/>
  <c r="GL35" i="1"/>
  <c r="GO35" i="1"/>
  <c r="GP35" i="1"/>
  <c r="GV35" i="1"/>
  <c r="HC35" i="1"/>
  <c r="C36" i="1"/>
  <c r="D36" i="1"/>
  <c r="I36" i="1"/>
  <c r="I37" i="1" s="1"/>
  <c r="K36" i="1"/>
  <c r="AC36" i="1"/>
  <c r="AE36" i="1"/>
  <c r="AD36" i="1" s="1"/>
  <c r="AB36" i="1" s="1"/>
  <c r="AF36" i="1"/>
  <c r="AG36" i="1"/>
  <c r="CU36" i="1" s="1"/>
  <c r="T36" i="1" s="1"/>
  <c r="AH36" i="1"/>
  <c r="CV36" i="1" s="1"/>
  <c r="U36" i="1" s="1"/>
  <c r="AI36" i="1"/>
  <c r="AJ36" i="1"/>
  <c r="CX36" i="1" s="1"/>
  <c r="W36" i="1" s="1"/>
  <c r="CQ36" i="1"/>
  <c r="CR36" i="1"/>
  <c r="CT36" i="1"/>
  <c r="CW36" i="1"/>
  <c r="V36" i="1" s="1"/>
  <c r="GL36" i="1"/>
  <c r="GO36" i="1"/>
  <c r="GP36" i="1"/>
  <c r="GV36" i="1"/>
  <c r="HC36" i="1"/>
  <c r="GX36" i="1" s="1"/>
  <c r="AC37" i="1"/>
  <c r="AE37" i="1"/>
  <c r="AD37" i="1" s="1"/>
  <c r="AB37" i="1" s="1"/>
  <c r="AF37" i="1"/>
  <c r="AG37" i="1"/>
  <c r="CU37" i="1" s="1"/>
  <c r="T37" i="1" s="1"/>
  <c r="AH37" i="1"/>
  <c r="CV37" i="1" s="1"/>
  <c r="AI37" i="1"/>
  <c r="AJ37" i="1"/>
  <c r="CX37" i="1" s="1"/>
  <c r="W37" i="1" s="1"/>
  <c r="CQ37" i="1"/>
  <c r="CR37" i="1"/>
  <c r="CT37" i="1"/>
  <c r="CW37" i="1"/>
  <c r="V37" i="1" s="1"/>
  <c r="GL37" i="1"/>
  <c r="GO37" i="1"/>
  <c r="GP37" i="1"/>
  <c r="GV37" i="1"/>
  <c r="HC37" i="1"/>
  <c r="GX37" i="1" s="1"/>
  <c r="AC38" i="1"/>
  <c r="AE38" i="1"/>
  <c r="AD38" i="1" s="1"/>
  <c r="AB38" i="1" s="1"/>
  <c r="AF38" i="1"/>
  <c r="AG38" i="1"/>
  <c r="CU38" i="1" s="1"/>
  <c r="AH38" i="1"/>
  <c r="CV38" i="1" s="1"/>
  <c r="AI38" i="1"/>
  <c r="AJ38" i="1"/>
  <c r="CX38" i="1" s="1"/>
  <c r="CQ38" i="1"/>
  <c r="CR38" i="1"/>
  <c r="CT38" i="1"/>
  <c r="CW38" i="1"/>
  <c r="GL38" i="1"/>
  <c r="GO38" i="1"/>
  <c r="GP38" i="1"/>
  <c r="GV38" i="1"/>
  <c r="HC38" i="1"/>
  <c r="B40" i="1"/>
  <c r="B30" i="1" s="1"/>
  <c r="C40" i="1"/>
  <c r="C30" i="1" s="1"/>
  <c r="D40" i="1"/>
  <c r="D30" i="1" s="1"/>
  <c r="F40" i="1"/>
  <c r="F30" i="1" s="1"/>
  <c r="G40" i="1"/>
  <c r="G30" i="1" s="1"/>
  <c r="AO40" i="1"/>
  <c r="AO30" i="1" s="1"/>
  <c r="AP40" i="1"/>
  <c r="AP30" i="1" s="1"/>
  <c r="AQ40" i="1"/>
  <c r="F50" i="1" s="1"/>
  <c r="AR40" i="1"/>
  <c r="AS40" i="1"/>
  <c r="AT40" i="1"/>
  <c r="AT30" i="1" s="1"/>
  <c r="AU40" i="1"/>
  <c r="AU30" i="1" s="1"/>
  <c r="AV40" i="1"/>
  <c r="AV30" i="1" s="1"/>
  <c r="AW40" i="1"/>
  <c r="AW30" i="1" s="1"/>
  <c r="AX40" i="1"/>
  <c r="F47" i="1" s="1"/>
  <c r="AY40" i="1"/>
  <c r="F48" i="1" s="1"/>
  <c r="AZ40" i="1"/>
  <c r="BA40" i="1"/>
  <c r="BB40" i="1"/>
  <c r="BB30" i="1" s="1"/>
  <c r="BC40" i="1"/>
  <c r="BC30" i="1" s="1"/>
  <c r="BD40" i="1"/>
  <c r="BD30" i="1" s="1"/>
  <c r="F42" i="1"/>
  <c r="F43" i="1"/>
  <c r="F44" i="1"/>
  <c r="F46" i="1"/>
  <c r="F49" i="1"/>
  <c r="F51" i="1"/>
  <c r="F52" i="1"/>
  <c r="F54" i="1"/>
  <c r="F55" i="1"/>
  <c r="F56" i="1"/>
  <c r="F61" i="1"/>
  <c r="F62" i="1"/>
  <c r="F63" i="1"/>
  <c r="F64" i="1"/>
  <c r="F65" i="1"/>
  <c r="F66" i="1"/>
  <c r="F67" i="1"/>
  <c r="F68" i="1"/>
  <c r="D70" i="1"/>
  <c r="E72" i="1"/>
  <c r="Z72" i="1"/>
  <c r="AA72" i="1"/>
  <c r="AM72" i="1"/>
  <c r="AN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FE72" i="1"/>
  <c r="FF72" i="1"/>
  <c r="FG72" i="1"/>
  <c r="FH72" i="1"/>
  <c r="FI72" i="1"/>
  <c r="FJ72" i="1"/>
  <c r="FK72" i="1"/>
  <c r="FL72" i="1"/>
  <c r="FM72" i="1"/>
  <c r="FN72" i="1"/>
  <c r="FO72" i="1"/>
  <c r="FP72" i="1"/>
  <c r="FQ72" i="1"/>
  <c r="FR72" i="1"/>
  <c r="FS72" i="1"/>
  <c r="FT72" i="1"/>
  <c r="FU72" i="1"/>
  <c r="FV72" i="1"/>
  <c r="FW72" i="1"/>
  <c r="FX72" i="1"/>
  <c r="FY72" i="1"/>
  <c r="FZ72" i="1"/>
  <c r="GA72" i="1"/>
  <c r="GB72" i="1"/>
  <c r="GC72" i="1"/>
  <c r="GD72" i="1"/>
  <c r="GE72" i="1"/>
  <c r="GF72" i="1"/>
  <c r="GG72" i="1"/>
  <c r="GH72" i="1"/>
  <c r="GI72" i="1"/>
  <c r="GJ72" i="1"/>
  <c r="GK72" i="1"/>
  <c r="GL72" i="1"/>
  <c r="GM72" i="1"/>
  <c r="GN72" i="1"/>
  <c r="GO72" i="1"/>
  <c r="GP72" i="1"/>
  <c r="GQ72" i="1"/>
  <c r="GR72" i="1"/>
  <c r="GS72" i="1"/>
  <c r="GT72" i="1"/>
  <c r="GU72" i="1"/>
  <c r="GV72" i="1"/>
  <c r="GW72" i="1"/>
  <c r="GX72" i="1"/>
  <c r="C74" i="1"/>
  <c r="D74" i="1"/>
  <c r="I74" i="1"/>
  <c r="K74" i="1"/>
  <c r="U74" i="1"/>
  <c r="AC74" i="1"/>
  <c r="AE74" i="1"/>
  <c r="CR74" i="1" s="1"/>
  <c r="AF74" i="1"/>
  <c r="AG74" i="1"/>
  <c r="AH74" i="1"/>
  <c r="CV74" i="1" s="1"/>
  <c r="AI74" i="1"/>
  <c r="AJ74" i="1"/>
  <c r="CT74" i="1"/>
  <c r="CU74" i="1"/>
  <c r="T74" i="1" s="1"/>
  <c r="CW74" i="1"/>
  <c r="CX74" i="1"/>
  <c r="GL74" i="1"/>
  <c r="GO74" i="1"/>
  <c r="GP74" i="1"/>
  <c r="GV74" i="1"/>
  <c r="HC74" i="1"/>
  <c r="GX74" i="1" s="1"/>
  <c r="C75" i="1"/>
  <c r="D75" i="1"/>
  <c r="I75" i="1"/>
  <c r="Q75" i="1" s="1"/>
  <c r="K75" i="1"/>
  <c r="P75" i="1"/>
  <c r="R75" i="1"/>
  <c r="AB75" i="1"/>
  <c r="AC75" i="1"/>
  <c r="AD75" i="1"/>
  <c r="AE75" i="1"/>
  <c r="CS75" i="1" s="1"/>
  <c r="AF75" i="1"/>
  <c r="AG75" i="1"/>
  <c r="AH75" i="1"/>
  <c r="CV75" i="1" s="1"/>
  <c r="U75" i="1" s="1"/>
  <c r="AI75" i="1"/>
  <c r="AJ75" i="1"/>
  <c r="CX75" i="1" s="1"/>
  <c r="W75" i="1" s="1"/>
  <c r="CQ75" i="1"/>
  <c r="CR75" i="1"/>
  <c r="CT75" i="1"/>
  <c r="CU75" i="1"/>
  <c r="T75" i="1" s="1"/>
  <c r="CW75" i="1"/>
  <c r="V75" i="1" s="1"/>
  <c r="GL75" i="1"/>
  <c r="GO75" i="1"/>
  <c r="GP75" i="1"/>
  <c r="GV75" i="1"/>
  <c r="HC75" i="1"/>
  <c r="GX75" i="1" s="1"/>
  <c r="C76" i="1"/>
  <c r="D76" i="1"/>
  <c r="I76" i="1"/>
  <c r="CU31" i="3" s="1"/>
  <c r="K76" i="1"/>
  <c r="U76" i="1"/>
  <c r="W76" i="1"/>
  <c r="AC76" i="1"/>
  <c r="AE76" i="1"/>
  <c r="AD76" i="1" s="1"/>
  <c r="AB76" i="1" s="1"/>
  <c r="AF76" i="1"/>
  <c r="AG76" i="1"/>
  <c r="CU76" i="1" s="1"/>
  <c r="T76" i="1" s="1"/>
  <c r="AH76" i="1"/>
  <c r="AI76" i="1"/>
  <c r="CW76" i="1" s="1"/>
  <c r="V76" i="1" s="1"/>
  <c r="AJ76" i="1"/>
  <c r="CX76" i="1" s="1"/>
  <c r="CQ76" i="1"/>
  <c r="CR76" i="1"/>
  <c r="CT76" i="1"/>
  <c r="CV76" i="1"/>
  <c r="GL76" i="1"/>
  <c r="GO76" i="1"/>
  <c r="GP76" i="1"/>
  <c r="GV76" i="1"/>
  <c r="HC76" i="1"/>
  <c r="GX76" i="1" s="1"/>
  <c r="C77" i="1"/>
  <c r="D77" i="1"/>
  <c r="I77" i="1"/>
  <c r="K77" i="1"/>
  <c r="R77" i="1"/>
  <c r="AC77" i="1"/>
  <c r="P77" i="1" s="1"/>
  <c r="AD77" i="1"/>
  <c r="AB77" i="1" s="1"/>
  <c r="AE77" i="1"/>
  <c r="Q77" i="1" s="1"/>
  <c r="AF77" i="1"/>
  <c r="CT77" i="1" s="1"/>
  <c r="AG77" i="1"/>
  <c r="CU77" i="1" s="1"/>
  <c r="T77" i="1" s="1"/>
  <c r="AH77" i="1"/>
  <c r="AI77" i="1"/>
  <c r="AJ77" i="1"/>
  <c r="CX77" i="1" s="1"/>
  <c r="W77" i="1" s="1"/>
  <c r="CQ77" i="1"/>
  <c r="CR77" i="1"/>
  <c r="CS77" i="1"/>
  <c r="CV77" i="1"/>
  <c r="U77" i="1" s="1"/>
  <c r="CW77" i="1"/>
  <c r="V77" i="1" s="1"/>
  <c r="GL77" i="1"/>
  <c r="GO77" i="1"/>
  <c r="GP77" i="1"/>
  <c r="GV77" i="1"/>
  <c r="GX77" i="1"/>
  <c r="HC77" i="1"/>
  <c r="I78" i="1"/>
  <c r="R78" i="1"/>
  <c r="AC78" i="1"/>
  <c r="P78" i="1" s="1"/>
  <c r="AD78" i="1"/>
  <c r="AB78" i="1" s="1"/>
  <c r="AE78" i="1"/>
  <c r="AF78" i="1"/>
  <c r="AG78" i="1"/>
  <c r="CU78" i="1" s="1"/>
  <c r="T78" i="1" s="1"/>
  <c r="AH78" i="1"/>
  <c r="AI78" i="1"/>
  <c r="AJ78" i="1"/>
  <c r="CX78" i="1" s="1"/>
  <c r="W78" i="1" s="1"/>
  <c r="CQ78" i="1"/>
  <c r="CR78" i="1"/>
  <c r="CS78" i="1"/>
  <c r="CV78" i="1"/>
  <c r="CW78" i="1"/>
  <c r="V78" i="1" s="1"/>
  <c r="GL78" i="1"/>
  <c r="GO78" i="1"/>
  <c r="GP78" i="1"/>
  <c r="GV78" i="1"/>
  <c r="GX78" i="1"/>
  <c r="HC78" i="1"/>
  <c r="I79" i="1"/>
  <c r="AB79" i="1"/>
  <c r="AC79" i="1"/>
  <c r="P79" i="1" s="1"/>
  <c r="AD79" i="1"/>
  <c r="AE79" i="1"/>
  <c r="AF79" i="1"/>
  <c r="AG79" i="1"/>
  <c r="CU79" i="1" s="1"/>
  <c r="AH79" i="1"/>
  <c r="AI79" i="1"/>
  <c r="AJ79" i="1"/>
  <c r="CX79" i="1" s="1"/>
  <c r="W79" i="1" s="1"/>
  <c r="CQ79" i="1"/>
  <c r="CR79" i="1"/>
  <c r="CS79" i="1"/>
  <c r="CV79" i="1"/>
  <c r="CW79" i="1"/>
  <c r="GL79" i="1"/>
  <c r="GO79" i="1"/>
  <c r="GP79" i="1"/>
  <c r="GV79" i="1"/>
  <c r="GX79" i="1"/>
  <c r="HC79" i="1"/>
  <c r="I80" i="1"/>
  <c r="R80" i="1" s="1"/>
  <c r="U80" i="1"/>
  <c r="AC80" i="1"/>
  <c r="P80" i="1" s="1"/>
  <c r="AE80" i="1"/>
  <c r="AD80" i="1" s="1"/>
  <c r="AB80" i="1" s="1"/>
  <c r="AF80" i="1"/>
  <c r="AG80" i="1"/>
  <c r="CU80" i="1" s="1"/>
  <c r="T80" i="1" s="1"/>
  <c r="AH80" i="1"/>
  <c r="AI80" i="1"/>
  <c r="AJ80" i="1"/>
  <c r="CX80" i="1" s="1"/>
  <c r="CQ80" i="1"/>
  <c r="CS80" i="1"/>
  <c r="CV80" i="1"/>
  <c r="CW80" i="1"/>
  <c r="V80" i="1" s="1"/>
  <c r="GL80" i="1"/>
  <c r="GO80" i="1"/>
  <c r="GP80" i="1"/>
  <c r="GV80" i="1"/>
  <c r="HC80" i="1"/>
  <c r="GX80" i="1" s="1"/>
  <c r="C81" i="1"/>
  <c r="D81" i="1"/>
  <c r="I81" i="1"/>
  <c r="K81" i="1"/>
  <c r="Q81" i="1"/>
  <c r="CP81" i="1" s="1"/>
  <c r="O81" i="1" s="1"/>
  <c r="R81" i="1"/>
  <c r="S81" i="1"/>
  <c r="X81" i="1" s="1"/>
  <c r="AC81" i="1"/>
  <c r="P81" i="1" s="1"/>
  <c r="AD81" i="1"/>
  <c r="AB81" i="1" s="1"/>
  <c r="AE81" i="1"/>
  <c r="AF81" i="1"/>
  <c r="AG81" i="1"/>
  <c r="CU81" i="1" s="1"/>
  <c r="T81" i="1" s="1"/>
  <c r="AH81" i="1"/>
  <c r="AI81" i="1"/>
  <c r="AJ81" i="1"/>
  <c r="CQ81" i="1"/>
  <c r="CR81" i="1"/>
  <c r="CS81" i="1"/>
  <c r="CT81" i="1"/>
  <c r="CV81" i="1"/>
  <c r="U81" i="1" s="1"/>
  <c r="CW81" i="1"/>
  <c r="V81" i="1" s="1"/>
  <c r="CX81" i="1"/>
  <c r="W81" i="1" s="1"/>
  <c r="CZ81" i="1"/>
  <c r="GL81" i="1"/>
  <c r="GO81" i="1"/>
  <c r="GP81" i="1"/>
  <c r="GV81" i="1"/>
  <c r="HC81" i="1" s="1"/>
  <c r="GX81" i="1" s="1"/>
  <c r="I82" i="1"/>
  <c r="Q82" i="1" s="1"/>
  <c r="AB82" i="1"/>
  <c r="AC82" i="1"/>
  <c r="CQ82" i="1" s="1"/>
  <c r="AD82" i="1"/>
  <c r="AE82" i="1"/>
  <c r="AF82" i="1"/>
  <c r="CT82" i="1" s="1"/>
  <c r="AG82" i="1"/>
  <c r="CU82" i="1" s="1"/>
  <c r="AH82" i="1"/>
  <c r="AI82" i="1"/>
  <c r="AJ82" i="1"/>
  <c r="CR82" i="1"/>
  <c r="CS82" i="1"/>
  <c r="CV82" i="1"/>
  <c r="U82" i="1" s="1"/>
  <c r="CW82" i="1"/>
  <c r="V82" i="1" s="1"/>
  <c r="CX82" i="1"/>
  <c r="W82" i="1" s="1"/>
  <c r="GL82" i="1"/>
  <c r="GO82" i="1"/>
  <c r="GP82" i="1"/>
  <c r="GV82" i="1"/>
  <c r="GX82" i="1"/>
  <c r="HC82" i="1"/>
  <c r="I83" i="1"/>
  <c r="Q83" i="1" s="1"/>
  <c r="P83" i="1"/>
  <c r="CP83" i="1" s="1"/>
  <c r="O83" i="1" s="1"/>
  <c r="R83" i="1"/>
  <c r="T83" i="1"/>
  <c r="AB83" i="1"/>
  <c r="AC83" i="1"/>
  <c r="AD83" i="1"/>
  <c r="AE83" i="1"/>
  <c r="CS83" i="1" s="1"/>
  <c r="AF83" i="1"/>
  <c r="S83" i="1" s="1"/>
  <c r="AG83" i="1"/>
  <c r="AH83" i="1"/>
  <c r="CV83" i="1" s="1"/>
  <c r="U83" i="1" s="1"/>
  <c r="AI83" i="1"/>
  <c r="AJ83" i="1"/>
  <c r="CX83" i="1" s="1"/>
  <c r="W83" i="1" s="1"/>
  <c r="CQ83" i="1"/>
  <c r="CR83" i="1"/>
  <c r="CT83" i="1"/>
  <c r="CU83" i="1"/>
  <c r="CW83" i="1"/>
  <c r="V83" i="1" s="1"/>
  <c r="GL83" i="1"/>
  <c r="GO83" i="1"/>
  <c r="GP83" i="1"/>
  <c r="GV83" i="1"/>
  <c r="GX83" i="1"/>
  <c r="HC83" i="1"/>
  <c r="C84" i="1"/>
  <c r="D84" i="1"/>
  <c r="I84" i="1"/>
  <c r="K84" i="1"/>
  <c r="Q84" i="1"/>
  <c r="R84" i="1"/>
  <c r="AC84" i="1"/>
  <c r="P84" i="1" s="1"/>
  <c r="AE84" i="1"/>
  <c r="CS84" i="1" s="1"/>
  <c r="AF84" i="1"/>
  <c r="AG84" i="1"/>
  <c r="CU84" i="1" s="1"/>
  <c r="T84" i="1" s="1"/>
  <c r="AH84" i="1"/>
  <c r="AI84" i="1"/>
  <c r="CW84" i="1" s="1"/>
  <c r="V84" i="1" s="1"/>
  <c r="AJ84" i="1"/>
  <c r="CX84" i="1" s="1"/>
  <c r="W84" i="1" s="1"/>
  <c r="CR84" i="1"/>
  <c r="CT84" i="1"/>
  <c r="CV84" i="1"/>
  <c r="U84" i="1" s="1"/>
  <c r="GL84" i="1"/>
  <c r="GO84" i="1"/>
  <c r="GP84" i="1"/>
  <c r="GV84" i="1"/>
  <c r="HC84" i="1"/>
  <c r="GX84" i="1" s="1"/>
  <c r="AC85" i="1"/>
  <c r="AE85" i="1"/>
  <c r="CS85" i="1" s="1"/>
  <c r="AF85" i="1"/>
  <c r="AG85" i="1"/>
  <c r="CU85" i="1" s="1"/>
  <c r="AH85" i="1"/>
  <c r="AI85" i="1"/>
  <c r="CW85" i="1" s="1"/>
  <c r="AJ85" i="1"/>
  <c r="CX85" i="1" s="1"/>
  <c r="CR85" i="1"/>
  <c r="CT85" i="1"/>
  <c r="CV85" i="1"/>
  <c r="GL85" i="1"/>
  <c r="GO85" i="1"/>
  <c r="GP85" i="1"/>
  <c r="GV85" i="1"/>
  <c r="HC85" i="1"/>
  <c r="C86" i="1"/>
  <c r="D86" i="1"/>
  <c r="I86" i="1"/>
  <c r="K86" i="1"/>
  <c r="P86" i="1"/>
  <c r="CP86" i="1" s="1"/>
  <c r="O86" i="1" s="1"/>
  <c r="Q86" i="1"/>
  <c r="R86" i="1"/>
  <c r="V86" i="1"/>
  <c r="AC86" i="1"/>
  <c r="AD86" i="1"/>
  <c r="AB86" i="1" s="1"/>
  <c r="AE86" i="1"/>
  <c r="AF86" i="1"/>
  <c r="S86" i="1" s="1"/>
  <c r="AG86" i="1"/>
  <c r="CU86" i="1" s="1"/>
  <c r="T86" i="1" s="1"/>
  <c r="AH86" i="1"/>
  <c r="AI86" i="1"/>
  <c r="AJ86" i="1"/>
  <c r="CX86" i="1" s="1"/>
  <c r="W86" i="1" s="1"/>
  <c r="CQ86" i="1"/>
  <c r="CR86" i="1"/>
  <c r="CS86" i="1"/>
  <c r="CV86" i="1"/>
  <c r="U86" i="1" s="1"/>
  <c r="CW86" i="1"/>
  <c r="GL86" i="1"/>
  <c r="GO86" i="1"/>
  <c r="GP86" i="1"/>
  <c r="GV86" i="1"/>
  <c r="GX86" i="1"/>
  <c r="HC86" i="1"/>
  <c r="I87" i="1"/>
  <c r="GX87" i="1" s="1"/>
  <c r="V87" i="1"/>
  <c r="AC87" i="1"/>
  <c r="AD87" i="1"/>
  <c r="AB87" i="1" s="1"/>
  <c r="AE87" i="1"/>
  <c r="AF87" i="1"/>
  <c r="S87" i="1" s="1"/>
  <c r="AG87" i="1"/>
  <c r="CU87" i="1" s="1"/>
  <c r="T87" i="1" s="1"/>
  <c r="AH87" i="1"/>
  <c r="AI87" i="1"/>
  <c r="AJ87" i="1"/>
  <c r="CX87" i="1" s="1"/>
  <c r="W87" i="1" s="1"/>
  <c r="CQ87" i="1"/>
  <c r="CR87" i="1"/>
  <c r="CS87" i="1"/>
  <c r="CV87" i="1"/>
  <c r="U87" i="1" s="1"/>
  <c r="CW87" i="1"/>
  <c r="GL87" i="1"/>
  <c r="GO87" i="1"/>
  <c r="GP87" i="1"/>
  <c r="GV87" i="1"/>
  <c r="HC87" i="1"/>
  <c r="C88" i="1"/>
  <c r="D88" i="1"/>
  <c r="I88" i="1"/>
  <c r="K88" i="1"/>
  <c r="Q88" i="1"/>
  <c r="S88" i="1"/>
  <c r="X88" i="1" s="1"/>
  <c r="AC88" i="1"/>
  <c r="P88" i="1" s="1"/>
  <c r="CP88" i="1" s="1"/>
  <c r="O88" i="1" s="1"/>
  <c r="AD88" i="1"/>
  <c r="AE88" i="1"/>
  <c r="AF88" i="1"/>
  <c r="AG88" i="1"/>
  <c r="CU88" i="1" s="1"/>
  <c r="T88" i="1" s="1"/>
  <c r="AH88" i="1"/>
  <c r="AI88" i="1"/>
  <c r="CW88" i="1" s="1"/>
  <c r="V88" i="1" s="1"/>
  <c r="AJ88" i="1"/>
  <c r="CR88" i="1"/>
  <c r="CS88" i="1"/>
  <c r="CT88" i="1"/>
  <c r="CV88" i="1"/>
  <c r="U88" i="1" s="1"/>
  <c r="CX88" i="1"/>
  <c r="W88" i="1" s="1"/>
  <c r="GL88" i="1"/>
  <c r="GO88" i="1"/>
  <c r="GP88" i="1"/>
  <c r="GV88" i="1"/>
  <c r="HC88" i="1" s="1"/>
  <c r="GX88" i="1" s="1"/>
  <c r="CJ97" i="1" s="1"/>
  <c r="C89" i="1"/>
  <c r="D89" i="1"/>
  <c r="I89" i="1"/>
  <c r="K89" i="1"/>
  <c r="P89" i="1"/>
  <c r="Q89" i="1"/>
  <c r="R89" i="1"/>
  <c r="AC89" i="1"/>
  <c r="AD89" i="1"/>
  <c r="AB89" i="1" s="1"/>
  <c r="AE89" i="1"/>
  <c r="AF89" i="1"/>
  <c r="CT89" i="1" s="1"/>
  <c r="AG89" i="1"/>
  <c r="AH89" i="1"/>
  <c r="CV89" i="1" s="1"/>
  <c r="U89" i="1" s="1"/>
  <c r="AI89" i="1"/>
  <c r="CW89" i="1" s="1"/>
  <c r="V89" i="1" s="1"/>
  <c r="AJ89" i="1"/>
  <c r="CX89" i="1" s="1"/>
  <c r="W89" i="1" s="1"/>
  <c r="CQ89" i="1"/>
  <c r="CR89" i="1"/>
  <c r="CS89" i="1"/>
  <c r="CU89" i="1"/>
  <c r="T89" i="1" s="1"/>
  <c r="GL89" i="1"/>
  <c r="GO89" i="1"/>
  <c r="GP89" i="1"/>
  <c r="GV89" i="1"/>
  <c r="HC89" i="1" s="1"/>
  <c r="GX89" i="1" s="1"/>
  <c r="I90" i="1"/>
  <c r="Q90" i="1" s="1"/>
  <c r="P90" i="1"/>
  <c r="AC90" i="1"/>
  <c r="AD90" i="1"/>
  <c r="AB90" i="1" s="1"/>
  <c r="AE90" i="1"/>
  <c r="AF90" i="1"/>
  <c r="CT90" i="1" s="1"/>
  <c r="AG90" i="1"/>
  <c r="AH90" i="1"/>
  <c r="CV90" i="1" s="1"/>
  <c r="U90" i="1" s="1"/>
  <c r="AI90" i="1"/>
  <c r="CW90" i="1" s="1"/>
  <c r="V90" i="1" s="1"/>
  <c r="AJ90" i="1"/>
  <c r="CX90" i="1" s="1"/>
  <c r="W90" i="1" s="1"/>
  <c r="CQ90" i="1"/>
  <c r="CR90" i="1"/>
  <c r="CS90" i="1"/>
  <c r="CU90" i="1"/>
  <c r="T90" i="1" s="1"/>
  <c r="GL90" i="1"/>
  <c r="GO90" i="1"/>
  <c r="GP90" i="1"/>
  <c r="GV90" i="1"/>
  <c r="HC90" i="1" s="1"/>
  <c r="GX90" i="1" s="1"/>
  <c r="I91" i="1"/>
  <c r="Q91" i="1" s="1"/>
  <c r="P91" i="1"/>
  <c r="AC91" i="1"/>
  <c r="AD91" i="1"/>
  <c r="AB91" i="1" s="1"/>
  <c r="AE91" i="1"/>
  <c r="AF91" i="1"/>
  <c r="CT91" i="1" s="1"/>
  <c r="AG91" i="1"/>
  <c r="AH91" i="1"/>
  <c r="CV91" i="1" s="1"/>
  <c r="U91" i="1" s="1"/>
  <c r="AI91" i="1"/>
  <c r="CW91" i="1" s="1"/>
  <c r="V91" i="1" s="1"/>
  <c r="AJ91" i="1"/>
  <c r="CX91" i="1" s="1"/>
  <c r="W91" i="1" s="1"/>
  <c r="CQ91" i="1"/>
  <c r="CR91" i="1"/>
  <c r="CS91" i="1"/>
  <c r="CU91" i="1"/>
  <c r="T91" i="1" s="1"/>
  <c r="GL91" i="1"/>
  <c r="GO91" i="1"/>
  <c r="GP91" i="1"/>
  <c r="GV91" i="1"/>
  <c r="HC91" i="1" s="1"/>
  <c r="GX91" i="1" s="1"/>
  <c r="I92" i="1"/>
  <c r="Q92" i="1" s="1"/>
  <c r="P92" i="1"/>
  <c r="AC92" i="1"/>
  <c r="AD92" i="1"/>
  <c r="AB92" i="1" s="1"/>
  <c r="AE92" i="1"/>
  <c r="AF92" i="1"/>
  <c r="CT92" i="1" s="1"/>
  <c r="AG92" i="1"/>
  <c r="AH92" i="1"/>
  <c r="CV92" i="1" s="1"/>
  <c r="U92" i="1" s="1"/>
  <c r="AI92" i="1"/>
  <c r="CW92" i="1" s="1"/>
  <c r="V92" i="1" s="1"/>
  <c r="AJ92" i="1"/>
  <c r="CX92" i="1" s="1"/>
  <c r="W92" i="1" s="1"/>
  <c r="CQ92" i="1"/>
  <c r="CR92" i="1"/>
  <c r="CS92" i="1"/>
  <c r="CU92" i="1"/>
  <c r="T92" i="1" s="1"/>
  <c r="GL92" i="1"/>
  <c r="GO92" i="1"/>
  <c r="GP92" i="1"/>
  <c r="GV92" i="1"/>
  <c r="HC92" i="1" s="1"/>
  <c r="GX92" i="1" s="1"/>
  <c r="I93" i="1"/>
  <c r="Q93" i="1" s="1"/>
  <c r="P93" i="1"/>
  <c r="AC93" i="1"/>
  <c r="AB93" i="1" s="1"/>
  <c r="AD93" i="1"/>
  <c r="AE93" i="1"/>
  <c r="AF93" i="1"/>
  <c r="CT93" i="1" s="1"/>
  <c r="AG93" i="1"/>
  <c r="AH93" i="1"/>
  <c r="CV93" i="1" s="1"/>
  <c r="U93" i="1" s="1"/>
  <c r="AI93" i="1"/>
  <c r="CW93" i="1" s="1"/>
  <c r="V93" i="1" s="1"/>
  <c r="AJ93" i="1"/>
  <c r="CQ93" i="1"/>
  <c r="CR93" i="1"/>
  <c r="CS93" i="1"/>
  <c r="CU93" i="1"/>
  <c r="T93" i="1" s="1"/>
  <c r="CX93" i="1"/>
  <c r="W93" i="1" s="1"/>
  <c r="GL93" i="1"/>
  <c r="GO93" i="1"/>
  <c r="GP93" i="1"/>
  <c r="GV93" i="1"/>
  <c r="HC93" i="1" s="1"/>
  <c r="GX93" i="1" s="1"/>
  <c r="C94" i="1"/>
  <c r="D94" i="1"/>
  <c r="I94" i="1"/>
  <c r="I95" i="1" s="1"/>
  <c r="K94" i="1"/>
  <c r="U94" i="1"/>
  <c r="AC94" i="1"/>
  <c r="AE94" i="1"/>
  <c r="AD94" i="1" s="1"/>
  <c r="AF94" i="1"/>
  <c r="CT94" i="1" s="1"/>
  <c r="AG94" i="1"/>
  <c r="AH94" i="1"/>
  <c r="AI94" i="1"/>
  <c r="CW94" i="1" s="1"/>
  <c r="V94" i="1" s="1"/>
  <c r="AJ94" i="1"/>
  <c r="CR94" i="1"/>
  <c r="CU94" i="1"/>
  <c r="T94" i="1" s="1"/>
  <c r="CV94" i="1"/>
  <c r="CX94" i="1"/>
  <c r="W94" i="1" s="1"/>
  <c r="GL94" i="1"/>
  <c r="GO94" i="1"/>
  <c r="GP94" i="1"/>
  <c r="GV94" i="1"/>
  <c r="HC94" i="1"/>
  <c r="GX94" i="1" s="1"/>
  <c r="AC95" i="1"/>
  <c r="AE95" i="1"/>
  <c r="AD95" i="1" s="1"/>
  <c r="AF95" i="1"/>
  <c r="CT95" i="1" s="1"/>
  <c r="AG95" i="1"/>
  <c r="AH95" i="1"/>
  <c r="AI95" i="1"/>
  <c r="CW95" i="1" s="1"/>
  <c r="V95" i="1" s="1"/>
  <c r="AJ95" i="1"/>
  <c r="CR95" i="1"/>
  <c r="CU95" i="1"/>
  <c r="T95" i="1" s="1"/>
  <c r="CV95" i="1"/>
  <c r="CX95" i="1"/>
  <c r="W95" i="1" s="1"/>
  <c r="GL95" i="1"/>
  <c r="GO95" i="1"/>
  <c r="GP95" i="1"/>
  <c r="GV95" i="1"/>
  <c r="HC95" i="1"/>
  <c r="GX95" i="1" s="1"/>
  <c r="B97" i="1"/>
  <c r="B72" i="1" s="1"/>
  <c r="C97" i="1"/>
  <c r="C72" i="1" s="1"/>
  <c r="D97" i="1"/>
  <c r="D72" i="1" s="1"/>
  <c r="F97" i="1"/>
  <c r="F72" i="1" s="1"/>
  <c r="G97" i="1"/>
  <c r="G72" i="1" s="1"/>
  <c r="AQ97" i="1"/>
  <c r="AQ72" i="1" s="1"/>
  <c r="BX97" i="1"/>
  <c r="BX72" i="1" s="1"/>
  <c r="BY97" i="1"/>
  <c r="BY72" i="1" s="1"/>
  <c r="BZ97" i="1"/>
  <c r="BZ72" i="1" s="1"/>
  <c r="CC97" i="1"/>
  <c r="AT97" i="1" s="1"/>
  <c r="AT72" i="1" s="1"/>
  <c r="CD97" i="1"/>
  <c r="CD72" i="1" s="1"/>
  <c r="CG97" i="1"/>
  <c r="CK97" i="1"/>
  <c r="CL97" i="1"/>
  <c r="CM97" i="1"/>
  <c r="CM72" i="1" s="1"/>
  <c r="F107" i="1"/>
  <c r="F115" i="1"/>
  <c r="D127" i="1"/>
  <c r="E129" i="1"/>
  <c r="Z129" i="1"/>
  <c r="AA129" i="1"/>
  <c r="AM129" i="1"/>
  <c r="AN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CL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EF129" i="1"/>
  <c r="EG129" i="1"/>
  <c r="EH129" i="1"/>
  <c r="EI129" i="1"/>
  <c r="EJ129" i="1"/>
  <c r="EK129" i="1"/>
  <c r="EL129" i="1"/>
  <c r="EM129" i="1"/>
  <c r="EN129" i="1"/>
  <c r="EO129" i="1"/>
  <c r="EP129" i="1"/>
  <c r="EQ129" i="1"/>
  <c r="ER129" i="1"/>
  <c r="ES129" i="1"/>
  <c r="ET129" i="1"/>
  <c r="EU129" i="1"/>
  <c r="EV129" i="1"/>
  <c r="EW129" i="1"/>
  <c r="EX129" i="1"/>
  <c r="EY129" i="1"/>
  <c r="EZ129" i="1"/>
  <c r="FA129" i="1"/>
  <c r="FB129" i="1"/>
  <c r="FC129" i="1"/>
  <c r="FD129" i="1"/>
  <c r="FE129" i="1"/>
  <c r="FF129" i="1"/>
  <c r="FG129" i="1"/>
  <c r="FH129" i="1"/>
  <c r="FI129" i="1"/>
  <c r="FJ129" i="1"/>
  <c r="FK129" i="1"/>
  <c r="FL129" i="1"/>
  <c r="FM129" i="1"/>
  <c r="FN129" i="1"/>
  <c r="FO129" i="1"/>
  <c r="FP129" i="1"/>
  <c r="FQ129" i="1"/>
  <c r="FR129" i="1"/>
  <c r="FS129" i="1"/>
  <c r="FT129" i="1"/>
  <c r="FU129" i="1"/>
  <c r="FV129" i="1"/>
  <c r="FW129" i="1"/>
  <c r="FX129" i="1"/>
  <c r="FY129" i="1"/>
  <c r="FZ129" i="1"/>
  <c r="GA129" i="1"/>
  <c r="GB129" i="1"/>
  <c r="GC129" i="1"/>
  <c r="GD129" i="1"/>
  <c r="GE129" i="1"/>
  <c r="GF129" i="1"/>
  <c r="GG129" i="1"/>
  <c r="GH129" i="1"/>
  <c r="GI129" i="1"/>
  <c r="GJ129" i="1"/>
  <c r="GK129" i="1"/>
  <c r="GL129" i="1"/>
  <c r="GM129" i="1"/>
  <c r="GN129" i="1"/>
  <c r="GO129" i="1"/>
  <c r="GP129" i="1"/>
  <c r="GQ129" i="1"/>
  <c r="GR129" i="1"/>
  <c r="GS129" i="1"/>
  <c r="GT129" i="1"/>
  <c r="GU129" i="1"/>
  <c r="GV129" i="1"/>
  <c r="GW129" i="1"/>
  <c r="GX129" i="1"/>
  <c r="C131" i="1"/>
  <c r="D131" i="1"/>
  <c r="P131" i="1"/>
  <c r="S131" i="1"/>
  <c r="Y131" i="1" s="1"/>
  <c r="W131" i="1"/>
  <c r="X131" i="1"/>
  <c r="AC131" i="1"/>
  <c r="AE131" i="1"/>
  <c r="Q131" i="1" s="1"/>
  <c r="AF131" i="1"/>
  <c r="AG131" i="1"/>
  <c r="AH131" i="1"/>
  <c r="CV131" i="1" s="1"/>
  <c r="U131" i="1" s="1"/>
  <c r="AI131" i="1"/>
  <c r="AJ131" i="1"/>
  <c r="CR131" i="1"/>
  <c r="CT131" i="1"/>
  <c r="CU131" i="1"/>
  <c r="T131" i="1" s="1"/>
  <c r="CW131" i="1"/>
  <c r="V131" i="1" s="1"/>
  <c r="CX131" i="1"/>
  <c r="CZ131" i="1"/>
  <c r="GL131" i="1"/>
  <c r="GO131" i="1"/>
  <c r="GP131" i="1"/>
  <c r="GV131" i="1"/>
  <c r="HC131" i="1"/>
  <c r="GX131" i="1" s="1"/>
  <c r="C132" i="1"/>
  <c r="D132" i="1"/>
  <c r="I132" i="1"/>
  <c r="K132" i="1"/>
  <c r="AC132" i="1"/>
  <c r="AE132" i="1"/>
  <c r="AF132" i="1"/>
  <c r="CT132" i="1" s="1"/>
  <c r="AG132" i="1"/>
  <c r="AH132" i="1"/>
  <c r="CV132" i="1" s="1"/>
  <c r="U132" i="1" s="1"/>
  <c r="AI132" i="1"/>
  <c r="AJ132" i="1"/>
  <c r="CX132" i="1" s="1"/>
  <c r="W132" i="1" s="1"/>
  <c r="CQ132" i="1"/>
  <c r="CU132" i="1"/>
  <c r="CW132" i="1"/>
  <c r="GL132" i="1"/>
  <c r="GO132" i="1"/>
  <c r="GP132" i="1"/>
  <c r="GV132" i="1"/>
  <c r="HC132" i="1"/>
  <c r="AC133" i="1"/>
  <c r="AE133" i="1"/>
  <c r="AF133" i="1"/>
  <c r="CT133" i="1" s="1"/>
  <c r="AG133" i="1"/>
  <c r="AH133" i="1"/>
  <c r="CV133" i="1" s="1"/>
  <c r="AI133" i="1"/>
  <c r="AJ133" i="1"/>
  <c r="CX133" i="1" s="1"/>
  <c r="CQ133" i="1"/>
  <c r="CU133" i="1"/>
  <c r="CW133" i="1"/>
  <c r="GL133" i="1"/>
  <c r="GO133" i="1"/>
  <c r="GP133" i="1"/>
  <c r="GV133" i="1"/>
  <c r="HC133" i="1"/>
  <c r="C134" i="1"/>
  <c r="D134" i="1"/>
  <c r="I134" i="1"/>
  <c r="I135" i="1" s="1"/>
  <c r="K134" i="1"/>
  <c r="Q134" i="1"/>
  <c r="R134" i="1"/>
  <c r="S134" i="1"/>
  <c r="CY134" i="1" s="1"/>
  <c r="Y134" i="1"/>
  <c r="AC134" i="1"/>
  <c r="CQ134" i="1" s="1"/>
  <c r="AE134" i="1"/>
  <c r="AD134" i="1" s="1"/>
  <c r="AB134" i="1" s="1"/>
  <c r="AF134" i="1"/>
  <c r="AG134" i="1"/>
  <c r="CU134" i="1" s="1"/>
  <c r="T134" i="1" s="1"/>
  <c r="AH134" i="1"/>
  <c r="AI134" i="1"/>
  <c r="AJ134" i="1"/>
  <c r="CX134" i="1" s="1"/>
  <c r="W134" i="1" s="1"/>
  <c r="CR134" i="1"/>
  <c r="CT134" i="1"/>
  <c r="CV134" i="1"/>
  <c r="U134" i="1" s="1"/>
  <c r="CW134" i="1"/>
  <c r="V134" i="1" s="1"/>
  <c r="CZ134" i="1"/>
  <c r="GL134" i="1"/>
  <c r="GO134" i="1"/>
  <c r="GP134" i="1"/>
  <c r="GV134" i="1"/>
  <c r="HC134" i="1"/>
  <c r="GX134" i="1" s="1"/>
  <c r="R135" i="1"/>
  <c r="AB135" i="1"/>
  <c r="AC135" i="1"/>
  <c r="CQ135" i="1" s="1"/>
  <c r="AE135" i="1"/>
  <c r="AD135" i="1" s="1"/>
  <c r="AF135" i="1"/>
  <c r="AG135" i="1"/>
  <c r="CU135" i="1" s="1"/>
  <c r="AH135" i="1"/>
  <c r="AI135" i="1"/>
  <c r="AJ135" i="1"/>
  <c r="CX135" i="1" s="1"/>
  <c r="W135" i="1" s="1"/>
  <c r="CR135" i="1"/>
  <c r="CT135" i="1"/>
  <c r="CV135" i="1"/>
  <c r="U135" i="1" s="1"/>
  <c r="CW135" i="1"/>
  <c r="V135" i="1" s="1"/>
  <c r="GL135" i="1"/>
  <c r="GO135" i="1"/>
  <c r="GP135" i="1"/>
  <c r="GV135" i="1"/>
  <c r="HC135" i="1"/>
  <c r="GX135" i="1" s="1"/>
  <c r="I136" i="1"/>
  <c r="Q136" i="1"/>
  <c r="R136" i="1"/>
  <c r="S136" i="1"/>
  <c r="CY136" i="1" s="1"/>
  <c r="Y136" i="1"/>
  <c r="AC136" i="1"/>
  <c r="CQ136" i="1" s="1"/>
  <c r="AE136" i="1"/>
  <c r="AD136" i="1" s="1"/>
  <c r="AB136" i="1" s="1"/>
  <c r="AF136" i="1"/>
  <c r="AG136" i="1"/>
  <c r="CU136" i="1" s="1"/>
  <c r="T136" i="1" s="1"/>
  <c r="AH136" i="1"/>
  <c r="AI136" i="1"/>
  <c r="AJ136" i="1"/>
  <c r="CX136" i="1" s="1"/>
  <c r="W136" i="1" s="1"/>
  <c r="CR136" i="1"/>
  <c r="CT136" i="1"/>
  <c r="CV136" i="1"/>
  <c r="U136" i="1" s="1"/>
  <c r="CW136" i="1"/>
  <c r="V136" i="1" s="1"/>
  <c r="CZ136" i="1"/>
  <c r="GL136" i="1"/>
  <c r="GO136" i="1"/>
  <c r="GP136" i="1"/>
  <c r="GV136" i="1"/>
  <c r="HC136" i="1"/>
  <c r="GX136" i="1" s="1"/>
  <c r="I137" i="1"/>
  <c r="Q137" i="1"/>
  <c r="R137" i="1"/>
  <c r="S137" i="1"/>
  <c r="CY137" i="1" s="1"/>
  <c r="Y137" i="1"/>
  <c r="AC137" i="1"/>
  <c r="CQ137" i="1" s="1"/>
  <c r="AE137" i="1"/>
  <c r="AD137" i="1" s="1"/>
  <c r="AB137" i="1" s="1"/>
  <c r="AF137" i="1"/>
  <c r="AG137" i="1"/>
  <c r="CU137" i="1" s="1"/>
  <c r="T137" i="1" s="1"/>
  <c r="AH137" i="1"/>
  <c r="AI137" i="1"/>
  <c r="AJ137" i="1"/>
  <c r="CX137" i="1" s="1"/>
  <c r="W137" i="1" s="1"/>
  <c r="CR137" i="1"/>
  <c r="CT137" i="1"/>
  <c r="CV137" i="1"/>
  <c r="U137" i="1" s="1"/>
  <c r="CW137" i="1"/>
  <c r="V137" i="1" s="1"/>
  <c r="CZ137" i="1"/>
  <c r="GL137" i="1"/>
  <c r="GO137" i="1"/>
  <c r="GP137" i="1"/>
  <c r="GV137" i="1"/>
  <c r="HC137" i="1"/>
  <c r="GX137" i="1" s="1"/>
  <c r="C138" i="1"/>
  <c r="D138" i="1"/>
  <c r="I138" i="1"/>
  <c r="K138" i="1"/>
  <c r="P138" i="1"/>
  <c r="R138" i="1"/>
  <c r="V138" i="1"/>
  <c r="AC138" i="1"/>
  <c r="AD138" i="1"/>
  <c r="AE138" i="1"/>
  <c r="Q138" i="1" s="1"/>
  <c r="AF138" i="1"/>
  <c r="AB138" i="1" s="1"/>
  <c r="AG138" i="1"/>
  <c r="CU138" i="1" s="1"/>
  <c r="T138" i="1" s="1"/>
  <c r="AH138" i="1"/>
  <c r="CV138" i="1" s="1"/>
  <c r="U138" i="1" s="1"/>
  <c r="AI138" i="1"/>
  <c r="AJ138" i="1"/>
  <c r="CX138" i="1" s="1"/>
  <c r="W138" i="1" s="1"/>
  <c r="CQ138" i="1"/>
  <c r="CR138" i="1"/>
  <c r="CS138" i="1"/>
  <c r="CT138" i="1"/>
  <c r="CW138" i="1"/>
  <c r="GL138" i="1"/>
  <c r="GO138" i="1"/>
  <c r="GP138" i="1"/>
  <c r="GV138" i="1"/>
  <c r="GX138" i="1"/>
  <c r="HC138" i="1"/>
  <c r="I139" i="1"/>
  <c r="P139" i="1" s="1"/>
  <c r="V139" i="1"/>
  <c r="AC139" i="1"/>
  <c r="AD139" i="1"/>
  <c r="AE139" i="1"/>
  <c r="AF139" i="1"/>
  <c r="AB139" i="1" s="1"/>
  <c r="AG139" i="1"/>
  <c r="CU139" i="1" s="1"/>
  <c r="T139" i="1" s="1"/>
  <c r="AH139" i="1"/>
  <c r="CV139" i="1" s="1"/>
  <c r="U139" i="1" s="1"/>
  <c r="AI139" i="1"/>
  <c r="AJ139" i="1"/>
  <c r="CX139" i="1" s="1"/>
  <c r="W139" i="1" s="1"/>
  <c r="CQ139" i="1"/>
  <c r="CR139" i="1"/>
  <c r="CS139" i="1"/>
  <c r="CT139" i="1"/>
  <c r="CW139" i="1"/>
  <c r="GL139" i="1"/>
  <c r="GO139" i="1"/>
  <c r="GP139" i="1"/>
  <c r="GV139" i="1"/>
  <c r="HC139" i="1"/>
  <c r="I140" i="1"/>
  <c r="P140" i="1" s="1"/>
  <c r="V140" i="1"/>
  <c r="AC140" i="1"/>
  <c r="AD140" i="1"/>
  <c r="AE140" i="1"/>
  <c r="AF140" i="1"/>
  <c r="AB140" i="1" s="1"/>
  <c r="AG140" i="1"/>
  <c r="CU140" i="1" s="1"/>
  <c r="T140" i="1" s="1"/>
  <c r="AH140" i="1"/>
  <c r="CV140" i="1" s="1"/>
  <c r="U140" i="1" s="1"/>
  <c r="AI140" i="1"/>
  <c r="AJ140" i="1"/>
  <c r="CX140" i="1" s="1"/>
  <c r="W140" i="1" s="1"/>
  <c r="CQ140" i="1"/>
  <c r="CR140" i="1"/>
  <c r="CS140" i="1"/>
  <c r="CT140" i="1"/>
  <c r="CW140" i="1"/>
  <c r="GL140" i="1"/>
  <c r="GO140" i="1"/>
  <c r="GP140" i="1"/>
  <c r="GV140" i="1"/>
  <c r="HC140" i="1"/>
  <c r="C141" i="1"/>
  <c r="D141" i="1"/>
  <c r="I141" i="1"/>
  <c r="I142" i="1" s="1"/>
  <c r="K141" i="1"/>
  <c r="S141" i="1"/>
  <c r="AC141" i="1"/>
  <c r="AD141" i="1"/>
  <c r="AE141" i="1"/>
  <c r="CS141" i="1" s="1"/>
  <c r="AF141" i="1"/>
  <c r="AG141" i="1"/>
  <c r="CU141" i="1" s="1"/>
  <c r="T141" i="1" s="1"/>
  <c r="AH141" i="1"/>
  <c r="AI141" i="1"/>
  <c r="CW141" i="1" s="1"/>
  <c r="V141" i="1" s="1"/>
  <c r="AJ141" i="1"/>
  <c r="CR141" i="1"/>
  <c r="CT141" i="1"/>
  <c r="CV141" i="1"/>
  <c r="U141" i="1" s="1"/>
  <c r="CX141" i="1"/>
  <c r="W141" i="1" s="1"/>
  <c r="CY141" i="1"/>
  <c r="GL141" i="1"/>
  <c r="GO141" i="1"/>
  <c r="GP141" i="1"/>
  <c r="GV141" i="1"/>
  <c r="HC141" i="1" s="1"/>
  <c r="GX141" i="1"/>
  <c r="S142" i="1"/>
  <c r="AC142" i="1"/>
  <c r="AD142" i="1"/>
  <c r="AE142" i="1"/>
  <c r="CS142" i="1" s="1"/>
  <c r="AF142" i="1"/>
  <c r="AG142" i="1"/>
  <c r="CU142" i="1" s="1"/>
  <c r="T142" i="1" s="1"/>
  <c r="AH142" i="1"/>
  <c r="AI142" i="1"/>
  <c r="CW142" i="1" s="1"/>
  <c r="V142" i="1" s="1"/>
  <c r="AJ142" i="1"/>
  <c r="CQ142" i="1"/>
  <c r="CR142" i="1"/>
  <c r="CT142" i="1"/>
  <c r="CV142" i="1"/>
  <c r="CX142" i="1"/>
  <c r="W142" i="1" s="1"/>
  <c r="CY142" i="1"/>
  <c r="GL142" i="1"/>
  <c r="GO142" i="1"/>
  <c r="GP142" i="1"/>
  <c r="GV142" i="1"/>
  <c r="HC142" i="1" s="1"/>
  <c r="GX142" i="1" s="1"/>
  <c r="C143" i="1"/>
  <c r="D143" i="1"/>
  <c r="I143" i="1"/>
  <c r="K143" i="1"/>
  <c r="P143" i="1"/>
  <c r="Q143" i="1"/>
  <c r="R143" i="1"/>
  <c r="Y143" i="1"/>
  <c r="AC143" i="1"/>
  <c r="AD143" i="1"/>
  <c r="AB143" i="1" s="1"/>
  <c r="AE143" i="1"/>
  <c r="AF143" i="1"/>
  <c r="S143" i="1" s="1"/>
  <c r="AG143" i="1"/>
  <c r="AH143" i="1"/>
  <c r="CV143" i="1" s="1"/>
  <c r="U143" i="1" s="1"/>
  <c r="AI143" i="1"/>
  <c r="CW143" i="1" s="1"/>
  <c r="V143" i="1" s="1"/>
  <c r="AJ143" i="1"/>
  <c r="CX143" i="1" s="1"/>
  <c r="W143" i="1" s="1"/>
  <c r="CQ143" i="1"/>
  <c r="CR143" i="1"/>
  <c r="CS143" i="1"/>
  <c r="CU143" i="1"/>
  <c r="T143" i="1" s="1"/>
  <c r="GL143" i="1"/>
  <c r="GO143" i="1"/>
  <c r="GP143" i="1"/>
  <c r="GV143" i="1"/>
  <c r="HC143" i="1" s="1"/>
  <c r="GX143" i="1" s="1"/>
  <c r="I144" i="1"/>
  <c r="P144" i="1"/>
  <c r="Q144" i="1"/>
  <c r="R144" i="1"/>
  <c r="Y144" i="1"/>
  <c r="AC144" i="1"/>
  <c r="AD144" i="1"/>
  <c r="AB144" i="1" s="1"/>
  <c r="AE144" i="1"/>
  <c r="AF144" i="1"/>
  <c r="S144" i="1" s="1"/>
  <c r="AG144" i="1"/>
  <c r="AH144" i="1"/>
  <c r="CV144" i="1" s="1"/>
  <c r="U144" i="1" s="1"/>
  <c r="AI144" i="1"/>
  <c r="CW144" i="1" s="1"/>
  <c r="V144" i="1" s="1"/>
  <c r="AJ144" i="1"/>
  <c r="CX144" i="1" s="1"/>
  <c r="W144" i="1" s="1"/>
  <c r="CQ144" i="1"/>
  <c r="CR144" i="1"/>
  <c r="CS144" i="1"/>
  <c r="CU144" i="1"/>
  <c r="T144" i="1" s="1"/>
  <c r="GL144" i="1"/>
  <c r="GO144" i="1"/>
  <c r="GP144" i="1"/>
  <c r="GV144" i="1"/>
  <c r="GX144" i="1"/>
  <c r="HC144" i="1"/>
  <c r="C145" i="1"/>
  <c r="D145" i="1"/>
  <c r="I145" i="1"/>
  <c r="K145" i="1"/>
  <c r="U145" i="1"/>
  <c r="AC145" i="1"/>
  <c r="AE145" i="1"/>
  <c r="AD145" i="1" s="1"/>
  <c r="AF145" i="1"/>
  <c r="AG145" i="1"/>
  <c r="CU145" i="1" s="1"/>
  <c r="T145" i="1" s="1"/>
  <c r="AH145" i="1"/>
  <c r="AI145" i="1"/>
  <c r="CW145" i="1" s="1"/>
  <c r="V145" i="1" s="1"/>
  <c r="AJ145" i="1"/>
  <c r="CR145" i="1"/>
  <c r="CV145" i="1"/>
  <c r="CX145" i="1"/>
  <c r="W145" i="1" s="1"/>
  <c r="GL145" i="1"/>
  <c r="GO145" i="1"/>
  <c r="GP145" i="1"/>
  <c r="GV145" i="1"/>
  <c r="HC145" i="1"/>
  <c r="GX145" i="1" s="1"/>
  <c r="B147" i="1"/>
  <c r="B129" i="1" s="1"/>
  <c r="C147" i="1"/>
  <c r="C129" i="1" s="1"/>
  <c r="D147" i="1"/>
  <c r="D129" i="1" s="1"/>
  <c r="F147" i="1"/>
  <c r="F129" i="1" s="1"/>
  <c r="G147" i="1"/>
  <c r="G129" i="1" s="1"/>
  <c r="AO147" i="1"/>
  <c r="BB147" i="1"/>
  <c r="BX147" i="1"/>
  <c r="BY147" i="1"/>
  <c r="BY129" i="1" s="1"/>
  <c r="CC147" i="1"/>
  <c r="CC129" i="1" s="1"/>
  <c r="CK147" i="1"/>
  <c r="CK129" i="1" s="1"/>
  <c r="CL147" i="1"/>
  <c r="BC147" i="1" s="1"/>
  <c r="CM147" i="1"/>
  <c r="CM129" i="1" s="1"/>
  <c r="D177" i="1"/>
  <c r="E179" i="1"/>
  <c r="Z179" i="1"/>
  <c r="AA179" i="1"/>
  <c r="AM179" i="1"/>
  <c r="AN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DB179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F179" i="1"/>
  <c r="EG179" i="1"/>
  <c r="EH179" i="1"/>
  <c r="EI179" i="1"/>
  <c r="EJ179" i="1"/>
  <c r="EK179" i="1"/>
  <c r="EL179" i="1"/>
  <c r="EM179" i="1"/>
  <c r="EN179" i="1"/>
  <c r="EO179" i="1"/>
  <c r="EP179" i="1"/>
  <c r="EQ179" i="1"/>
  <c r="ER179" i="1"/>
  <c r="ES179" i="1"/>
  <c r="ET179" i="1"/>
  <c r="EU179" i="1"/>
  <c r="EV179" i="1"/>
  <c r="EW179" i="1"/>
  <c r="EX179" i="1"/>
  <c r="EY179" i="1"/>
  <c r="EZ179" i="1"/>
  <c r="FA179" i="1"/>
  <c r="FB179" i="1"/>
  <c r="FC179" i="1"/>
  <c r="FD179" i="1"/>
  <c r="FE179" i="1"/>
  <c r="FF179" i="1"/>
  <c r="FG179" i="1"/>
  <c r="FH179" i="1"/>
  <c r="FI179" i="1"/>
  <c r="FJ179" i="1"/>
  <c r="FK179" i="1"/>
  <c r="FL179" i="1"/>
  <c r="FM179" i="1"/>
  <c r="FN179" i="1"/>
  <c r="FO179" i="1"/>
  <c r="FP179" i="1"/>
  <c r="FQ179" i="1"/>
  <c r="FR179" i="1"/>
  <c r="FS179" i="1"/>
  <c r="FT179" i="1"/>
  <c r="FU179" i="1"/>
  <c r="FV179" i="1"/>
  <c r="FW179" i="1"/>
  <c r="FX179" i="1"/>
  <c r="FY179" i="1"/>
  <c r="FZ179" i="1"/>
  <c r="GA179" i="1"/>
  <c r="GB179" i="1"/>
  <c r="GC179" i="1"/>
  <c r="GD179" i="1"/>
  <c r="GE179" i="1"/>
  <c r="GF179" i="1"/>
  <c r="GG179" i="1"/>
  <c r="GH179" i="1"/>
  <c r="GI179" i="1"/>
  <c r="GJ179" i="1"/>
  <c r="GK179" i="1"/>
  <c r="GL179" i="1"/>
  <c r="GM179" i="1"/>
  <c r="GN179" i="1"/>
  <c r="GO179" i="1"/>
  <c r="GP179" i="1"/>
  <c r="GQ179" i="1"/>
  <c r="GR179" i="1"/>
  <c r="GS179" i="1"/>
  <c r="GT179" i="1"/>
  <c r="GU179" i="1"/>
  <c r="GV179" i="1"/>
  <c r="GW179" i="1"/>
  <c r="GX179" i="1"/>
  <c r="C181" i="1"/>
  <c r="D181" i="1"/>
  <c r="P181" i="1"/>
  <c r="S181" i="1"/>
  <c r="CZ181" i="1" s="1"/>
  <c r="W181" i="1"/>
  <c r="Y181" i="1"/>
  <c r="AC181" i="1"/>
  <c r="AE181" i="1"/>
  <c r="Q181" i="1" s="1"/>
  <c r="AF181" i="1"/>
  <c r="AG181" i="1"/>
  <c r="CU181" i="1" s="1"/>
  <c r="T181" i="1" s="1"/>
  <c r="AH181" i="1"/>
  <c r="AI181" i="1"/>
  <c r="CW181" i="1" s="1"/>
  <c r="V181" i="1" s="1"/>
  <c r="AJ181" i="1"/>
  <c r="CT181" i="1"/>
  <c r="CV181" i="1"/>
  <c r="U181" i="1" s="1"/>
  <c r="CX181" i="1"/>
  <c r="GL181" i="1"/>
  <c r="GO181" i="1"/>
  <c r="GP181" i="1"/>
  <c r="GV181" i="1"/>
  <c r="HC181" i="1" s="1"/>
  <c r="GX181" i="1" s="1"/>
  <c r="I182" i="1"/>
  <c r="P182" i="1"/>
  <c r="S182" i="1"/>
  <c r="CZ182" i="1" s="1"/>
  <c r="U182" i="1"/>
  <c r="AC182" i="1"/>
  <c r="AE182" i="1"/>
  <c r="AF182" i="1"/>
  <c r="AG182" i="1"/>
  <c r="AH182" i="1"/>
  <c r="AI182" i="1"/>
  <c r="AJ182" i="1"/>
  <c r="CR182" i="1"/>
  <c r="CT182" i="1"/>
  <c r="CU182" i="1"/>
  <c r="T182" i="1" s="1"/>
  <c r="CV182" i="1"/>
  <c r="CW182" i="1"/>
  <c r="V182" i="1" s="1"/>
  <c r="CX182" i="1"/>
  <c r="W182" i="1" s="1"/>
  <c r="CY182" i="1"/>
  <c r="GL182" i="1"/>
  <c r="GO182" i="1"/>
  <c r="GP182" i="1"/>
  <c r="GV182" i="1"/>
  <c r="HC182" i="1" s="1"/>
  <c r="GX182" i="1"/>
  <c r="C183" i="1"/>
  <c r="D183" i="1"/>
  <c r="I183" i="1"/>
  <c r="I184" i="1" s="1"/>
  <c r="K183" i="1"/>
  <c r="Q183" i="1"/>
  <c r="S183" i="1"/>
  <c r="CY183" i="1" s="1"/>
  <c r="Y183" i="1"/>
  <c r="AC183" i="1"/>
  <c r="AB183" i="1" s="1"/>
  <c r="AE183" i="1"/>
  <c r="AD183" i="1" s="1"/>
  <c r="AF183" i="1"/>
  <c r="AG183" i="1"/>
  <c r="AH183" i="1"/>
  <c r="AI183" i="1"/>
  <c r="CW183" i="1" s="1"/>
  <c r="V183" i="1" s="1"/>
  <c r="AJ183" i="1"/>
  <c r="CR183" i="1"/>
  <c r="CT183" i="1"/>
  <c r="CU183" i="1"/>
  <c r="T183" i="1" s="1"/>
  <c r="CV183" i="1"/>
  <c r="U183" i="1" s="1"/>
  <c r="CX183" i="1"/>
  <c r="W183" i="1" s="1"/>
  <c r="GL183" i="1"/>
  <c r="GO183" i="1"/>
  <c r="GP183" i="1"/>
  <c r="GV183" i="1"/>
  <c r="HC183" i="1" s="1"/>
  <c r="GX183" i="1" s="1"/>
  <c r="Q184" i="1"/>
  <c r="AC184" i="1"/>
  <c r="AB184" i="1" s="1"/>
  <c r="AE184" i="1"/>
  <c r="AD184" i="1" s="1"/>
  <c r="AF184" i="1"/>
  <c r="AG184" i="1"/>
  <c r="AH184" i="1"/>
  <c r="AI184" i="1"/>
  <c r="CW184" i="1" s="1"/>
  <c r="V184" i="1" s="1"/>
  <c r="AJ184" i="1"/>
  <c r="CR184" i="1"/>
  <c r="CT184" i="1"/>
  <c r="CU184" i="1"/>
  <c r="T184" i="1" s="1"/>
  <c r="CV184" i="1"/>
  <c r="U184" i="1" s="1"/>
  <c r="CX184" i="1"/>
  <c r="W184" i="1" s="1"/>
  <c r="GL184" i="1"/>
  <c r="GO184" i="1"/>
  <c r="GP184" i="1"/>
  <c r="GV184" i="1"/>
  <c r="HC184" i="1" s="1"/>
  <c r="AC185" i="1"/>
  <c r="AE185" i="1"/>
  <c r="AD185" i="1" s="1"/>
  <c r="AF185" i="1"/>
  <c r="AG185" i="1"/>
  <c r="AH185" i="1"/>
  <c r="AI185" i="1"/>
  <c r="CW185" i="1" s="1"/>
  <c r="AJ185" i="1"/>
  <c r="CR185" i="1"/>
  <c r="CT185" i="1"/>
  <c r="CU185" i="1"/>
  <c r="CV185" i="1"/>
  <c r="CX185" i="1"/>
  <c r="GL185" i="1"/>
  <c r="GO185" i="1"/>
  <c r="GP185" i="1"/>
  <c r="GV185" i="1"/>
  <c r="HC185" i="1" s="1"/>
  <c r="C186" i="1"/>
  <c r="D186" i="1"/>
  <c r="I186" i="1"/>
  <c r="K186" i="1"/>
  <c r="P186" i="1"/>
  <c r="R186" i="1"/>
  <c r="V186" i="1"/>
  <c r="AC186" i="1"/>
  <c r="AE186" i="1"/>
  <c r="AD186" i="1" s="1"/>
  <c r="AF186" i="1"/>
  <c r="AG186" i="1"/>
  <c r="AH186" i="1"/>
  <c r="CV186" i="1" s="1"/>
  <c r="U186" i="1" s="1"/>
  <c r="AI186" i="1"/>
  <c r="AJ186" i="1"/>
  <c r="CX186" i="1" s="1"/>
  <c r="W186" i="1" s="1"/>
  <c r="CQ186" i="1"/>
  <c r="CR186" i="1"/>
  <c r="CS186" i="1"/>
  <c r="CU186" i="1"/>
  <c r="T186" i="1" s="1"/>
  <c r="CW186" i="1"/>
  <c r="GL186" i="1"/>
  <c r="GO186" i="1"/>
  <c r="GP186" i="1"/>
  <c r="CD191" i="1" s="1"/>
  <c r="GV186" i="1"/>
  <c r="HC186" i="1"/>
  <c r="GX186" i="1" s="1"/>
  <c r="I187" i="1"/>
  <c r="V187" i="1" s="1"/>
  <c r="AC187" i="1"/>
  <c r="AE187" i="1"/>
  <c r="AD187" i="1" s="1"/>
  <c r="AF187" i="1"/>
  <c r="AG187" i="1"/>
  <c r="AH187" i="1"/>
  <c r="CV187" i="1" s="1"/>
  <c r="U187" i="1" s="1"/>
  <c r="AI187" i="1"/>
  <c r="AJ187" i="1"/>
  <c r="CX187" i="1" s="1"/>
  <c r="W187" i="1" s="1"/>
  <c r="CQ187" i="1"/>
  <c r="CR187" i="1"/>
  <c r="CS187" i="1"/>
  <c r="CU187" i="1"/>
  <c r="CW187" i="1"/>
  <c r="GL187" i="1"/>
  <c r="GO187" i="1"/>
  <c r="GP187" i="1"/>
  <c r="GV187" i="1"/>
  <c r="HC187" i="1"/>
  <c r="I188" i="1"/>
  <c r="V188" i="1" s="1"/>
  <c r="AC188" i="1"/>
  <c r="AE188" i="1"/>
  <c r="AD188" i="1" s="1"/>
  <c r="AB188" i="1" s="1"/>
  <c r="AF188" i="1"/>
  <c r="AG188" i="1"/>
  <c r="AH188" i="1"/>
  <c r="CV188" i="1" s="1"/>
  <c r="AI188" i="1"/>
  <c r="AJ188" i="1"/>
  <c r="CX188" i="1" s="1"/>
  <c r="W188" i="1" s="1"/>
  <c r="CQ188" i="1"/>
  <c r="CR188" i="1"/>
  <c r="CS188" i="1"/>
  <c r="CU188" i="1"/>
  <c r="CW188" i="1"/>
  <c r="GL188" i="1"/>
  <c r="GO188" i="1"/>
  <c r="GP188" i="1"/>
  <c r="GV188" i="1"/>
  <c r="HC188" i="1"/>
  <c r="I189" i="1"/>
  <c r="AC189" i="1"/>
  <c r="AE189" i="1"/>
  <c r="AD189" i="1" s="1"/>
  <c r="AB189" i="1" s="1"/>
  <c r="AF189" i="1"/>
  <c r="AG189" i="1"/>
  <c r="AH189" i="1"/>
  <c r="CV189" i="1" s="1"/>
  <c r="AI189" i="1"/>
  <c r="AJ189" i="1"/>
  <c r="CX189" i="1" s="1"/>
  <c r="W189" i="1" s="1"/>
  <c r="CQ189" i="1"/>
  <c r="CR189" i="1"/>
  <c r="CS189" i="1"/>
  <c r="CU189" i="1"/>
  <c r="CW189" i="1"/>
  <c r="GL189" i="1"/>
  <c r="GO189" i="1"/>
  <c r="GP189" i="1"/>
  <c r="GV189" i="1"/>
  <c r="HC189" i="1"/>
  <c r="B191" i="1"/>
  <c r="B179" i="1" s="1"/>
  <c r="C191" i="1"/>
  <c r="C179" i="1" s="1"/>
  <c r="D191" i="1"/>
  <c r="D179" i="1" s="1"/>
  <c r="F191" i="1"/>
  <c r="F179" i="1" s="1"/>
  <c r="G191" i="1"/>
  <c r="G179" i="1" s="1"/>
  <c r="AT191" i="1"/>
  <c r="BX191" i="1"/>
  <c r="BX179" i="1" s="1"/>
  <c r="BY191" i="1"/>
  <c r="BY179" i="1" s="1"/>
  <c r="CC191" i="1"/>
  <c r="CC179" i="1" s="1"/>
  <c r="CK191" i="1"/>
  <c r="CK179" i="1" s="1"/>
  <c r="CL191" i="1"/>
  <c r="BC191" i="1" s="1"/>
  <c r="CM191" i="1"/>
  <c r="BD191" i="1" s="1"/>
  <c r="B221" i="1"/>
  <c r="B26" i="1" s="1"/>
  <c r="C221" i="1"/>
  <c r="C26" i="1" s="1"/>
  <c r="D221" i="1"/>
  <c r="D26" i="1" s="1"/>
  <c r="F221" i="1"/>
  <c r="F26" i="1" s="1"/>
  <c r="G221" i="1"/>
  <c r="G26" i="1" s="1"/>
  <c r="D251" i="1"/>
  <c r="E253" i="1"/>
  <c r="Z253" i="1"/>
  <c r="AA253" i="1"/>
  <c r="AM253" i="1"/>
  <c r="AN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CN253" i="1"/>
  <c r="CO253" i="1"/>
  <c r="CP253" i="1"/>
  <c r="CQ253" i="1"/>
  <c r="CR253" i="1"/>
  <c r="CS253" i="1"/>
  <c r="CT253" i="1"/>
  <c r="CU253" i="1"/>
  <c r="CV253" i="1"/>
  <c r="CW253" i="1"/>
  <c r="CX253" i="1"/>
  <c r="CY253" i="1"/>
  <c r="CZ253" i="1"/>
  <c r="DA253" i="1"/>
  <c r="DB253" i="1"/>
  <c r="DC253" i="1"/>
  <c r="DD253" i="1"/>
  <c r="DE253" i="1"/>
  <c r="DF253" i="1"/>
  <c r="DG253" i="1"/>
  <c r="DH253" i="1"/>
  <c r="DI253" i="1"/>
  <c r="DJ253" i="1"/>
  <c r="DK253" i="1"/>
  <c r="DL253" i="1"/>
  <c r="DM253" i="1"/>
  <c r="DN253" i="1"/>
  <c r="DO253" i="1"/>
  <c r="DP253" i="1"/>
  <c r="DQ253" i="1"/>
  <c r="DR253" i="1"/>
  <c r="DS253" i="1"/>
  <c r="DT253" i="1"/>
  <c r="DU253" i="1"/>
  <c r="DV253" i="1"/>
  <c r="DW253" i="1"/>
  <c r="DX253" i="1"/>
  <c r="DY253" i="1"/>
  <c r="DZ253" i="1"/>
  <c r="EA253" i="1"/>
  <c r="EB253" i="1"/>
  <c r="EC253" i="1"/>
  <c r="ED253" i="1"/>
  <c r="EE253" i="1"/>
  <c r="EF253" i="1"/>
  <c r="EG253" i="1"/>
  <c r="EH253" i="1"/>
  <c r="EI253" i="1"/>
  <c r="EJ253" i="1"/>
  <c r="EK253" i="1"/>
  <c r="EL253" i="1"/>
  <c r="EM253" i="1"/>
  <c r="EN253" i="1"/>
  <c r="EO253" i="1"/>
  <c r="EP253" i="1"/>
  <c r="EQ253" i="1"/>
  <c r="ER253" i="1"/>
  <c r="ES253" i="1"/>
  <c r="ET253" i="1"/>
  <c r="EU253" i="1"/>
  <c r="EV253" i="1"/>
  <c r="EW253" i="1"/>
  <c r="EX253" i="1"/>
  <c r="EY253" i="1"/>
  <c r="EZ253" i="1"/>
  <c r="FA253" i="1"/>
  <c r="FB253" i="1"/>
  <c r="FC253" i="1"/>
  <c r="FD253" i="1"/>
  <c r="FE253" i="1"/>
  <c r="FF253" i="1"/>
  <c r="FG253" i="1"/>
  <c r="FH253" i="1"/>
  <c r="FI253" i="1"/>
  <c r="FJ253" i="1"/>
  <c r="FK253" i="1"/>
  <c r="FL253" i="1"/>
  <c r="FM253" i="1"/>
  <c r="FN253" i="1"/>
  <c r="FO253" i="1"/>
  <c r="FP253" i="1"/>
  <c r="FQ253" i="1"/>
  <c r="FR253" i="1"/>
  <c r="FS253" i="1"/>
  <c r="FT253" i="1"/>
  <c r="FU253" i="1"/>
  <c r="FV253" i="1"/>
  <c r="FW253" i="1"/>
  <c r="FX253" i="1"/>
  <c r="FY253" i="1"/>
  <c r="FZ253" i="1"/>
  <c r="GA253" i="1"/>
  <c r="GB253" i="1"/>
  <c r="GC253" i="1"/>
  <c r="GD253" i="1"/>
  <c r="GE253" i="1"/>
  <c r="GF253" i="1"/>
  <c r="GG253" i="1"/>
  <c r="GH253" i="1"/>
  <c r="GI253" i="1"/>
  <c r="GJ253" i="1"/>
  <c r="GK253" i="1"/>
  <c r="GL253" i="1"/>
  <c r="GM253" i="1"/>
  <c r="GN253" i="1"/>
  <c r="GO253" i="1"/>
  <c r="GP253" i="1"/>
  <c r="GQ253" i="1"/>
  <c r="GR253" i="1"/>
  <c r="GS253" i="1"/>
  <c r="GT253" i="1"/>
  <c r="GU253" i="1"/>
  <c r="GV253" i="1"/>
  <c r="GW253" i="1"/>
  <c r="GX253" i="1"/>
  <c r="C255" i="1"/>
  <c r="D255" i="1"/>
  <c r="S255" i="1"/>
  <c r="U255" i="1"/>
  <c r="W255" i="1"/>
  <c r="AC255" i="1"/>
  <c r="P255" i="1" s="1"/>
  <c r="AE255" i="1"/>
  <c r="CZ255" i="1" s="1"/>
  <c r="AF255" i="1"/>
  <c r="AG255" i="1"/>
  <c r="CU255" i="1" s="1"/>
  <c r="T255" i="1" s="1"/>
  <c r="AH255" i="1"/>
  <c r="AI255" i="1"/>
  <c r="CW255" i="1" s="1"/>
  <c r="V255" i="1" s="1"/>
  <c r="AJ255" i="1"/>
  <c r="CR255" i="1"/>
  <c r="CT255" i="1"/>
  <c r="CV255" i="1"/>
  <c r="CX255" i="1"/>
  <c r="GL255" i="1"/>
  <c r="GO255" i="1"/>
  <c r="GP255" i="1"/>
  <c r="GV255" i="1"/>
  <c r="HC255" i="1"/>
  <c r="GX255" i="1" s="1"/>
  <c r="C256" i="1"/>
  <c r="D256" i="1"/>
  <c r="P256" i="1"/>
  <c r="R256" i="1"/>
  <c r="V256" i="1"/>
  <c r="AC256" i="1"/>
  <c r="AD256" i="1"/>
  <c r="AE256" i="1"/>
  <c r="Q256" i="1" s="1"/>
  <c r="AF256" i="1"/>
  <c r="AG256" i="1"/>
  <c r="AH256" i="1"/>
  <c r="CV256" i="1" s="1"/>
  <c r="U256" i="1" s="1"/>
  <c r="AI256" i="1"/>
  <c r="AJ256" i="1"/>
  <c r="CX256" i="1" s="1"/>
  <c r="W256" i="1" s="1"/>
  <c r="CQ256" i="1"/>
  <c r="CR256" i="1"/>
  <c r="CS256" i="1"/>
  <c r="CU256" i="1"/>
  <c r="T256" i="1" s="1"/>
  <c r="CW256" i="1"/>
  <c r="GL256" i="1"/>
  <c r="GN256" i="1"/>
  <c r="GO256" i="1"/>
  <c r="GV256" i="1"/>
  <c r="HC256" i="1" s="1"/>
  <c r="GX256" i="1"/>
  <c r="CJ258" i="1" s="1"/>
  <c r="B258" i="1"/>
  <c r="B253" i="1" s="1"/>
  <c r="C258" i="1"/>
  <c r="C253" i="1" s="1"/>
  <c r="D258" i="1"/>
  <c r="D253" i="1" s="1"/>
  <c r="F258" i="1"/>
  <c r="F253" i="1" s="1"/>
  <c r="G258" i="1"/>
  <c r="G253" i="1" s="1"/>
  <c r="AH258" i="1"/>
  <c r="AJ258" i="1"/>
  <c r="AZ258" i="1"/>
  <c r="AZ253" i="1" s="1"/>
  <c r="BD258" i="1"/>
  <c r="BD253" i="1" s="1"/>
  <c r="BX258" i="1"/>
  <c r="BX253" i="1" s="1"/>
  <c r="BY258" i="1"/>
  <c r="BY253" i="1" s="1"/>
  <c r="BZ258" i="1"/>
  <c r="BZ253" i="1" s="1"/>
  <c r="CC258" i="1"/>
  <c r="AT258" i="1" s="1"/>
  <c r="CG258" i="1"/>
  <c r="CG253" i="1" s="1"/>
  <c r="CI258" i="1"/>
  <c r="CI253" i="1" s="1"/>
  <c r="CK258" i="1"/>
  <c r="BB258" i="1" s="1"/>
  <c r="CL258" i="1"/>
  <c r="CL253" i="1" s="1"/>
  <c r="CM258" i="1"/>
  <c r="CM253" i="1" s="1"/>
  <c r="F283" i="1"/>
  <c r="B288" i="1"/>
  <c r="B22" i="1" s="1"/>
  <c r="C288" i="1"/>
  <c r="C22" i="1" s="1"/>
  <c r="D288" i="1"/>
  <c r="D22" i="1" s="1"/>
  <c r="F288" i="1"/>
  <c r="F22" i="1" s="1"/>
  <c r="G288" i="1"/>
  <c r="G22" i="1" s="1"/>
  <c r="B318" i="1"/>
  <c r="B18" i="1" s="1"/>
  <c r="C318" i="1"/>
  <c r="C18" i="1" s="1"/>
  <c r="D318" i="1"/>
  <c r="D18" i="1" s="1"/>
  <c r="F318" i="1"/>
  <c r="F18" i="1" s="1"/>
  <c r="G318" i="1"/>
  <c r="G18" i="1" s="1"/>
  <c r="F12" i="6"/>
  <c r="G12" i="6"/>
  <c r="J295" i="7" l="1"/>
  <c r="J291" i="7"/>
  <c r="H260" i="7"/>
  <c r="J216" i="7"/>
  <c r="J260" i="7"/>
  <c r="H124" i="7"/>
  <c r="H264" i="7"/>
  <c r="H291" i="7"/>
  <c r="H295" i="7"/>
  <c r="H216" i="7"/>
  <c r="CJ253" i="1"/>
  <c r="BA258" i="1"/>
  <c r="BB253" i="1"/>
  <c r="F271" i="1"/>
  <c r="F276" i="1"/>
  <c r="AT253" i="1"/>
  <c r="AJ253" i="1"/>
  <c r="W258" i="1"/>
  <c r="AG258" i="1"/>
  <c r="GX188" i="1"/>
  <c r="AU191" i="1"/>
  <c r="CD179" i="1"/>
  <c r="GX184" i="1"/>
  <c r="P141" i="1"/>
  <c r="AB141" i="1"/>
  <c r="CQ141" i="1"/>
  <c r="CC253" i="1"/>
  <c r="AX258" i="1"/>
  <c r="AH253" i="1"/>
  <c r="U258" i="1"/>
  <c r="AB256" i="1"/>
  <c r="U189" i="1"/>
  <c r="T187" i="1"/>
  <c r="CT187" i="1"/>
  <c r="S187" i="1"/>
  <c r="CP181" i="1"/>
  <c r="O181" i="1" s="1"/>
  <c r="CS255" i="1"/>
  <c r="Q255" i="1"/>
  <c r="AD258" i="1" s="1"/>
  <c r="Y255" i="1"/>
  <c r="R255" i="1"/>
  <c r="AE258" i="1" s="1"/>
  <c r="AD255" i="1"/>
  <c r="AB255" i="1" s="1"/>
  <c r="CY255" i="1"/>
  <c r="P188" i="1"/>
  <c r="Q188" i="1"/>
  <c r="R188" i="1"/>
  <c r="AB187" i="1"/>
  <c r="BC129" i="1"/>
  <c r="F163" i="1"/>
  <c r="AC258" i="1"/>
  <c r="CP255" i="1"/>
  <c r="O255" i="1" s="1"/>
  <c r="BB191" i="1"/>
  <c r="T189" i="1"/>
  <c r="CT189" i="1"/>
  <c r="S189" i="1"/>
  <c r="GX187" i="1"/>
  <c r="CT256" i="1"/>
  <c r="S256" i="1"/>
  <c r="BB129" i="1"/>
  <c r="F160" i="1"/>
  <c r="AT179" i="1"/>
  <c r="F209" i="1"/>
  <c r="U188" i="1"/>
  <c r="CT186" i="1"/>
  <c r="S186" i="1"/>
  <c r="CQ182" i="1"/>
  <c r="GM88" i="1"/>
  <c r="GN88" i="1" s="1"/>
  <c r="BC258" i="1"/>
  <c r="AQ258" i="1"/>
  <c r="CK253" i="1"/>
  <c r="BD179" i="1"/>
  <c r="F216" i="1"/>
  <c r="GX189" i="1"/>
  <c r="P187" i="1"/>
  <c r="Q187" i="1"/>
  <c r="R187" i="1"/>
  <c r="AB186" i="1"/>
  <c r="AB185" i="1"/>
  <c r="BZ191" i="1"/>
  <c r="P189" i="1"/>
  <c r="Q189" i="1"/>
  <c r="R189" i="1"/>
  <c r="CJ72" i="1"/>
  <c r="BA97" i="1"/>
  <c r="F269" i="1"/>
  <c r="AP258" i="1"/>
  <c r="AI258" i="1"/>
  <c r="X255" i="1"/>
  <c r="F207" i="1"/>
  <c r="BC179" i="1"/>
  <c r="V189" i="1"/>
  <c r="T188" i="1"/>
  <c r="CT188" i="1"/>
  <c r="S188" i="1"/>
  <c r="R184" i="1"/>
  <c r="S184" i="1"/>
  <c r="CQ255" i="1"/>
  <c r="CX126" i="3"/>
  <c r="CW122" i="3"/>
  <c r="CU121" i="3"/>
  <c r="CX125" i="3"/>
  <c r="CX121" i="3"/>
  <c r="CX130" i="3"/>
  <c r="CX124" i="3"/>
  <c r="P184" i="1"/>
  <c r="X183" i="1"/>
  <c r="P183" i="1"/>
  <c r="CP183" i="1" s="1"/>
  <c r="O183" i="1" s="1"/>
  <c r="Y182" i="1"/>
  <c r="X181" i="1"/>
  <c r="CT145" i="1"/>
  <c r="S145" i="1"/>
  <c r="S135" i="1"/>
  <c r="Q135" i="1"/>
  <c r="CX91" i="3"/>
  <c r="CU90" i="3"/>
  <c r="I133" i="1"/>
  <c r="P132" i="1"/>
  <c r="Q132" i="1"/>
  <c r="R132" i="1"/>
  <c r="T132" i="1"/>
  <c r="CI191" i="1"/>
  <c r="X182" i="1"/>
  <c r="CY144" i="1"/>
  <c r="CZ144" i="1"/>
  <c r="CP144" i="1"/>
  <c r="O144" i="1" s="1"/>
  <c r="GM144" i="1" s="1"/>
  <c r="GN144" i="1" s="1"/>
  <c r="CY143" i="1"/>
  <c r="CZ143" i="1"/>
  <c r="CP143" i="1"/>
  <c r="O143" i="1" s="1"/>
  <c r="P142" i="1"/>
  <c r="AB142" i="1"/>
  <c r="CZ141" i="1"/>
  <c r="X141" i="1"/>
  <c r="Y141" i="1"/>
  <c r="V133" i="1"/>
  <c r="CP131" i="1"/>
  <c r="O131" i="1" s="1"/>
  <c r="AO258" i="1"/>
  <c r="CS185" i="1"/>
  <c r="I185" i="1"/>
  <c r="T185" i="1" s="1"/>
  <c r="AG191" i="1" s="1"/>
  <c r="CS184" i="1"/>
  <c r="CS183" i="1"/>
  <c r="AT147" i="1"/>
  <c r="CS145" i="1"/>
  <c r="P145" i="1"/>
  <c r="BZ147" i="1"/>
  <c r="CS133" i="1"/>
  <c r="AD133" i="1"/>
  <c r="AB133" i="1" s="1"/>
  <c r="AP191" i="1"/>
  <c r="CZ183" i="1"/>
  <c r="CX119" i="3"/>
  <c r="CU118" i="3"/>
  <c r="CX118" i="3"/>
  <c r="CY181" i="1"/>
  <c r="CZ142" i="1"/>
  <c r="X142" i="1"/>
  <c r="Y142" i="1"/>
  <c r="U142" i="1"/>
  <c r="Q142" i="1"/>
  <c r="R142" i="1"/>
  <c r="T135" i="1"/>
  <c r="CD147" i="1"/>
  <c r="GX133" i="1"/>
  <c r="CR133" i="1"/>
  <c r="V132" i="1"/>
  <c r="AI147" i="1" s="1"/>
  <c r="AO191" i="1"/>
  <c r="Q186" i="1"/>
  <c r="CP186" i="1" s="1"/>
  <c r="O186" i="1" s="1"/>
  <c r="CQ185" i="1"/>
  <c r="CQ184" i="1"/>
  <c r="CQ183" i="1"/>
  <c r="CM179" i="1"/>
  <c r="AO129" i="1"/>
  <c r="F151" i="1"/>
  <c r="CS132" i="1"/>
  <c r="AD132" i="1"/>
  <c r="AB132" i="1" s="1"/>
  <c r="R182" i="1"/>
  <c r="CS182" i="1"/>
  <c r="R181" i="1"/>
  <c r="AD181" i="1"/>
  <c r="CS181" i="1"/>
  <c r="CL179" i="1"/>
  <c r="W133" i="1"/>
  <c r="AJ147" i="1" s="1"/>
  <c r="GX132" i="1"/>
  <c r="CR132" i="1"/>
  <c r="R183" i="1"/>
  <c r="AD182" i="1"/>
  <c r="AB182" i="1" s="1"/>
  <c r="Q182" i="1"/>
  <c r="CP182" i="1" s="1"/>
  <c r="O182" i="1" s="1"/>
  <c r="GM182" i="1" s="1"/>
  <c r="GN182" i="1" s="1"/>
  <c r="CR181" i="1"/>
  <c r="AB181" i="1"/>
  <c r="CQ181" i="1"/>
  <c r="BX129" i="1"/>
  <c r="CG147" i="1"/>
  <c r="CU114" i="3"/>
  <c r="CV114" i="3"/>
  <c r="Q145" i="1"/>
  <c r="R145" i="1"/>
  <c r="X144" i="1"/>
  <c r="X143" i="1"/>
  <c r="Y83" i="1"/>
  <c r="CY83" i="1"/>
  <c r="CZ83" i="1"/>
  <c r="X83" i="1"/>
  <c r="GM83" i="1" s="1"/>
  <c r="GN83" i="1" s="1"/>
  <c r="CI147" i="1"/>
  <c r="CQ145" i="1"/>
  <c r="CT144" i="1"/>
  <c r="CT143" i="1"/>
  <c r="R141" i="1"/>
  <c r="CW104" i="3"/>
  <c r="CX107" i="3"/>
  <c r="CU103" i="3"/>
  <c r="CX104" i="3"/>
  <c r="CX106" i="3"/>
  <c r="CX105" i="3"/>
  <c r="X137" i="1"/>
  <c r="P137" i="1"/>
  <c r="CP137" i="1" s="1"/>
  <c r="O137" i="1" s="1"/>
  <c r="GM137" i="1" s="1"/>
  <c r="GN137" i="1" s="1"/>
  <c r="X136" i="1"/>
  <c r="P136" i="1"/>
  <c r="CP136" i="1" s="1"/>
  <c r="O136" i="1" s="1"/>
  <c r="GM136" i="1" s="1"/>
  <c r="GN136" i="1" s="1"/>
  <c r="P135" i="1"/>
  <c r="CP135" i="1" s="1"/>
  <c r="O135" i="1" s="1"/>
  <c r="X134" i="1"/>
  <c r="P134" i="1"/>
  <c r="CP134" i="1" s="1"/>
  <c r="O134" i="1" s="1"/>
  <c r="S133" i="1"/>
  <c r="S132" i="1"/>
  <c r="CS131" i="1"/>
  <c r="CG72" i="1"/>
  <c r="AX97" i="1"/>
  <c r="AB95" i="1"/>
  <c r="AB94" i="1"/>
  <c r="CY86" i="1"/>
  <c r="CZ86" i="1"/>
  <c r="X86" i="1"/>
  <c r="GM86" i="1" s="1"/>
  <c r="GN86" i="1" s="1"/>
  <c r="Y86" i="1"/>
  <c r="Q141" i="1"/>
  <c r="GX140" i="1"/>
  <c r="GX139" i="1"/>
  <c r="AP147" i="1"/>
  <c r="AB145" i="1"/>
  <c r="CX113" i="3"/>
  <c r="CW112" i="3"/>
  <c r="CX112" i="3"/>
  <c r="CU111" i="3"/>
  <c r="S140" i="1"/>
  <c r="S139" i="1"/>
  <c r="S138" i="1"/>
  <c r="CP138" i="1" s="1"/>
  <c r="O138" i="1" s="1"/>
  <c r="CS137" i="1"/>
  <c r="CS136" i="1"/>
  <c r="CS135" i="1"/>
  <c r="CS134" i="1"/>
  <c r="CY131" i="1"/>
  <c r="CQ131" i="1"/>
  <c r="AD131" i="1"/>
  <c r="AB131" i="1" s="1"/>
  <c r="R140" i="1"/>
  <c r="R139" i="1"/>
  <c r="CX98" i="3"/>
  <c r="CW94" i="3"/>
  <c r="CU93" i="3"/>
  <c r="CX97" i="3"/>
  <c r="CX102" i="3"/>
  <c r="CX96" i="3"/>
  <c r="R95" i="1"/>
  <c r="S95" i="1"/>
  <c r="U95" i="1"/>
  <c r="Q95" i="1"/>
  <c r="CY87" i="1"/>
  <c r="CZ87" i="1"/>
  <c r="X87" i="1"/>
  <c r="Y87" i="1"/>
  <c r="GM81" i="1"/>
  <c r="GN81" i="1" s="1"/>
  <c r="BD147" i="1"/>
  <c r="Q140" i="1"/>
  <c r="CP140" i="1" s="1"/>
  <c r="O140" i="1" s="1"/>
  <c r="Q139" i="1"/>
  <c r="CP139" i="1" s="1"/>
  <c r="O139" i="1" s="1"/>
  <c r="R131" i="1"/>
  <c r="CL72" i="1"/>
  <c r="BC97" i="1"/>
  <c r="CX110" i="3"/>
  <c r="CX109" i="3"/>
  <c r="CU108" i="3"/>
  <c r="CV108" i="3"/>
  <c r="BB97" i="1"/>
  <c r="CK72" i="1"/>
  <c r="CP90" i="1"/>
  <c r="O90" i="1" s="1"/>
  <c r="AO97" i="1"/>
  <c r="Q94" i="1"/>
  <c r="R87" i="1"/>
  <c r="CU56" i="3"/>
  <c r="CX58" i="3"/>
  <c r="CW57" i="3"/>
  <c r="CP80" i="1"/>
  <c r="O80" i="1" s="1"/>
  <c r="CT79" i="1"/>
  <c r="S79" i="1"/>
  <c r="U79" i="1"/>
  <c r="Q79" i="1"/>
  <c r="BD97" i="1"/>
  <c r="P95" i="1"/>
  <c r="P94" i="1"/>
  <c r="S93" i="1"/>
  <c r="CP93" i="1" s="1"/>
  <c r="O93" i="1" s="1"/>
  <c r="S92" i="1"/>
  <c r="S91" i="1"/>
  <c r="S90" i="1"/>
  <c r="S89" i="1"/>
  <c r="Q87" i="1"/>
  <c r="CQ85" i="1"/>
  <c r="AD85" i="1"/>
  <c r="AB85" i="1" s="1"/>
  <c r="CQ84" i="1"/>
  <c r="AD84" i="1"/>
  <c r="AB84" i="1" s="1"/>
  <c r="T82" i="1"/>
  <c r="Y81" i="1"/>
  <c r="W80" i="1"/>
  <c r="CT78" i="1"/>
  <c r="S78" i="1"/>
  <c r="U78" i="1"/>
  <c r="AH97" i="1" s="1"/>
  <c r="Q78" i="1"/>
  <c r="CC72" i="1"/>
  <c r="CV3" i="3"/>
  <c r="CX3" i="3"/>
  <c r="CU3" i="3"/>
  <c r="Q33" i="1"/>
  <c r="R33" i="1"/>
  <c r="S33" i="1"/>
  <c r="CX101" i="3"/>
  <c r="AU97" i="1"/>
  <c r="R93" i="1"/>
  <c r="R92" i="1"/>
  <c r="R91" i="1"/>
  <c r="R90" i="1"/>
  <c r="CZ88" i="1"/>
  <c r="CX70" i="3"/>
  <c r="CU67" i="3"/>
  <c r="CW68" i="3"/>
  <c r="CX68" i="3"/>
  <c r="CW70" i="3"/>
  <c r="P87" i="1"/>
  <c r="CP87" i="1" s="1"/>
  <c r="O87" i="1" s="1"/>
  <c r="GM87" i="1" s="1"/>
  <c r="GN87" i="1" s="1"/>
  <c r="S84" i="1"/>
  <c r="CP84" i="1" s="1"/>
  <c r="O84" i="1" s="1"/>
  <c r="S82" i="1"/>
  <c r="CU27" i="3"/>
  <c r="CX28" i="3"/>
  <c r="Q74" i="1"/>
  <c r="R74" i="1"/>
  <c r="S74" i="1"/>
  <c r="P37" i="1"/>
  <c r="Q37" i="1"/>
  <c r="R37" i="1"/>
  <c r="S37" i="1"/>
  <c r="V35" i="1"/>
  <c r="CS95" i="1"/>
  <c r="CS94" i="1"/>
  <c r="CY88" i="1"/>
  <c r="CQ88" i="1"/>
  <c r="CT87" i="1"/>
  <c r="CT86" i="1"/>
  <c r="P82" i="1"/>
  <c r="CP82" i="1" s="1"/>
  <c r="O82" i="1" s="1"/>
  <c r="R82" i="1"/>
  <c r="CP79" i="1"/>
  <c r="O79" i="1" s="1"/>
  <c r="S35" i="1"/>
  <c r="P35" i="1"/>
  <c r="Q35" i="1"/>
  <c r="CU82" i="3"/>
  <c r="CX82" i="3"/>
  <c r="CX86" i="3"/>
  <c r="CW83" i="3"/>
  <c r="CX87" i="3"/>
  <c r="CX84" i="3"/>
  <c r="W74" i="1"/>
  <c r="AJ97" i="1" s="1"/>
  <c r="U38" i="1"/>
  <c r="W33" i="1"/>
  <c r="AB32" i="1"/>
  <c r="CI97" i="1"/>
  <c r="CQ95" i="1"/>
  <c r="CQ94" i="1"/>
  <c r="AB88" i="1"/>
  <c r="R88" i="1"/>
  <c r="CX63" i="3"/>
  <c r="CU61" i="3"/>
  <c r="CX66" i="3"/>
  <c r="CV61" i="3"/>
  <c r="CX61" i="3"/>
  <c r="CW63" i="3"/>
  <c r="CT80" i="1"/>
  <c r="S80" i="1"/>
  <c r="V79" i="1"/>
  <c r="V74" i="1"/>
  <c r="GX35" i="1"/>
  <c r="V33" i="1"/>
  <c r="CS33" i="1"/>
  <c r="AD33" i="1"/>
  <c r="S94" i="1"/>
  <c r="Y88" i="1"/>
  <c r="Q80" i="1"/>
  <c r="T79" i="1"/>
  <c r="AG97" i="1" s="1"/>
  <c r="CS74" i="1"/>
  <c r="AD74" i="1"/>
  <c r="BA30" i="1"/>
  <c r="F60" i="1"/>
  <c r="AS30" i="1"/>
  <c r="F57" i="1"/>
  <c r="GX33" i="1"/>
  <c r="T33" i="1"/>
  <c r="P33" i="1"/>
  <c r="AP97" i="1"/>
  <c r="R94" i="1"/>
  <c r="CX74" i="3"/>
  <c r="CU72" i="3"/>
  <c r="CV72" i="3"/>
  <c r="CX72" i="3"/>
  <c r="CW74" i="3"/>
  <c r="CX76" i="3"/>
  <c r="CX80" i="3"/>
  <c r="I85" i="1"/>
  <c r="T85" i="1" s="1"/>
  <c r="CY81" i="1"/>
  <c r="CR80" i="1"/>
  <c r="R79" i="1"/>
  <c r="P74" i="1"/>
  <c r="U37" i="1"/>
  <c r="CR33" i="1"/>
  <c r="CV118" i="3"/>
  <c r="S77" i="1"/>
  <c r="CS76" i="1"/>
  <c r="CQ74" i="1"/>
  <c r="F53" i="1"/>
  <c r="F45" i="1"/>
  <c r="CS38" i="1"/>
  <c r="I38" i="1"/>
  <c r="CS37" i="1"/>
  <c r="CS36" i="1"/>
  <c r="Q34" i="1"/>
  <c r="CP34" i="1" s="1"/>
  <c r="O34" i="1" s="1"/>
  <c r="CQ33" i="1"/>
  <c r="AY30" i="1"/>
  <c r="AQ30" i="1"/>
  <c r="CV111" i="3"/>
  <c r="CV90" i="3"/>
  <c r="CX88" i="3"/>
  <c r="CU12" i="3"/>
  <c r="CX16" i="3"/>
  <c r="CX21" i="3"/>
  <c r="CW15" i="3"/>
  <c r="CX18" i="3"/>
  <c r="CX26" i="3"/>
  <c r="CX15" i="3"/>
  <c r="CW13" i="3"/>
  <c r="CX22" i="3"/>
  <c r="CS32" i="1"/>
  <c r="AX30" i="1"/>
  <c r="DH133" i="3"/>
  <c r="DI133" i="3"/>
  <c r="DF132" i="3"/>
  <c r="DG132" i="3"/>
  <c r="DJ132" i="3" s="1"/>
  <c r="DI132" i="3"/>
  <c r="CV121" i="3"/>
  <c r="CX120" i="3"/>
  <c r="CX114" i="3"/>
  <c r="CV103" i="3"/>
  <c r="CX81" i="3"/>
  <c r="CW48" i="3"/>
  <c r="AB74" i="1"/>
  <c r="F59" i="1"/>
  <c r="AB33" i="1"/>
  <c r="CX1" i="3"/>
  <c r="CX2" i="3"/>
  <c r="CU1" i="3"/>
  <c r="CV1" i="3"/>
  <c r="CX122" i="3"/>
  <c r="DH116" i="3"/>
  <c r="DI116" i="3"/>
  <c r="DJ116" i="3" s="1"/>
  <c r="DF116" i="3"/>
  <c r="CW115" i="3"/>
  <c r="CX115" i="3"/>
  <c r="CV93" i="3"/>
  <c r="CX92" i="3"/>
  <c r="CX49" i="3"/>
  <c r="CU47" i="3"/>
  <c r="CX47" i="3"/>
  <c r="CW49" i="3"/>
  <c r="CW51" i="3"/>
  <c r="CX51" i="3"/>
  <c r="CX54" i="3"/>
  <c r="CV47" i="3"/>
  <c r="S76" i="1"/>
  <c r="F58" i="1"/>
  <c r="S36" i="1"/>
  <c r="CS35" i="1"/>
  <c r="CS34" i="1"/>
  <c r="CQ32" i="1"/>
  <c r="DF133" i="3"/>
  <c r="DH132" i="3"/>
  <c r="CW124" i="3"/>
  <c r="CW123" i="3"/>
  <c r="CX123" i="3"/>
  <c r="DG116" i="3"/>
  <c r="CX94" i="3"/>
  <c r="CX32" i="3"/>
  <c r="R76" i="1"/>
  <c r="CX30" i="3"/>
  <c r="CU29" i="3"/>
  <c r="R36" i="1"/>
  <c r="CX5" i="3"/>
  <c r="CX9" i="3"/>
  <c r="CX6" i="3"/>
  <c r="CU5" i="3"/>
  <c r="CX11" i="3"/>
  <c r="CV5" i="3"/>
  <c r="CX7" i="3"/>
  <c r="S32" i="1"/>
  <c r="CW96" i="3"/>
  <c r="CW95" i="3"/>
  <c r="CX95" i="3"/>
  <c r="CX64" i="3"/>
  <c r="CV33" i="3"/>
  <c r="CX19" i="3"/>
  <c r="Q76" i="1"/>
  <c r="Q36" i="1"/>
  <c r="R32" i="1"/>
  <c r="CX128" i="3"/>
  <c r="CX127" i="3"/>
  <c r="CX85" i="3"/>
  <c r="CW85" i="3"/>
  <c r="CX56" i="3"/>
  <c r="CX20" i="3"/>
  <c r="CX36" i="3"/>
  <c r="CW34" i="3"/>
  <c r="CU33" i="3"/>
  <c r="CX34" i="3"/>
  <c r="CX38" i="3"/>
  <c r="CW36" i="3"/>
  <c r="CW38" i="3"/>
  <c r="CX40" i="3"/>
  <c r="CX44" i="3"/>
  <c r="P76" i="1"/>
  <c r="CP76" i="1" s="1"/>
  <c r="O76" i="1" s="1"/>
  <c r="S75" i="1"/>
  <c r="P36" i="1"/>
  <c r="S34" i="1"/>
  <c r="Q32" i="1"/>
  <c r="CP32" i="1" s="1"/>
  <c r="O32" i="1" s="1"/>
  <c r="CX129" i="3"/>
  <c r="CX108" i="3"/>
  <c r="CX100" i="3"/>
  <c r="CX99" i="3"/>
  <c r="CX79" i="3"/>
  <c r="CX71" i="3"/>
  <c r="CW62" i="3"/>
  <c r="CX57" i="3"/>
  <c r="CW35" i="3"/>
  <c r="CX93" i="3"/>
  <c r="CX89" i="3"/>
  <c r="CW84" i="3"/>
  <c r="CX78" i="3"/>
  <c r="CX77" i="3"/>
  <c r="CW69" i="3"/>
  <c r="CV56" i="3"/>
  <c r="CX55" i="3"/>
  <c r="CX46" i="3"/>
  <c r="CX45" i="3"/>
  <c r="CX43" i="3"/>
  <c r="CX42" i="3"/>
  <c r="CX41" i="3"/>
  <c r="CW39" i="3"/>
  <c r="CW37" i="3"/>
  <c r="CX23" i="3"/>
  <c r="CX10" i="3"/>
  <c r="DG117" i="3"/>
  <c r="CX103" i="3"/>
  <c r="CX90" i="3"/>
  <c r="CX24" i="3"/>
  <c r="CV12" i="3"/>
  <c r="CX12" i="3"/>
  <c r="CX83" i="3"/>
  <c r="CW75" i="3"/>
  <c r="CX75" i="3"/>
  <c r="CX53" i="3"/>
  <c r="CX52" i="3"/>
  <c r="CX25" i="3"/>
  <c r="CW14" i="3"/>
  <c r="CW73" i="3"/>
  <c r="CX60" i="3"/>
  <c r="CX59" i="3"/>
  <c r="CV27" i="3"/>
  <c r="CX27" i="3"/>
  <c r="CX13" i="3"/>
  <c r="CX4" i="3"/>
  <c r="CX111" i="3"/>
  <c r="CW86" i="3"/>
  <c r="CV82" i="3"/>
  <c r="CV67" i="3"/>
  <c r="CX67" i="3"/>
  <c r="CV29" i="3"/>
  <c r="CX65" i="3"/>
  <c r="CW58" i="3"/>
  <c r="CW50" i="3"/>
  <c r="CX50" i="3"/>
  <c r="CV31" i="3"/>
  <c r="CX31" i="3"/>
  <c r="CX17" i="3"/>
  <c r="CX8" i="3"/>
  <c r="CX73" i="3"/>
  <c r="CX69" i="3"/>
  <c r="CX62" i="3"/>
  <c r="CX48" i="3"/>
  <c r="CX39" i="3"/>
  <c r="CX35" i="3"/>
  <c r="CX37" i="3"/>
  <c r="CX33" i="3"/>
  <c r="CX29" i="3"/>
  <c r="CX14" i="3"/>
  <c r="AG72" i="1" l="1"/>
  <c r="T97" i="1"/>
  <c r="T191" i="1"/>
  <c r="AG179" i="1"/>
  <c r="GM32" i="1"/>
  <c r="GN32" i="1" s="1"/>
  <c r="AJ129" i="1"/>
  <c r="W147" i="1"/>
  <c r="CY75" i="1"/>
  <c r="CZ75" i="1"/>
  <c r="X75" i="1"/>
  <c r="Y75" i="1"/>
  <c r="DI8" i="3"/>
  <c r="DF8" i="3"/>
  <c r="DJ8" i="3" s="1"/>
  <c r="DG8" i="3"/>
  <c r="DH8" i="3"/>
  <c r="DF99" i="3"/>
  <c r="DJ99" i="3" s="1"/>
  <c r="DG99" i="3"/>
  <c r="DH99" i="3"/>
  <c r="DI99" i="3"/>
  <c r="X36" i="1"/>
  <c r="Y36" i="1"/>
  <c r="CY36" i="1"/>
  <c r="CZ36" i="1"/>
  <c r="DF88" i="3"/>
  <c r="DJ88" i="3" s="1"/>
  <c r="DG88" i="3"/>
  <c r="DH88" i="3"/>
  <c r="DI88" i="3"/>
  <c r="DF80" i="3"/>
  <c r="DJ80" i="3" s="1"/>
  <c r="DG80" i="3"/>
  <c r="DI80" i="3"/>
  <c r="DH80" i="3"/>
  <c r="AP72" i="1"/>
  <c r="F106" i="1"/>
  <c r="AP221" i="1"/>
  <c r="X80" i="1"/>
  <c r="GM80" i="1" s="1"/>
  <c r="GN80" i="1" s="1"/>
  <c r="Y80" i="1"/>
  <c r="CY80" i="1"/>
  <c r="CZ80" i="1"/>
  <c r="AJ72" i="1"/>
  <c r="W97" i="1"/>
  <c r="CP37" i="1"/>
  <c r="O37" i="1" s="1"/>
  <c r="CZ78" i="1"/>
  <c r="X78" i="1"/>
  <c r="Y78" i="1"/>
  <c r="CY78" i="1"/>
  <c r="CP95" i="1"/>
  <c r="O95" i="1" s="1"/>
  <c r="GX85" i="1"/>
  <c r="DF113" i="3"/>
  <c r="DJ113" i="3" s="1"/>
  <c r="DG113" i="3"/>
  <c r="DH113" i="3"/>
  <c r="DI113" i="3"/>
  <c r="AX72" i="1"/>
  <c r="F104" i="1"/>
  <c r="DG107" i="3"/>
  <c r="DH107" i="3"/>
  <c r="DI107" i="3"/>
  <c r="DF107" i="3"/>
  <c r="DJ107" i="3" s="1"/>
  <c r="CP132" i="1"/>
  <c r="O132" i="1" s="1"/>
  <c r="DF121" i="3"/>
  <c r="DG121" i="3"/>
  <c r="DH121" i="3"/>
  <c r="DI121" i="3"/>
  <c r="DJ121" i="3" s="1"/>
  <c r="CP189" i="1"/>
  <c r="O189" i="1" s="1"/>
  <c r="CP187" i="1"/>
  <c r="O187" i="1" s="1"/>
  <c r="X189" i="1"/>
  <c r="Y189" i="1"/>
  <c r="CY189" i="1"/>
  <c r="CZ189" i="1"/>
  <c r="AE253" i="1"/>
  <c r="R258" i="1"/>
  <c r="V185" i="1"/>
  <c r="AI191" i="1" s="1"/>
  <c r="DG29" i="3"/>
  <c r="DH29" i="3"/>
  <c r="DF29" i="3"/>
  <c r="DI29" i="3"/>
  <c r="DJ29" i="3" s="1"/>
  <c r="DH78" i="3"/>
  <c r="DI78" i="3"/>
  <c r="DF78" i="3"/>
  <c r="DJ78" i="3" s="1"/>
  <c r="DG78" i="3"/>
  <c r="AH72" i="1"/>
  <c r="U97" i="1"/>
  <c r="DG67" i="3"/>
  <c r="DH67" i="3"/>
  <c r="DI67" i="3"/>
  <c r="DJ67" i="3" s="1"/>
  <c r="DF67" i="3"/>
  <c r="DG75" i="3"/>
  <c r="DJ75" i="3" s="1"/>
  <c r="DH75" i="3"/>
  <c r="DF75" i="3"/>
  <c r="DI75" i="3"/>
  <c r="DF45" i="3"/>
  <c r="DJ45" i="3" s="1"/>
  <c r="DH45" i="3"/>
  <c r="DI45" i="3"/>
  <c r="DG45" i="3"/>
  <c r="DF89" i="3"/>
  <c r="DG89" i="3"/>
  <c r="DH89" i="3"/>
  <c r="DI89" i="3"/>
  <c r="DJ89" i="3" s="1"/>
  <c r="DF100" i="3"/>
  <c r="DJ100" i="3" s="1"/>
  <c r="DG100" i="3"/>
  <c r="DH100" i="3"/>
  <c r="DI100" i="3"/>
  <c r="DF44" i="3"/>
  <c r="DJ44" i="3" s="1"/>
  <c r="DG44" i="3"/>
  <c r="DI44" i="3"/>
  <c r="DH44" i="3"/>
  <c r="DF36" i="3"/>
  <c r="DH36" i="3"/>
  <c r="DI36" i="3"/>
  <c r="DG36" i="3"/>
  <c r="DJ36" i="3" s="1"/>
  <c r="Y32" i="1"/>
  <c r="CY32" i="1"/>
  <c r="CZ32" i="1"/>
  <c r="X32" i="1"/>
  <c r="DI15" i="3"/>
  <c r="DF15" i="3"/>
  <c r="DG15" i="3"/>
  <c r="DJ15" i="3" s="1"/>
  <c r="DH15" i="3"/>
  <c r="P38" i="1"/>
  <c r="Q38" i="1"/>
  <c r="R38" i="1"/>
  <c r="S38" i="1"/>
  <c r="DF76" i="3"/>
  <c r="DJ76" i="3" s="1"/>
  <c r="DG76" i="3"/>
  <c r="DH76" i="3"/>
  <c r="DI76" i="3"/>
  <c r="CP78" i="1"/>
  <c r="O78" i="1" s="1"/>
  <c r="GM78" i="1" s="1"/>
  <c r="GN78" i="1" s="1"/>
  <c r="CP35" i="1"/>
  <c r="O35" i="1" s="1"/>
  <c r="X74" i="1"/>
  <c r="Y74" i="1"/>
  <c r="CY74" i="1"/>
  <c r="AF97" i="1"/>
  <c r="CZ74" i="1"/>
  <c r="DG3" i="3"/>
  <c r="DH3" i="3"/>
  <c r="DI3" i="3"/>
  <c r="DJ3" i="3" s="1"/>
  <c r="DF3" i="3"/>
  <c r="BD72" i="1"/>
  <c r="F122" i="1"/>
  <c r="BD221" i="1"/>
  <c r="DF58" i="3"/>
  <c r="DG58" i="3"/>
  <c r="DJ58" i="3" s="1"/>
  <c r="DI58" i="3"/>
  <c r="DH58" i="3"/>
  <c r="BB72" i="1"/>
  <c r="F110" i="1"/>
  <c r="BB221" i="1"/>
  <c r="BC72" i="1"/>
  <c r="BC221" i="1"/>
  <c r="F113" i="1"/>
  <c r="DI96" i="3"/>
  <c r="DF96" i="3"/>
  <c r="DG96" i="3"/>
  <c r="DJ96" i="3" s="1"/>
  <c r="DH96" i="3"/>
  <c r="BZ129" i="1"/>
  <c r="AQ147" i="1"/>
  <c r="P133" i="1"/>
  <c r="Q133" i="1"/>
  <c r="AD147" i="1" s="1"/>
  <c r="R133" i="1"/>
  <c r="T133" i="1"/>
  <c r="AG147" i="1" s="1"/>
  <c r="DF125" i="3"/>
  <c r="DJ125" i="3" s="1"/>
  <c r="DG125" i="3"/>
  <c r="DH125" i="3"/>
  <c r="DI125" i="3"/>
  <c r="GX185" i="1"/>
  <c r="CJ191" i="1" s="1"/>
  <c r="AI253" i="1"/>
  <c r="V258" i="1"/>
  <c r="W185" i="1"/>
  <c r="AJ191" i="1" s="1"/>
  <c r="AX253" i="1"/>
  <c r="F265" i="1"/>
  <c r="DF73" i="3"/>
  <c r="DG73" i="3"/>
  <c r="DJ73" i="3" s="1"/>
  <c r="DH73" i="3"/>
  <c r="DI73" i="3"/>
  <c r="DG42" i="3"/>
  <c r="DH42" i="3"/>
  <c r="DI42" i="3"/>
  <c r="DF42" i="3"/>
  <c r="DJ42" i="3" s="1"/>
  <c r="CY94" i="1"/>
  <c r="CZ94" i="1"/>
  <c r="X94" i="1"/>
  <c r="Y94" i="1"/>
  <c r="CP94" i="1"/>
  <c r="O94" i="1" s="1"/>
  <c r="CY95" i="1"/>
  <c r="CZ95" i="1"/>
  <c r="X95" i="1"/>
  <c r="Y95" i="1"/>
  <c r="AU147" i="1"/>
  <c r="CD129" i="1"/>
  <c r="DF130" i="3"/>
  <c r="DJ130" i="3" s="1"/>
  <c r="DG130" i="3"/>
  <c r="DI130" i="3"/>
  <c r="DH130" i="3"/>
  <c r="GM181" i="1"/>
  <c r="DG33" i="3"/>
  <c r="DH33" i="3"/>
  <c r="DF33" i="3"/>
  <c r="DI33" i="3"/>
  <c r="DJ33" i="3" s="1"/>
  <c r="DG43" i="3"/>
  <c r="DH43" i="3"/>
  <c r="DF43" i="3"/>
  <c r="DJ43" i="3" s="1"/>
  <c r="DI43" i="3"/>
  <c r="DH5" i="3"/>
  <c r="DI5" i="3"/>
  <c r="DJ5" i="3" s="1"/>
  <c r="DF5" i="3"/>
  <c r="DG5" i="3"/>
  <c r="DF35" i="3"/>
  <c r="DG35" i="3"/>
  <c r="DJ35" i="3" s="1"/>
  <c r="DH35" i="3"/>
  <c r="DI35" i="3"/>
  <c r="DG10" i="3"/>
  <c r="DH10" i="3"/>
  <c r="DF10" i="3"/>
  <c r="DJ10" i="3" s="1"/>
  <c r="DI10" i="3"/>
  <c r="DF93" i="3"/>
  <c r="DG93" i="3"/>
  <c r="DH93" i="3"/>
  <c r="DI93" i="3"/>
  <c r="DJ93" i="3" s="1"/>
  <c r="DH108" i="3"/>
  <c r="DI108" i="3"/>
  <c r="DJ108" i="3" s="1"/>
  <c r="DF108" i="3"/>
  <c r="DG108" i="3"/>
  <c r="DF40" i="3"/>
  <c r="DJ40" i="3" s="1"/>
  <c r="DG40" i="3"/>
  <c r="DI40" i="3"/>
  <c r="DH40" i="3"/>
  <c r="DH20" i="3"/>
  <c r="DI20" i="3"/>
  <c r="DF20" i="3"/>
  <c r="DJ20" i="3" s="1"/>
  <c r="DG20" i="3"/>
  <c r="DF7" i="3"/>
  <c r="DJ7" i="3" s="1"/>
  <c r="DG7" i="3"/>
  <c r="DI7" i="3"/>
  <c r="DH7" i="3"/>
  <c r="X76" i="1"/>
  <c r="GM76" i="1" s="1"/>
  <c r="GN76" i="1" s="1"/>
  <c r="Y76" i="1"/>
  <c r="CY76" i="1"/>
  <c r="CZ76" i="1"/>
  <c r="DF49" i="3"/>
  <c r="DH49" i="3"/>
  <c r="DI49" i="3"/>
  <c r="DG49" i="3"/>
  <c r="DJ49" i="3" s="1"/>
  <c r="DF122" i="3"/>
  <c r="DG122" i="3"/>
  <c r="DJ122" i="3" s="1"/>
  <c r="DH122" i="3"/>
  <c r="DI122" i="3"/>
  <c r="DF26" i="3"/>
  <c r="DJ26" i="3" s="1"/>
  <c r="DG26" i="3"/>
  <c r="DH26" i="3"/>
  <c r="DI26" i="3"/>
  <c r="CP33" i="1"/>
  <c r="O33" i="1" s="1"/>
  <c r="DF84" i="3"/>
  <c r="DG84" i="3"/>
  <c r="DJ84" i="3" s="1"/>
  <c r="DH84" i="3"/>
  <c r="DI84" i="3"/>
  <c r="CY35" i="1"/>
  <c r="CZ35" i="1"/>
  <c r="X35" i="1"/>
  <c r="Y35" i="1"/>
  <c r="AE97" i="1"/>
  <c r="DI68" i="3"/>
  <c r="DF68" i="3"/>
  <c r="DG68" i="3"/>
  <c r="DJ68" i="3" s="1"/>
  <c r="DH68" i="3"/>
  <c r="CZ89" i="1"/>
  <c r="X89" i="1"/>
  <c r="Y89" i="1"/>
  <c r="CY89" i="1"/>
  <c r="GX38" i="1"/>
  <c r="DF102" i="3"/>
  <c r="DJ102" i="3" s="1"/>
  <c r="DG102" i="3"/>
  <c r="DH102" i="3"/>
  <c r="DI102" i="3"/>
  <c r="P85" i="1"/>
  <c r="X138" i="1"/>
  <c r="GM138" i="1" s="1"/>
  <c r="GN138" i="1" s="1"/>
  <c r="Y138" i="1"/>
  <c r="CY138" i="1"/>
  <c r="CZ138" i="1"/>
  <c r="F156" i="1"/>
  <c r="AP129" i="1"/>
  <c r="DF118" i="3"/>
  <c r="DG118" i="3"/>
  <c r="DH118" i="3"/>
  <c r="DI118" i="3"/>
  <c r="DJ118" i="3" s="1"/>
  <c r="CP145" i="1"/>
  <c r="O145" i="1" s="1"/>
  <c r="AO253" i="1"/>
  <c r="F262" i="1"/>
  <c r="GM183" i="1"/>
  <c r="GN183" i="1" s="1"/>
  <c r="X188" i="1"/>
  <c r="Y188" i="1"/>
  <c r="CY188" i="1"/>
  <c r="CZ188" i="1"/>
  <c r="AP253" i="1"/>
  <c r="F267" i="1"/>
  <c r="Q258" i="1"/>
  <c r="AD253" i="1"/>
  <c r="X187" i="1"/>
  <c r="Y187" i="1"/>
  <c r="CY187" i="1"/>
  <c r="CZ187" i="1"/>
  <c r="AU179" i="1"/>
  <c r="F210" i="1"/>
  <c r="DF65" i="3"/>
  <c r="DJ65" i="3" s="1"/>
  <c r="DG65" i="3"/>
  <c r="DH65" i="3"/>
  <c r="DI65" i="3"/>
  <c r="W85" i="1"/>
  <c r="DF59" i="3"/>
  <c r="DJ59" i="3" s="1"/>
  <c r="DH59" i="3"/>
  <c r="DI59" i="3"/>
  <c r="DG59" i="3"/>
  <c r="DF39" i="3"/>
  <c r="DG39" i="3"/>
  <c r="DJ39" i="3" s="1"/>
  <c r="DH39" i="3"/>
  <c r="DI39" i="3"/>
  <c r="DH83" i="3"/>
  <c r="DI83" i="3"/>
  <c r="DF83" i="3"/>
  <c r="DG83" i="3"/>
  <c r="DJ83" i="3" s="1"/>
  <c r="DF55" i="3"/>
  <c r="DJ55" i="3" s="1"/>
  <c r="DH55" i="3"/>
  <c r="DI55" i="3"/>
  <c r="DG55" i="3"/>
  <c r="DH129" i="3"/>
  <c r="DI129" i="3"/>
  <c r="DF129" i="3"/>
  <c r="DJ129" i="3" s="1"/>
  <c r="DG129" i="3"/>
  <c r="DF56" i="3"/>
  <c r="DG56" i="3"/>
  <c r="DI56" i="3"/>
  <c r="DJ56" i="3" s="1"/>
  <c r="DH56" i="3"/>
  <c r="DF19" i="3"/>
  <c r="DJ19" i="3" s="1"/>
  <c r="DH19" i="3"/>
  <c r="DI19" i="3"/>
  <c r="DG19" i="3"/>
  <c r="DF30" i="3"/>
  <c r="DJ30" i="3" s="1"/>
  <c r="DG30" i="3"/>
  <c r="DH30" i="3"/>
  <c r="DI30" i="3"/>
  <c r="DF92" i="3"/>
  <c r="DJ92" i="3" s="1"/>
  <c r="DG92" i="3"/>
  <c r="DH92" i="3"/>
  <c r="DI92" i="3"/>
  <c r="DI81" i="3"/>
  <c r="DF81" i="3"/>
  <c r="DJ81" i="3" s="1"/>
  <c r="DG81" i="3"/>
  <c r="DH81" i="3"/>
  <c r="DF18" i="3"/>
  <c r="DJ18" i="3" s="1"/>
  <c r="DG18" i="3"/>
  <c r="DH18" i="3"/>
  <c r="DI18" i="3"/>
  <c r="CP74" i="1"/>
  <c r="O74" i="1" s="1"/>
  <c r="AC97" i="1"/>
  <c r="DI72" i="3"/>
  <c r="DJ72" i="3" s="1"/>
  <c r="DF72" i="3"/>
  <c r="DH72" i="3"/>
  <c r="DG72" i="3"/>
  <c r="DI61" i="3"/>
  <c r="DJ61" i="3" s="1"/>
  <c r="DF61" i="3"/>
  <c r="DG61" i="3"/>
  <c r="DH61" i="3"/>
  <c r="DF87" i="3"/>
  <c r="DJ87" i="3" s="1"/>
  <c r="DI87" i="3"/>
  <c r="DG87" i="3"/>
  <c r="DH87" i="3"/>
  <c r="AD97" i="1"/>
  <c r="AU72" i="1"/>
  <c r="F116" i="1"/>
  <c r="AU221" i="1"/>
  <c r="CZ90" i="1"/>
  <c r="X90" i="1"/>
  <c r="Y90" i="1"/>
  <c r="CY90" i="1"/>
  <c r="AE147" i="1"/>
  <c r="DF97" i="3"/>
  <c r="DJ97" i="3" s="1"/>
  <c r="DG97" i="3"/>
  <c r="DH97" i="3"/>
  <c r="DI97" i="3"/>
  <c r="X139" i="1"/>
  <c r="GM139" i="1" s="1"/>
  <c r="GN139" i="1" s="1"/>
  <c r="Y139" i="1"/>
  <c r="CY139" i="1"/>
  <c r="CZ139" i="1"/>
  <c r="X132" i="1"/>
  <c r="Y132" i="1"/>
  <c r="AF147" i="1"/>
  <c r="CY132" i="1"/>
  <c r="CZ132" i="1"/>
  <c r="AO179" i="1"/>
  <c r="F195" i="1"/>
  <c r="GM131" i="1"/>
  <c r="CP142" i="1"/>
  <c r="O142" i="1" s="1"/>
  <c r="GM142" i="1" s="1"/>
  <c r="GN142" i="1" s="1"/>
  <c r="AZ191" i="1"/>
  <c r="CI179" i="1"/>
  <c r="DG91" i="3"/>
  <c r="DH91" i="3"/>
  <c r="DI91" i="3"/>
  <c r="DF91" i="3"/>
  <c r="DJ91" i="3" s="1"/>
  <c r="BZ179" i="1"/>
  <c r="CG191" i="1"/>
  <c r="AQ191" i="1"/>
  <c r="BB179" i="1"/>
  <c r="F204" i="1"/>
  <c r="DG52" i="3"/>
  <c r="DH52" i="3"/>
  <c r="DI52" i="3"/>
  <c r="DF52" i="3"/>
  <c r="DJ52" i="3" s="1"/>
  <c r="DF128" i="3"/>
  <c r="DJ128" i="3" s="1"/>
  <c r="DG128" i="3"/>
  <c r="DH128" i="3"/>
  <c r="DI128" i="3"/>
  <c r="Q85" i="1"/>
  <c r="R85" i="1"/>
  <c r="S85" i="1"/>
  <c r="X84" i="1"/>
  <c r="GM84" i="1" s="1"/>
  <c r="GN84" i="1" s="1"/>
  <c r="Y84" i="1"/>
  <c r="CY84" i="1"/>
  <c r="CZ84" i="1"/>
  <c r="GM90" i="1"/>
  <c r="GN90" i="1" s="1"/>
  <c r="CJ147" i="1"/>
  <c r="U253" i="1"/>
  <c r="F280" i="1"/>
  <c r="DF27" i="3"/>
  <c r="DG27" i="3"/>
  <c r="DH27" i="3"/>
  <c r="DI27" i="3"/>
  <c r="DJ27" i="3" s="1"/>
  <c r="DG123" i="3"/>
  <c r="DJ123" i="3" s="1"/>
  <c r="DH123" i="3"/>
  <c r="DI123" i="3"/>
  <c r="DF123" i="3"/>
  <c r="DG17" i="3"/>
  <c r="DH17" i="3"/>
  <c r="DF17" i="3"/>
  <c r="DJ17" i="3" s="1"/>
  <c r="DI17" i="3"/>
  <c r="DF31" i="3"/>
  <c r="DG31" i="3"/>
  <c r="DH31" i="3"/>
  <c r="DI31" i="3"/>
  <c r="DJ31" i="3" s="1"/>
  <c r="DH60" i="3"/>
  <c r="DI60" i="3"/>
  <c r="DG60" i="3"/>
  <c r="DF60" i="3"/>
  <c r="DJ60" i="3" s="1"/>
  <c r="DI23" i="3"/>
  <c r="DF23" i="3"/>
  <c r="DJ23" i="3" s="1"/>
  <c r="DG23" i="3"/>
  <c r="DH23" i="3"/>
  <c r="DF48" i="3"/>
  <c r="DG48" i="3"/>
  <c r="DJ48" i="3" s="1"/>
  <c r="DH48" i="3"/>
  <c r="DI48" i="3"/>
  <c r="DG50" i="3"/>
  <c r="DJ50" i="3" s="1"/>
  <c r="DH50" i="3"/>
  <c r="DF50" i="3"/>
  <c r="DI50" i="3"/>
  <c r="DF12" i="3"/>
  <c r="DG12" i="3"/>
  <c r="DH12" i="3"/>
  <c r="DI12" i="3"/>
  <c r="DJ12" i="3" s="1"/>
  <c r="DH57" i="3"/>
  <c r="DI57" i="3"/>
  <c r="DF57" i="3"/>
  <c r="DG57" i="3"/>
  <c r="DJ57" i="3" s="1"/>
  <c r="DF11" i="3"/>
  <c r="DJ11" i="3" s="1"/>
  <c r="DG11" i="3"/>
  <c r="DH11" i="3"/>
  <c r="DI11" i="3"/>
  <c r="DF54" i="3"/>
  <c r="DJ54" i="3" s="1"/>
  <c r="DG54" i="3"/>
  <c r="DH54" i="3"/>
  <c r="DI54" i="3"/>
  <c r="T38" i="1"/>
  <c r="CI72" i="1"/>
  <c r="AZ97" i="1"/>
  <c r="DF28" i="3"/>
  <c r="DJ28" i="3" s="1"/>
  <c r="DG28" i="3"/>
  <c r="DI28" i="3"/>
  <c r="DH28" i="3"/>
  <c r="DH101" i="3"/>
  <c r="DI101" i="3"/>
  <c r="DF101" i="3"/>
  <c r="DJ101" i="3" s="1"/>
  <c r="DG101" i="3"/>
  <c r="CZ91" i="1"/>
  <c r="X91" i="1"/>
  <c r="Y91" i="1"/>
  <c r="CY91" i="1"/>
  <c r="DF109" i="3"/>
  <c r="DJ109" i="3" s="1"/>
  <c r="DG109" i="3"/>
  <c r="DH109" i="3"/>
  <c r="DI109" i="3"/>
  <c r="CP91" i="1"/>
  <c r="O91" i="1" s="1"/>
  <c r="X140" i="1"/>
  <c r="GM140" i="1" s="1"/>
  <c r="GN140" i="1" s="1"/>
  <c r="Y140" i="1"/>
  <c r="CY140" i="1"/>
  <c r="CZ140" i="1"/>
  <c r="U85" i="1"/>
  <c r="X133" i="1"/>
  <c r="Y133" i="1"/>
  <c r="CY133" i="1"/>
  <c r="CZ133" i="1"/>
  <c r="DI105" i="3"/>
  <c r="DF105" i="3"/>
  <c r="DJ105" i="3" s="1"/>
  <c r="DG105" i="3"/>
  <c r="DH105" i="3"/>
  <c r="AE191" i="1"/>
  <c r="AI129" i="1"/>
  <c r="V147" i="1"/>
  <c r="DG119" i="3"/>
  <c r="DH119" i="3"/>
  <c r="DI119" i="3"/>
  <c r="DF119" i="3"/>
  <c r="DJ119" i="3" s="1"/>
  <c r="AT129" i="1"/>
  <c r="F165" i="1"/>
  <c r="AT221" i="1"/>
  <c r="AC147" i="1"/>
  <c r="GM143" i="1"/>
  <c r="GN143" i="1" s="1"/>
  <c r="CP184" i="1"/>
  <c r="O184" i="1" s="1"/>
  <c r="DG126" i="3"/>
  <c r="DH126" i="3"/>
  <c r="DI126" i="3"/>
  <c r="DF126" i="3"/>
  <c r="DJ126" i="3" s="1"/>
  <c r="BA72" i="1"/>
  <c r="F117" i="1"/>
  <c r="X186" i="1"/>
  <c r="GM186" i="1" s="1"/>
  <c r="GN186" i="1" s="1"/>
  <c r="Y186" i="1"/>
  <c r="CY186" i="1"/>
  <c r="CZ186" i="1"/>
  <c r="CZ256" i="1"/>
  <c r="Y256" i="1"/>
  <c r="AL258" i="1" s="1"/>
  <c r="CY256" i="1"/>
  <c r="X256" i="1"/>
  <c r="AK258" i="1" s="1"/>
  <c r="AF258" i="1"/>
  <c r="GM255" i="1"/>
  <c r="AB258" i="1"/>
  <c r="CP256" i="1"/>
  <c r="O256" i="1" s="1"/>
  <c r="T258" i="1"/>
  <c r="AG253" i="1"/>
  <c r="DF90" i="3"/>
  <c r="DG90" i="3"/>
  <c r="DH90" i="3"/>
  <c r="DI90" i="3"/>
  <c r="DJ90" i="3" s="1"/>
  <c r="DG9" i="3"/>
  <c r="DH9" i="3"/>
  <c r="DI9" i="3"/>
  <c r="DF9" i="3"/>
  <c r="DJ9" i="3" s="1"/>
  <c r="CZ77" i="1"/>
  <c r="X77" i="1"/>
  <c r="Y77" i="1"/>
  <c r="CY77" i="1"/>
  <c r="R185" i="1"/>
  <c r="S185" i="1"/>
  <c r="Q185" i="1"/>
  <c r="AD191" i="1" s="1"/>
  <c r="CY184" i="1"/>
  <c r="CZ184" i="1"/>
  <c r="AF191" i="1"/>
  <c r="X184" i="1"/>
  <c r="Y184" i="1"/>
  <c r="DF103" i="3"/>
  <c r="DG103" i="3"/>
  <c r="DH103" i="3"/>
  <c r="DI103" i="3"/>
  <c r="DJ103" i="3" s="1"/>
  <c r="DI47" i="3"/>
  <c r="DJ47" i="3" s="1"/>
  <c r="DF47" i="3"/>
  <c r="DG47" i="3"/>
  <c r="DH47" i="3"/>
  <c r="DG37" i="3"/>
  <c r="DJ37" i="3" s="1"/>
  <c r="DH37" i="3"/>
  <c r="DF37" i="3"/>
  <c r="DI37" i="3"/>
  <c r="DH46" i="3"/>
  <c r="DI46" i="3"/>
  <c r="DG46" i="3"/>
  <c r="DF46" i="3"/>
  <c r="DJ46" i="3" s="1"/>
  <c r="DF62" i="3"/>
  <c r="DG62" i="3"/>
  <c r="DJ62" i="3" s="1"/>
  <c r="DH62" i="3"/>
  <c r="DI62" i="3"/>
  <c r="DG111" i="3"/>
  <c r="DH111" i="3"/>
  <c r="DI111" i="3"/>
  <c r="DJ111" i="3" s="1"/>
  <c r="DF111" i="3"/>
  <c r="CY34" i="1"/>
  <c r="CZ34" i="1"/>
  <c r="X34" i="1"/>
  <c r="GM34" i="1" s="1"/>
  <c r="GN34" i="1" s="1"/>
  <c r="Y34" i="1"/>
  <c r="DI38" i="3"/>
  <c r="DF38" i="3"/>
  <c r="DH38" i="3"/>
  <c r="DG38" i="3"/>
  <c r="DJ38" i="3" s="1"/>
  <c r="DH85" i="3"/>
  <c r="DI85" i="3"/>
  <c r="DF85" i="3"/>
  <c r="DG85" i="3"/>
  <c r="DJ85" i="3" s="1"/>
  <c r="DH64" i="3"/>
  <c r="DI64" i="3"/>
  <c r="DF64" i="3"/>
  <c r="DJ64" i="3" s="1"/>
  <c r="DG64" i="3"/>
  <c r="DF32" i="3"/>
  <c r="DJ32" i="3" s="1"/>
  <c r="DG32" i="3"/>
  <c r="DI32" i="3"/>
  <c r="DH32" i="3"/>
  <c r="DI51" i="3"/>
  <c r="DF51" i="3"/>
  <c r="DG51" i="3"/>
  <c r="DJ51" i="3" s="1"/>
  <c r="DH51" i="3"/>
  <c r="DG115" i="3"/>
  <c r="DJ115" i="3" s="1"/>
  <c r="DH115" i="3"/>
  <c r="DI115" i="3"/>
  <c r="DF115" i="3"/>
  <c r="DF2" i="3"/>
  <c r="DJ2" i="3" s="1"/>
  <c r="DG2" i="3"/>
  <c r="DH2" i="3"/>
  <c r="DI2" i="3"/>
  <c r="DF114" i="3"/>
  <c r="DG114" i="3"/>
  <c r="DH114" i="3"/>
  <c r="DI114" i="3"/>
  <c r="DJ114" i="3" s="1"/>
  <c r="DF21" i="3"/>
  <c r="DJ21" i="3" s="1"/>
  <c r="DG21" i="3"/>
  <c r="DH21" i="3"/>
  <c r="DI21" i="3"/>
  <c r="V38" i="1"/>
  <c r="AI97" i="1"/>
  <c r="DF66" i="3"/>
  <c r="DJ66" i="3" s="1"/>
  <c r="DG66" i="3"/>
  <c r="DI66" i="3"/>
  <c r="DH66" i="3"/>
  <c r="DF86" i="3"/>
  <c r="DG86" i="3"/>
  <c r="DJ86" i="3" s="1"/>
  <c r="DH86" i="3"/>
  <c r="DI86" i="3"/>
  <c r="GM82" i="1"/>
  <c r="GN82" i="1" s="1"/>
  <c r="X37" i="1"/>
  <c r="Y37" i="1"/>
  <c r="CY37" i="1"/>
  <c r="CZ37" i="1"/>
  <c r="DF70" i="3"/>
  <c r="DH70" i="3"/>
  <c r="DI70" i="3"/>
  <c r="DG70" i="3"/>
  <c r="DJ70" i="3" s="1"/>
  <c r="X33" i="1"/>
  <c r="Y33" i="1"/>
  <c r="CY33" i="1"/>
  <c r="CZ33" i="1"/>
  <c r="CP75" i="1"/>
  <c r="O75" i="1" s="1"/>
  <c r="GM75" i="1" s="1"/>
  <c r="GN75" i="1" s="1"/>
  <c r="CZ92" i="1"/>
  <c r="X92" i="1"/>
  <c r="Y92" i="1"/>
  <c r="CY92" i="1"/>
  <c r="X79" i="1"/>
  <c r="GM79" i="1" s="1"/>
  <c r="GN79" i="1" s="1"/>
  <c r="Y79" i="1"/>
  <c r="CY79" i="1"/>
  <c r="CZ79" i="1"/>
  <c r="AO72" i="1"/>
  <c r="F101" i="1"/>
  <c r="AO221" i="1"/>
  <c r="DF110" i="3"/>
  <c r="DJ110" i="3" s="1"/>
  <c r="DG110" i="3"/>
  <c r="DH110" i="3"/>
  <c r="DI110" i="3"/>
  <c r="CP89" i="1"/>
  <c r="O89" i="1" s="1"/>
  <c r="GM89" i="1" s="1"/>
  <c r="GN89" i="1" s="1"/>
  <c r="GM134" i="1"/>
  <c r="GN134" i="1" s="1"/>
  <c r="DF106" i="3"/>
  <c r="DJ106" i="3" s="1"/>
  <c r="DG106" i="3"/>
  <c r="DH106" i="3"/>
  <c r="DI106" i="3"/>
  <c r="CG129" i="1"/>
  <c r="AX147" i="1"/>
  <c r="CY135" i="1"/>
  <c r="CZ135" i="1"/>
  <c r="X135" i="1"/>
  <c r="Y135" i="1"/>
  <c r="GM135" i="1" s="1"/>
  <c r="GN135" i="1" s="1"/>
  <c r="P185" i="1"/>
  <c r="AQ253" i="1"/>
  <c r="F268" i="1"/>
  <c r="CF258" i="1"/>
  <c r="AC253" i="1"/>
  <c r="CE258" i="1"/>
  <c r="CH258" i="1"/>
  <c r="P258" i="1"/>
  <c r="CP188" i="1"/>
  <c r="O188" i="1" s="1"/>
  <c r="U133" i="1"/>
  <c r="AH147" i="1" s="1"/>
  <c r="F282" i="1"/>
  <c r="W253" i="1"/>
  <c r="BA253" i="1"/>
  <c r="F278" i="1"/>
  <c r="DF13" i="3"/>
  <c r="DH13" i="3"/>
  <c r="DI13" i="3"/>
  <c r="DG13" i="3"/>
  <c r="DJ13" i="3" s="1"/>
  <c r="DF79" i="3"/>
  <c r="DJ79" i="3" s="1"/>
  <c r="DG79" i="3"/>
  <c r="DH79" i="3"/>
  <c r="DI79" i="3"/>
  <c r="DF22" i="3"/>
  <c r="DJ22" i="3" s="1"/>
  <c r="DG22" i="3"/>
  <c r="DI22" i="3"/>
  <c r="DH22" i="3"/>
  <c r="DF63" i="3"/>
  <c r="DH63" i="3"/>
  <c r="DI63" i="3"/>
  <c r="DG63" i="3"/>
  <c r="DJ63" i="3" s="1"/>
  <c r="DG53" i="3"/>
  <c r="DH53" i="3"/>
  <c r="DF53" i="3"/>
  <c r="DJ53" i="3" s="1"/>
  <c r="DI53" i="3"/>
  <c r="DG14" i="3"/>
  <c r="DJ14" i="3" s="1"/>
  <c r="DH14" i="3"/>
  <c r="DF14" i="3"/>
  <c r="DI14" i="3"/>
  <c r="DF69" i="3"/>
  <c r="DG69" i="3"/>
  <c r="DJ69" i="3" s="1"/>
  <c r="DH69" i="3"/>
  <c r="DI69" i="3"/>
  <c r="DG4" i="3"/>
  <c r="DH4" i="3"/>
  <c r="DF4" i="3"/>
  <c r="DJ4" i="3" s="1"/>
  <c r="DI4" i="3"/>
  <c r="DG25" i="3"/>
  <c r="DH25" i="3"/>
  <c r="DF25" i="3"/>
  <c r="DJ25" i="3" s="1"/>
  <c r="DI25" i="3"/>
  <c r="DG24" i="3"/>
  <c r="DH24" i="3"/>
  <c r="DI24" i="3"/>
  <c r="DF24" i="3"/>
  <c r="DJ24" i="3" s="1"/>
  <c r="DI41" i="3"/>
  <c r="DF41" i="3"/>
  <c r="DJ41" i="3" s="1"/>
  <c r="DH41" i="3"/>
  <c r="DG41" i="3"/>
  <c r="DF77" i="3"/>
  <c r="DJ77" i="3" s="1"/>
  <c r="DH77" i="3"/>
  <c r="DI77" i="3"/>
  <c r="DG77" i="3"/>
  <c r="DH71" i="3"/>
  <c r="DI71" i="3"/>
  <c r="DF71" i="3"/>
  <c r="DJ71" i="3" s="1"/>
  <c r="DG71" i="3"/>
  <c r="CP36" i="1"/>
  <c r="O36" i="1" s="1"/>
  <c r="GM36" i="1" s="1"/>
  <c r="GN36" i="1" s="1"/>
  <c r="DI34" i="3"/>
  <c r="DF34" i="3"/>
  <c r="DG34" i="3"/>
  <c r="DJ34" i="3" s="1"/>
  <c r="DH34" i="3"/>
  <c r="DF127" i="3"/>
  <c r="DJ127" i="3" s="1"/>
  <c r="DG127" i="3"/>
  <c r="DH127" i="3"/>
  <c r="DI127" i="3"/>
  <c r="DG95" i="3"/>
  <c r="DJ95" i="3" s="1"/>
  <c r="DH95" i="3"/>
  <c r="DI95" i="3"/>
  <c r="DF95" i="3"/>
  <c r="DF6" i="3"/>
  <c r="DJ6" i="3" s="1"/>
  <c r="DG6" i="3"/>
  <c r="DH6" i="3"/>
  <c r="DI6" i="3"/>
  <c r="DF94" i="3"/>
  <c r="DG94" i="3"/>
  <c r="DJ94" i="3" s="1"/>
  <c r="DH94" i="3"/>
  <c r="DI94" i="3"/>
  <c r="DH1" i="3"/>
  <c r="DI1" i="3"/>
  <c r="DJ1" i="3" s="1"/>
  <c r="DF1" i="3"/>
  <c r="DG1" i="3"/>
  <c r="DF120" i="3"/>
  <c r="DJ120" i="3" s="1"/>
  <c r="DG120" i="3"/>
  <c r="DH120" i="3"/>
  <c r="DI120" i="3"/>
  <c r="DG16" i="3"/>
  <c r="DH16" i="3"/>
  <c r="DI16" i="3"/>
  <c r="DF16" i="3"/>
  <c r="DJ16" i="3" s="1"/>
  <c r="DF74" i="3"/>
  <c r="DH74" i="3"/>
  <c r="DI74" i="3"/>
  <c r="DG74" i="3"/>
  <c r="DJ74" i="3" s="1"/>
  <c r="CP77" i="1"/>
  <c r="O77" i="1" s="1"/>
  <c r="GM77" i="1" s="1"/>
  <c r="GN77" i="1" s="1"/>
  <c r="DF82" i="3"/>
  <c r="DG82" i="3"/>
  <c r="DH82" i="3"/>
  <c r="DI82" i="3"/>
  <c r="DJ82" i="3" s="1"/>
  <c r="X82" i="1"/>
  <c r="Y82" i="1"/>
  <c r="CY82" i="1"/>
  <c r="CZ82" i="1"/>
  <c r="CZ93" i="1"/>
  <c r="X93" i="1"/>
  <c r="GM93" i="1" s="1"/>
  <c r="GN93" i="1" s="1"/>
  <c r="Y93" i="1"/>
  <c r="CY93" i="1"/>
  <c r="V85" i="1"/>
  <c r="W38" i="1"/>
  <c r="BD129" i="1"/>
  <c r="F172" i="1"/>
  <c r="DG98" i="3"/>
  <c r="DH98" i="3"/>
  <c r="DI98" i="3"/>
  <c r="DF98" i="3"/>
  <c r="DJ98" i="3" s="1"/>
  <c r="DI112" i="3"/>
  <c r="DF112" i="3"/>
  <c r="DG112" i="3"/>
  <c r="DJ112" i="3" s="1"/>
  <c r="DH112" i="3"/>
  <c r="CP92" i="1"/>
  <c r="O92" i="1" s="1"/>
  <c r="DF104" i="3"/>
  <c r="DG104" i="3"/>
  <c r="DJ104" i="3" s="1"/>
  <c r="DH104" i="3"/>
  <c r="DI104" i="3"/>
  <c r="CI129" i="1"/>
  <c r="AZ147" i="1"/>
  <c r="F200" i="1"/>
  <c r="AP179" i="1"/>
  <c r="X145" i="1"/>
  <c r="Y145" i="1"/>
  <c r="CY145" i="1"/>
  <c r="CZ145" i="1"/>
  <c r="DI124" i="3"/>
  <c r="DF124" i="3"/>
  <c r="DG124" i="3"/>
  <c r="DJ124" i="3" s="1"/>
  <c r="DH124" i="3"/>
  <c r="BC253" i="1"/>
  <c r="F274" i="1"/>
  <c r="U185" i="1"/>
  <c r="AH191" i="1" s="1"/>
  <c r="AC191" i="1"/>
  <c r="CP141" i="1"/>
  <c r="O141" i="1" s="1"/>
  <c r="GM141" i="1" s="1"/>
  <c r="GN141" i="1" s="1"/>
  <c r="Y258" i="1" l="1"/>
  <c r="AL253" i="1"/>
  <c r="CJ179" i="1"/>
  <c r="BA191" i="1"/>
  <c r="AK253" i="1"/>
  <c r="X258" i="1"/>
  <c r="AK191" i="1"/>
  <c r="AC72" i="1"/>
  <c r="P97" i="1"/>
  <c r="CE97" i="1"/>
  <c r="CF97" i="1"/>
  <c r="CH97" i="1"/>
  <c r="CH253" i="1"/>
  <c r="AY258" i="1"/>
  <c r="AI72" i="1"/>
  <c r="V97" i="1"/>
  <c r="CY185" i="1"/>
  <c r="CZ185" i="1"/>
  <c r="X185" i="1"/>
  <c r="Y185" i="1"/>
  <c r="AL191" i="1" s="1"/>
  <c r="GM256" i="1"/>
  <c r="GP256" i="1" s="1"/>
  <c r="CD258" i="1" s="1"/>
  <c r="AK147" i="1"/>
  <c r="GM74" i="1"/>
  <c r="AB97" i="1"/>
  <c r="AL97" i="1"/>
  <c r="X38" i="1"/>
  <c r="Y38" i="1"/>
  <c r="CY38" i="1"/>
  <c r="CZ38" i="1"/>
  <c r="W129" i="1"/>
  <c r="F171" i="1"/>
  <c r="P253" i="1"/>
  <c r="F261" i="1"/>
  <c r="AD179" i="1"/>
  <c r="Q191" i="1"/>
  <c r="AX191" i="1"/>
  <c r="CG179" i="1"/>
  <c r="BB26" i="1"/>
  <c r="F234" i="1"/>
  <c r="BB288" i="1"/>
  <c r="CE253" i="1"/>
  <c r="AV258" i="1"/>
  <c r="AB253" i="1"/>
  <c r="O258" i="1"/>
  <c r="X85" i="1"/>
  <c r="Y85" i="1"/>
  <c r="CY85" i="1"/>
  <c r="CZ85" i="1"/>
  <c r="GN131" i="1"/>
  <c r="AE129" i="1"/>
  <c r="R147" i="1"/>
  <c r="AD72" i="1"/>
  <c r="Q97" i="1"/>
  <c r="F270" i="1"/>
  <c r="Q253" i="1"/>
  <c r="AK97" i="1"/>
  <c r="U72" i="1"/>
  <c r="F119" i="1"/>
  <c r="AZ129" i="1"/>
  <c r="F158" i="1"/>
  <c r="AO26" i="1"/>
  <c r="F225" i="1"/>
  <c r="AO288" i="1"/>
  <c r="CE191" i="1"/>
  <c r="CF191" i="1"/>
  <c r="AC179" i="1"/>
  <c r="CH191" i="1"/>
  <c r="P191" i="1"/>
  <c r="U191" i="1"/>
  <c r="AH179" i="1"/>
  <c r="GN255" i="1"/>
  <c r="CB258" i="1" s="1"/>
  <c r="CA258" i="1"/>
  <c r="GM94" i="1"/>
  <c r="GN94" i="1" s="1"/>
  <c r="AJ179" i="1"/>
  <c r="W191" i="1"/>
  <c r="AG129" i="1"/>
  <c r="T147" i="1"/>
  <c r="GM35" i="1"/>
  <c r="GN35" i="1" s="1"/>
  <c r="GM187" i="1"/>
  <c r="GN187" i="1" s="1"/>
  <c r="GM132" i="1"/>
  <c r="GN132" i="1" s="1"/>
  <c r="AL147" i="1"/>
  <c r="CF253" i="1"/>
  <c r="AW258" i="1"/>
  <c r="AX129" i="1"/>
  <c r="F154" i="1"/>
  <c r="AF253" i="1"/>
  <c r="S258" i="1"/>
  <c r="GM184" i="1"/>
  <c r="GN184" i="1" s="1"/>
  <c r="CJ129" i="1"/>
  <c r="BA147" i="1"/>
  <c r="GM145" i="1"/>
  <c r="GN145" i="1" s="1"/>
  <c r="V253" i="1"/>
  <c r="F281" i="1"/>
  <c r="CP38" i="1"/>
  <c r="O38" i="1" s="1"/>
  <c r="GM38" i="1" s="1"/>
  <c r="GN38" i="1" s="1"/>
  <c r="AI179" i="1"/>
  <c r="V191" i="1"/>
  <c r="GM189" i="1"/>
  <c r="GN189" i="1" s="1"/>
  <c r="AP26" i="1"/>
  <c r="F230" i="1"/>
  <c r="AP288" i="1"/>
  <c r="T179" i="1"/>
  <c r="F212" i="1"/>
  <c r="T253" i="1"/>
  <c r="F279" i="1"/>
  <c r="AF179" i="1"/>
  <c r="S191" i="1"/>
  <c r="AE72" i="1"/>
  <c r="R97" i="1"/>
  <c r="Q147" i="1"/>
  <c r="AD129" i="1"/>
  <c r="R253" i="1"/>
  <c r="F272" i="1"/>
  <c r="GM37" i="1"/>
  <c r="GN37" i="1" s="1"/>
  <c r="AE179" i="1"/>
  <c r="R191" i="1"/>
  <c r="GM92" i="1"/>
  <c r="GN92" i="1" s="1"/>
  <c r="AH129" i="1"/>
  <c r="U147" i="1"/>
  <c r="CE147" i="1"/>
  <c r="CH147" i="1"/>
  <c r="P147" i="1"/>
  <c r="AC129" i="1"/>
  <c r="CF147" i="1"/>
  <c r="V129" i="1"/>
  <c r="F170" i="1"/>
  <c r="GM91" i="1"/>
  <c r="GN91" i="1" s="1"/>
  <c r="GM33" i="1"/>
  <c r="GN33" i="1" s="1"/>
  <c r="F166" i="1"/>
  <c r="AU129" i="1"/>
  <c r="CP133" i="1"/>
  <c r="O133" i="1" s="1"/>
  <c r="BC26" i="1"/>
  <c r="F237" i="1"/>
  <c r="BC288" i="1"/>
  <c r="W72" i="1"/>
  <c r="F121" i="1"/>
  <c r="W221" i="1"/>
  <c r="T72" i="1"/>
  <c r="F118" i="1"/>
  <c r="T221" i="1"/>
  <c r="GM95" i="1"/>
  <c r="GN95" i="1" s="1"/>
  <c r="GM188" i="1"/>
  <c r="GN188" i="1" s="1"/>
  <c r="CP185" i="1"/>
  <c r="O185" i="1" s="1"/>
  <c r="AT26" i="1"/>
  <c r="F239" i="1"/>
  <c r="AT288" i="1"/>
  <c r="AZ72" i="1"/>
  <c r="F108" i="1"/>
  <c r="AZ221" i="1"/>
  <c r="F201" i="1"/>
  <c r="AQ179" i="1"/>
  <c r="AZ179" i="1"/>
  <c r="F202" i="1"/>
  <c r="AF129" i="1"/>
  <c r="S147" i="1"/>
  <c r="AU26" i="1"/>
  <c r="F240" i="1"/>
  <c r="CP85" i="1"/>
  <c r="O85" i="1" s="1"/>
  <c r="GM85" i="1" s="1"/>
  <c r="GN85" i="1" s="1"/>
  <c r="GN181" i="1"/>
  <c r="AQ129" i="1"/>
  <c r="F157" i="1"/>
  <c r="AQ221" i="1"/>
  <c r="BD26" i="1"/>
  <c r="F246" i="1"/>
  <c r="BD288" i="1"/>
  <c r="AF72" i="1"/>
  <c r="S97" i="1"/>
  <c r="BC22" i="1" l="1"/>
  <c r="F304" i="1"/>
  <c r="BC318" i="1"/>
  <c r="Q129" i="1"/>
  <c r="F159" i="1"/>
  <c r="F168" i="1"/>
  <c r="T129" i="1"/>
  <c r="F213" i="1"/>
  <c r="U179" i="1"/>
  <c r="GN74" i="1"/>
  <c r="CB97" i="1" s="1"/>
  <c r="CA97" i="1"/>
  <c r="AK179" i="1"/>
  <c r="X191" i="1"/>
  <c r="AZ26" i="1"/>
  <c r="F232" i="1"/>
  <c r="AZ288" i="1"/>
  <c r="R72" i="1"/>
  <c r="F111" i="1"/>
  <c r="R221" i="1"/>
  <c r="AP22" i="1"/>
  <c r="AP318" i="1"/>
  <c r="F297" i="1"/>
  <c r="G16" i="2" s="1"/>
  <c r="P179" i="1"/>
  <c r="F194" i="1"/>
  <c r="Q72" i="1"/>
  <c r="F109" i="1"/>
  <c r="Q221" i="1"/>
  <c r="AK129" i="1"/>
  <c r="X147" i="1"/>
  <c r="AY253" i="1"/>
  <c r="F266" i="1"/>
  <c r="X253" i="1"/>
  <c r="F284" i="1"/>
  <c r="F169" i="1"/>
  <c r="U129" i="1"/>
  <c r="BB22" i="1"/>
  <c r="F301" i="1"/>
  <c r="BB318" i="1"/>
  <c r="AQ26" i="1"/>
  <c r="F231" i="1"/>
  <c r="AQ288" i="1"/>
  <c r="T26" i="1"/>
  <c r="F242" i="1"/>
  <c r="T288" i="1"/>
  <c r="CF129" i="1"/>
  <c r="AW147" i="1"/>
  <c r="R179" i="1"/>
  <c r="F205" i="1"/>
  <c r="AW253" i="1"/>
  <c r="F264" i="1"/>
  <c r="W179" i="1"/>
  <c r="F215" i="1"/>
  <c r="CH179" i="1"/>
  <c r="AY191" i="1"/>
  <c r="CD253" i="1"/>
  <c r="AU258" i="1"/>
  <c r="V72" i="1"/>
  <c r="F120" i="1"/>
  <c r="V221" i="1"/>
  <c r="S129" i="1"/>
  <c r="F162" i="1"/>
  <c r="GM133" i="1"/>
  <c r="GN133" i="1" s="1"/>
  <c r="AB147" i="1"/>
  <c r="S179" i="1"/>
  <c r="F206" i="1"/>
  <c r="BA129" i="1"/>
  <c r="F167" i="1"/>
  <c r="BA221" i="1"/>
  <c r="U221" i="1"/>
  <c r="R129" i="1"/>
  <c r="F161" i="1"/>
  <c r="F260" i="1"/>
  <c r="O253" i="1"/>
  <c r="AX179" i="1"/>
  <c r="F198" i="1"/>
  <c r="AX221" i="1"/>
  <c r="AL179" i="1"/>
  <c r="Y191" i="1"/>
  <c r="CH72" i="1"/>
  <c r="AY97" i="1"/>
  <c r="BA179" i="1"/>
  <c r="F211" i="1"/>
  <c r="AB72" i="1"/>
  <c r="O97" i="1"/>
  <c r="AT22" i="1"/>
  <c r="F306" i="1"/>
  <c r="F16" i="2" s="1"/>
  <c r="AT318" i="1"/>
  <c r="P129" i="1"/>
  <c r="F150" i="1"/>
  <c r="AL129" i="1"/>
  <c r="Y147" i="1"/>
  <c r="CF179" i="1"/>
  <c r="AW191" i="1"/>
  <c r="Q179" i="1"/>
  <c r="F203" i="1"/>
  <c r="CF72" i="1"/>
  <c r="AW97" i="1"/>
  <c r="BD22" i="1"/>
  <c r="BD318" i="1"/>
  <c r="F313" i="1"/>
  <c r="S72" i="1"/>
  <c r="F112" i="1"/>
  <c r="S221" i="1"/>
  <c r="W26" i="1"/>
  <c r="F245" i="1"/>
  <c r="W288" i="1"/>
  <c r="CH129" i="1"/>
  <c r="AY147" i="1"/>
  <c r="V179" i="1"/>
  <c r="F214" i="1"/>
  <c r="AR258" i="1"/>
  <c r="CA253" i="1"/>
  <c r="AV191" i="1"/>
  <c r="CE179" i="1"/>
  <c r="CB147" i="1"/>
  <c r="AV253" i="1"/>
  <c r="F263" i="1"/>
  <c r="CE72" i="1"/>
  <c r="AV97" i="1"/>
  <c r="GM185" i="1"/>
  <c r="AB191" i="1"/>
  <c r="CE129" i="1"/>
  <c r="AV147" i="1"/>
  <c r="S253" i="1"/>
  <c r="F273" i="1"/>
  <c r="CB253" i="1"/>
  <c r="AS258" i="1"/>
  <c r="AO22" i="1"/>
  <c r="F292" i="1"/>
  <c r="AO318" i="1"/>
  <c r="AK72" i="1"/>
  <c r="X97" i="1"/>
  <c r="CA147" i="1"/>
  <c r="AL72" i="1"/>
  <c r="Y97" i="1"/>
  <c r="P72" i="1"/>
  <c r="F100" i="1"/>
  <c r="P221" i="1"/>
  <c r="Y253" i="1"/>
  <c r="F285" i="1"/>
  <c r="AU253" i="1" l="1"/>
  <c r="F277" i="1"/>
  <c r="AU288" i="1"/>
  <c r="AZ22" i="1"/>
  <c r="AZ318" i="1"/>
  <c r="F299" i="1"/>
  <c r="S26" i="1"/>
  <c r="F236" i="1"/>
  <c r="S288" i="1"/>
  <c r="AT18" i="1"/>
  <c r="F336" i="1"/>
  <c r="O147" i="1"/>
  <c r="AB129" i="1"/>
  <c r="AS253" i="1"/>
  <c r="F275" i="1"/>
  <c r="AR253" i="1"/>
  <c r="F286" i="1"/>
  <c r="Y179" i="1"/>
  <c r="F218" i="1"/>
  <c r="F199" i="1"/>
  <c r="AY179" i="1"/>
  <c r="AW129" i="1"/>
  <c r="F153" i="1"/>
  <c r="BB18" i="1"/>
  <c r="F331" i="1"/>
  <c r="CA129" i="1"/>
  <c r="AR147" i="1"/>
  <c r="X72" i="1"/>
  <c r="F123" i="1"/>
  <c r="X221" i="1"/>
  <c r="AW179" i="1"/>
  <c r="F197" i="1"/>
  <c r="U26" i="1"/>
  <c r="F243" i="1"/>
  <c r="U288" i="1"/>
  <c r="X129" i="1"/>
  <c r="F173" i="1"/>
  <c r="AP18" i="1"/>
  <c r="F327" i="1"/>
  <c r="X179" i="1"/>
  <c r="F217" i="1"/>
  <c r="GN185" i="1"/>
  <c r="CB191" i="1" s="1"/>
  <c r="CA191" i="1"/>
  <c r="AV72" i="1"/>
  <c r="F102" i="1"/>
  <c r="AV221" i="1"/>
  <c r="AV129" i="1"/>
  <c r="F152" i="1"/>
  <c r="AY129" i="1"/>
  <c r="F155" i="1"/>
  <c r="O72" i="1"/>
  <c r="F99" i="1"/>
  <c r="AX26" i="1"/>
  <c r="F228" i="1"/>
  <c r="AX288" i="1"/>
  <c r="BA26" i="1"/>
  <c r="F241" i="1"/>
  <c r="BA288" i="1"/>
  <c r="T22" i="1"/>
  <c r="F309" i="1"/>
  <c r="T318" i="1"/>
  <c r="P26" i="1"/>
  <c r="F224" i="1"/>
  <c r="P288" i="1"/>
  <c r="BD18" i="1"/>
  <c r="F343" i="1"/>
  <c r="Y129" i="1"/>
  <c r="F174" i="1"/>
  <c r="V26" i="1"/>
  <c r="F244" i="1"/>
  <c r="V288" i="1"/>
  <c r="Q26" i="1"/>
  <c r="F233" i="1"/>
  <c r="Q288" i="1"/>
  <c r="R26" i="1"/>
  <c r="F235" i="1"/>
  <c r="R288" i="1"/>
  <c r="CA72" i="1"/>
  <c r="AR97" i="1"/>
  <c r="BC18" i="1"/>
  <c r="F334" i="1"/>
  <c r="Y72" i="1"/>
  <c r="F124" i="1"/>
  <c r="Y221" i="1"/>
  <c r="AO18" i="1"/>
  <c r="F322" i="1"/>
  <c r="CB72" i="1"/>
  <c r="AS97" i="1"/>
  <c r="AY72" i="1"/>
  <c r="F105" i="1"/>
  <c r="AY221" i="1"/>
  <c r="CB129" i="1"/>
  <c r="AS147" i="1"/>
  <c r="W22" i="1"/>
  <c r="F312" i="1"/>
  <c r="W318" i="1"/>
  <c r="AB179" i="1"/>
  <c r="O191" i="1"/>
  <c r="O221" i="1" s="1"/>
  <c r="AV179" i="1"/>
  <c r="F196" i="1"/>
  <c r="AW72" i="1"/>
  <c r="F103" i="1"/>
  <c r="AW221" i="1"/>
  <c r="AQ22" i="1"/>
  <c r="AQ318" i="1"/>
  <c r="F298" i="1"/>
  <c r="O26" i="1" l="1"/>
  <c r="O288" i="1"/>
  <c r="F223" i="1"/>
  <c r="AW26" i="1"/>
  <c r="F227" i="1"/>
  <c r="AW288" i="1"/>
  <c r="F164" i="1"/>
  <c r="AS129" i="1"/>
  <c r="R22" i="1"/>
  <c r="R318" i="1"/>
  <c r="F302" i="1"/>
  <c r="T18" i="1"/>
  <c r="F339" i="1"/>
  <c r="AV26" i="1"/>
  <c r="F226" i="1"/>
  <c r="AV288" i="1"/>
  <c r="X26" i="1"/>
  <c r="F247" i="1"/>
  <c r="X288" i="1"/>
  <c r="AZ18" i="1"/>
  <c r="F329" i="1"/>
  <c r="Y26" i="1"/>
  <c r="F248" i="1"/>
  <c r="Y288" i="1"/>
  <c r="AY26" i="1"/>
  <c r="F229" i="1"/>
  <c r="AY288" i="1"/>
  <c r="O129" i="1"/>
  <c r="F149" i="1"/>
  <c r="AX22" i="1"/>
  <c r="AX318" i="1"/>
  <c r="F295" i="1"/>
  <c r="Q22" i="1"/>
  <c r="F300" i="1"/>
  <c r="Q318" i="1"/>
  <c r="BA22" i="1"/>
  <c r="F308" i="1"/>
  <c r="BA318" i="1"/>
  <c r="CA179" i="1"/>
  <c r="AR191" i="1"/>
  <c r="U22" i="1"/>
  <c r="F310" i="1"/>
  <c r="U318" i="1"/>
  <c r="AR129" i="1"/>
  <c r="F175" i="1"/>
  <c r="AU22" i="1"/>
  <c r="AU318" i="1"/>
  <c r="F307" i="1"/>
  <c r="H16" i="2" s="1"/>
  <c r="AR72" i="1"/>
  <c r="F125" i="1"/>
  <c r="CB179" i="1"/>
  <c r="AS191" i="1"/>
  <c r="V22" i="1"/>
  <c r="F311" i="1"/>
  <c r="V318" i="1"/>
  <c r="O179" i="1"/>
  <c r="F193" i="1"/>
  <c r="AQ18" i="1"/>
  <c r="F328" i="1"/>
  <c r="W18" i="1"/>
  <c r="F342" i="1"/>
  <c r="AS72" i="1"/>
  <c r="F114" i="1"/>
  <c r="P22" i="1"/>
  <c r="P318" i="1"/>
  <c r="F291" i="1"/>
  <c r="S22" i="1"/>
  <c r="S318" i="1"/>
  <c r="F303" i="1"/>
  <c r="J16" i="2" s="1"/>
  <c r="AU18" i="1" l="1"/>
  <c r="F337" i="1"/>
  <c r="AX18" i="1"/>
  <c r="F325" i="1"/>
  <c r="AV22" i="1"/>
  <c r="AV318" i="1"/>
  <c r="F293" i="1"/>
  <c r="BA18" i="1"/>
  <c r="F338" i="1"/>
  <c r="AW22" i="1"/>
  <c r="F294" i="1"/>
  <c r="AW318" i="1"/>
  <c r="V18" i="1"/>
  <c r="F341" i="1"/>
  <c r="AR179" i="1"/>
  <c r="F219" i="1"/>
  <c r="P18" i="1"/>
  <c r="F321" i="1"/>
  <c r="Q18" i="1"/>
  <c r="F330" i="1"/>
  <c r="AY22" i="1"/>
  <c r="AY318" i="1"/>
  <c r="F296" i="1"/>
  <c r="X22" i="1"/>
  <c r="F314" i="1"/>
  <c r="X318" i="1"/>
  <c r="Y22" i="1"/>
  <c r="Y318" i="1"/>
  <c r="F315" i="1"/>
  <c r="S18" i="1"/>
  <c r="F333" i="1"/>
  <c r="AR221" i="1"/>
  <c r="R18" i="1"/>
  <c r="F332" i="1"/>
  <c r="O22" i="1"/>
  <c r="F290" i="1"/>
  <c r="O318" i="1"/>
  <c r="F208" i="1"/>
  <c r="AS179" i="1"/>
  <c r="U18" i="1"/>
  <c r="F340" i="1"/>
  <c r="AS221" i="1"/>
  <c r="AR26" i="1" l="1"/>
  <c r="F249" i="1"/>
  <c r="AR288" i="1"/>
  <c r="AV18" i="1"/>
  <c r="F323" i="1"/>
  <c r="Y18" i="1"/>
  <c r="F345" i="1"/>
  <c r="AW18" i="1"/>
  <c r="F324" i="1"/>
  <c r="AY18" i="1"/>
  <c r="F326" i="1"/>
  <c r="AS26" i="1"/>
  <c r="F238" i="1"/>
  <c r="AS288" i="1"/>
  <c r="X18" i="1"/>
  <c r="F344" i="1"/>
  <c r="O18" i="1"/>
  <c r="F320" i="1"/>
  <c r="AR22" i="1" l="1"/>
  <c r="F316" i="1"/>
  <c r="AR318" i="1"/>
  <c r="AS22" i="1"/>
  <c r="F305" i="1"/>
  <c r="E16" i="2" s="1"/>
  <c r="I16" i="2" s="1"/>
  <c r="N16" i="2" s="1"/>
  <c r="AS318" i="1"/>
  <c r="AR18" i="1" l="1"/>
  <c r="F346" i="1"/>
  <c r="F347" i="1" s="1"/>
  <c r="AS18" i="1"/>
  <c r="F335" i="1"/>
  <c r="F348" i="1" l="1"/>
  <c r="F349" i="1" s="1"/>
</calcChain>
</file>

<file path=xl/sharedStrings.xml><?xml version="1.0" encoding="utf-8"?>
<sst xmlns="http://schemas.openxmlformats.org/spreadsheetml/2006/main" count="6448" uniqueCount="579">
  <si>
    <t>Smeta.RU Flash  (495) 974-1589</t>
  </si>
  <si>
    <t>_PS_</t>
  </si>
  <si>
    <t>Smeta.RU Flash</t>
  </si>
  <si>
    <t/>
  </si>
  <si>
    <t>ДО</t>
  </si>
  <si>
    <t>Текущий ремонт кабинета № 809а замена дверного блока</t>
  </si>
  <si>
    <t>Сметные нормы списания</t>
  </si>
  <si>
    <t>Коды ОКП для ТСН-2001 МГЭ Дополнение 81</t>
  </si>
  <si>
    <t>ТСН-2001 (МГЭ) Доп 81 - Ремонт</t>
  </si>
  <si>
    <t>Типовой расчет для ТСН-2001 МГЭ, Дополнение 81, ремонт</t>
  </si>
  <si>
    <t>Территориальные сметные нормативы для Москвы ТСН-2001 (МГЭ), дополнение 81</t>
  </si>
  <si>
    <t>Поправки для ТСН-2001 от 31.03.2026 г. доп.81</t>
  </si>
  <si>
    <t>Территориальные сметные нормативы для Москвы (ТСН-2001)</t>
  </si>
  <si>
    <t>ТЕР</t>
  </si>
  <si>
    <t>Новая локальная смета</t>
  </si>
  <si>
    <t>Новый раздел</t>
  </si>
  <si>
    <t>Кабинет 809а</t>
  </si>
  <si>
    <t>Новый подраздел</t>
  </si>
  <si>
    <t>Проемы</t>
  </si>
  <si>
    <t>1</t>
  </si>
  <si>
    <t>6.56-12-1</t>
  </si>
  <si>
    <t>Демонтаж дверных коробок в каменных стенах с отбивкой штукатурки в откосах</t>
  </si>
  <si>
    <t>100 шт.</t>
  </si>
  <si>
    <t>ТСН-2001.6. Доп. 1-42. Сб. 56, т. 12, поз. 1</t>
  </si>
  <si>
    <t>*1</t>
  </si>
  <si>
    <t>Ремонтно-строительные работы</t>
  </si>
  <si>
    <t>ТСН-2001.6-56. Проемы</t>
  </si>
  <si>
    <t>ТСН-2001.6-56-1</t>
  </si>
  <si>
    <t>Поправка: Гл.12.Прил.8.п.8. 4_12.00.01.11.002</t>
  </si>
  <si>
    <t>2</t>
  </si>
  <si>
    <t>6.56-13-1</t>
  </si>
  <si>
    <t>Снятие дверных полотен</t>
  </si>
  <si>
    <t>100 м2</t>
  </si>
  <si>
    <t>ТСН-2001.6. Доп. 1-42. Сб. 56, т. 13, поз. 1</t>
  </si>
  <si>
    <t>3</t>
  </si>
  <si>
    <t>6.56-24-1</t>
  </si>
  <si>
    <t>Установка дверных коробок в каменных стенах</t>
  </si>
  <si>
    <t>ТСН-2001.6 Доп. 79, Сб. 56, т. 24, поз. 1</t>
  </si>
  <si>
    <t>3,1</t>
  </si>
  <si>
    <t>Цена поставщика</t>
  </si>
  <si>
    <t>Коробки дверные</t>
  </si>
  <si>
    <t>компл.</t>
  </si>
  <si>
    <t>[3 120 / 1,22] +  3% Трансп +  2% Заг.скл</t>
  </si>
  <si>
    <t>4</t>
  </si>
  <si>
    <t>3.10-21-1</t>
  </si>
  <si>
    <t>Установка блоков в наружных и внутренних дверных проемах в каменных стенах площадь проема до 3 м2</t>
  </si>
  <si>
    <t>100 м2 проемов</t>
  </si>
  <si>
    <t>ТСН-2001.3 Доп. 79, Сб. 10, т. 21, поз. 1</t>
  </si>
  <si>
    <t>*1,15</t>
  </si>
  <si>
    <t>Строительные работы</t>
  </si>
  <si>
    <t>ТСН-2001.3-10. Элементы и конструкции из дерева и пластмасс</t>
  </si>
  <si>
    <t>ТСН-2001.3-10-1</t>
  </si>
  <si>
    <t>4,1</t>
  </si>
  <si>
    <t>Блок дверной, деревянный, внутренний, однопольный, глухой, размер дверного проема 2070х910 мм, площадь 1,8 м2</t>
  </si>
  <si>
    <t>шт.</t>
  </si>
  <si>
    <t>[12 000 / 1,22] +  3% Трансп +  2% Заг.скл</t>
  </si>
  <si>
    <t>4,2</t>
  </si>
  <si>
    <t>1.8-3-8</t>
  </si>
  <si>
    <t>Замок врезной, типа ЗВ4-14</t>
  </si>
  <si>
    <t>КОМПЛЕКТ</t>
  </si>
  <si>
    <t>ТСН-2001.1 Доп. 76, Р. 8, о. 3, поз. 8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</si>
  <si>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</si>
  <si>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</si>
  <si>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</si>
  <si>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</si>
  <si>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</si>
  <si>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</si>
  <si>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</si>
  <si>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</si>
  <si>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</si>
  <si>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</si>
  <si>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</si>
  <si>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</si>
  <si>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</si>
  <si>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</si>
  <si>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</si>
  <si>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</si>
  <si>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</si>
  <si>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</si>
  <si>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</si>
  <si>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</si>
  <si>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</si>
  <si>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</si>
  <si>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</si>
  <si>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</si>
  <si>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</si>
  <si>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</si>
  <si>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</si>
  <si>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</si>
  <si>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</si>
  <si>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</si>
  <si>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</si>
  <si>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</si>
  <si>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</si>
  <si>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</si>
  <si>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</si>
  <si>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</si>
  <si>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</si>
  <si>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</si>
  <si>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</si>
  <si>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</si>
  <si>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</si>
  <si>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</si>
  <si>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</si>
  <si>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</si>
  <si>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</si>
  <si>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</si>
  <si>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</si>
  <si>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</si>
  <si>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</si>
  <si>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</si>
  <si>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</si>
  <si>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</si>
  <si>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</si>
  <si>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</si>
  <si>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Полы</t>
  </si>
  <si>
    <t>5</t>
  </si>
  <si>
    <t>6.57-3-1</t>
  </si>
  <si>
    <t>Разборка деревянных плинтусов</t>
  </si>
  <si>
    <t>100 м плинтусов</t>
  </si>
  <si>
    <t>ТСН-2001.6. Доп. 1-42. Сб. 57, т. 3, поз. 1</t>
  </si>
  <si>
    <t>ТСН-2001.6-57. Полы</t>
  </si>
  <si>
    <t>ТСН-2001.6-57-1</t>
  </si>
  <si>
    <t>6</t>
  </si>
  <si>
    <t>6.57-2-4</t>
  </si>
  <si>
    <t>Разборка покрытий из штучного паркета на мастике</t>
  </si>
  <si>
    <t>100 м2 покрытия</t>
  </si>
  <si>
    <t>ТСН-2001.6. Доп. 1-42. Сб. 57, т. 2, поз. 4</t>
  </si>
  <si>
    <t>7</t>
  </si>
  <si>
    <t>6.57-1-3</t>
  </si>
  <si>
    <t>Разборка простильных полов</t>
  </si>
  <si>
    <t>100 м2 основания</t>
  </si>
  <si>
    <t>ТСН-2001.6. Доп. 1-42. Сб. 57, т. 1, поз. 3</t>
  </si>
  <si>
    <t>8</t>
  </si>
  <si>
    <t>3.11-45-1</t>
  </si>
  <si>
    <t>Устройство тепло - и звукоизоляции пола из фанеры</t>
  </si>
  <si>
    <t>ТСН-2001.3 Доп. 80, Сб. 11, т. 45, поз. 1</t>
  </si>
  <si>
    <t>ТСН-2001.3-11. Полы</t>
  </si>
  <si>
    <t>ТСН-2001.3-11-1</t>
  </si>
  <si>
    <t>8,1</t>
  </si>
  <si>
    <t>1.1-1-3383</t>
  </si>
  <si>
    <t>Дюбель-гвоздь стальной, диаметр 6 мм, длина 40 мм</t>
  </si>
  <si>
    <t>ТСН-2001.1 Доп. 79, Р. 1, о. 1, поз. 3383</t>
  </si>
  <si>
    <t>8,2</t>
  </si>
  <si>
    <t>1.1-1-394</t>
  </si>
  <si>
    <t>Мастика клеящая каучуковая, типа КН-2</t>
  </si>
  <si>
    <t>кг</t>
  </si>
  <si>
    <t>ТСН-2001.1 Доп. 79, Р. 1, о. 1, поз. 394</t>
  </si>
  <si>
    <t>8,3</t>
  </si>
  <si>
    <t>1.1-1-1308</t>
  </si>
  <si>
    <t>Фанера березовая общего назначения, шлифованная с двух сторон, водостойкая, для внутреннего использования, марка ФК, сорт I/II, толщина 10 мм</t>
  </si>
  <si>
    <t>м3</t>
  </si>
  <si>
    <t>ТСН-2001.1 Доп. 79, Р. 1, о. 1, поз. 1308</t>
  </si>
  <si>
    <t>3.11-10-11</t>
  </si>
  <si>
    <t>Устройство самовыравнивающихся стяжек из специализированных сухих смесей толщиной 5 мм</t>
  </si>
  <si>
    <t>100 м2 стяжки</t>
  </si>
  <si>
    <t>ТСН-2001.3 Доп. 71, Сб. 11, т. 10, поз. 11</t>
  </si>
  <si>
    <t>Смеси сухие самовыравнивающиеся Ветонит, 20 кг</t>
  </si>
  <si>
    <t>ШТ</t>
  </si>
  <si>
    <t>[1 356 / 1,22] +  3% Трансп +  2% Заг.скл</t>
  </si>
  <si>
    <t>1.1-1-3257</t>
  </si>
  <si>
    <t>Грунтовка водно-дисперсионная высококонцентрированная глубокопроникающая универсальная</t>
  </si>
  <si>
    <t>ТСН-2001.1 Доп. 79, Р. 1, о. 1, поз. 3257</t>
  </si>
  <si>
    <t>3.11-10-12</t>
  </si>
  <si>
    <t>Добавляется или исключается на каждый 1 мм изменения толщины стяжки к позиции 3.11-10-11</t>
  </si>
  <si>
    <t>ТСН-2001.3 Доп. 68, Сб. 11, т. 10, поз. 12</t>
  </si>
  <si>
    <t>Поправка: 
Наименование:
Поправка: 
Наименование:</t>
  </si>
  <si>
    <t>*6*1,15</t>
  </si>
  <si>
    <t>Поправка:
Поправка:</t>
  </si>
  <si>
    <t>3.11-47-1</t>
  </si>
  <si>
    <t>Укладка тактильных плиток (указателей) поливинилхлоридных размером 300х300х4 мм на клее (применительно)</t>
  </si>
  <si>
    <t>10 шт.</t>
  </si>
  <si>
    <t>ТСН-2001.3 Доп. 71, Сб. 11, т. 47, поз. 1</t>
  </si>
  <si>
    <t>Плитка кварцвиниловая</t>
  </si>
  <si>
    <t>м2</t>
  </si>
  <si>
    <t>[3 900 / 1,22] +  3% Трансп +  2% Заг.скл</t>
  </si>
  <si>
    <t>9</t>
  </si>
  <si>
    <t>3.70-199-1</t>
  </si>
  <si>
    <t>Устройство ламинированного напольного покрытия бесклеевым (замковым) способом</t>
  </si>
  <si>
    <t>ТСН-2001.3 Доп. 78, Сб. 70, т. 199, поз. 1</t>
  </si>
  <si>
    <t>ТСН-2001.3-70. Полы</t>
  </si>
  <si>
    <t>ТСН-2001.3-70-6</t>
  </si>
  <si>
    <t>10</t>
  </si>
  <si>
    <t>3.11-29-3</t>
  </si>
  <si>
    <t>Устройство плинтусов поливинилхлоридных на винтах самонарезающих</t>
  </si>
  <si>
    <t>ТСН-2001.3 Доп. 79, Сб. 11, т. 29, поз. 3</t>
  </si>
  <si>
    <t>10,1</t>
  </si>
  <si>
    <t>1.9-12-127</t>
  </si>
  <si>
    <t>Соединитель из ПВХ, для плинтуса, высота 55 мм</t>
  </si>
  <si>
    <t>ТСН-2001.1 Доп. 80, Р. 9, о. 12, поз. 127</t>
  </si>
  <si>
    <t>10,2</t>
  </si>
  <si>
    <t>1.9-12-128</t>
  </si>
  <si>
    <t>Угол из ПВХ внутренний, для плинтуса, высота 55 мм</t>
  </si>
  <si>
    <t>ТСН-2001.1 Доп. 80, Р. 9, о. 12, поз. 128</t>
  </si>
  <si>
    <t>10,3</t>
  </si>
  <si>
    <t>1.9-12-129</t>
  </si>
  <si>
    <t>Угол из ПВХ наружный, для плинтуса, высота 55 мм</t>
  </si>
  <si>
    <t>ТСН-2001.1 Доп. 80, Р. 9, о. 12, поз. 129</t>
  </si>
  <si>
    <t>10,4</t>
  </si>
  <si>
    <t>1.1-1-289</t>
  </si>
  <si>
    <t>Плинтус напольный из ПВХ, с кабель-каналом, высота от 55 до 62 мм, толщина от 22 до 25 мм</t>
  </si>
  <si>
    <t>м</t>
  </si>
  <si>
    <t>ТСН-2001.1 Доп. 67, Р. 1, о. 1, поз. 289</t>
  </si>
  <si>
    <t>11</t>
  </si>
  <si>
    <t>3.11-39-1</t>
  </si>
  <si>
    <t>Укладка металлической накладной полосы (порожка)</t>
  </si>
  <si>
    <t>100 м</t>
  </si>
  <si>
    <t>ТСН-2001.3 Доп. 79, Сб. 11, т. 39, поз. 1</t>
  </si>
  <si>
    <t>11,1</t>
  </si>
  <si>
    <t>1.7-12-31</t>
  </si>
  <si>
    <t>Профиль алюминиевый, ширина 40 мм, типа СПА 3505</t>
  </si>
  <si>
    <t>ТСН-2001.1 Доп. 67, Р. 7, о. 12, поз. 31</t>
  </si>
  <si>
    <t>Стены</t>
  </si>
  <si>
    <t>12</t>
  </si>
  <si>
    <t>6.62-31-1</t>
  </si>
  <si>
    <t>Расчистка поверхностей от старых покрасок (шпателем, щетками и т.д.)</t>
  </si>
  <si>
    <t>1 м2 поверхности</t>
  </si>
  <si>
    <t>ТСН-2001.6. Доп. 1-42. Сб. 62, т. 31, поз. 1</t>
  </si>
  <si>
    <t>ТСН-2001.6-62. Малярные работы</t>
  </si>
  <si>
    <t>ТСН-2001.6-62-1</t>
  </si>
  <si>
    <t>13</t>
  </si>
  <si>
    <t>6.61-2-3</t>
  </si>
  <si>
    <t>Ремонт штукатурки внутренних стен по камню и бетону известковым раствором при площади до 5 м2 толщиной слоя до 20 мм</t>
  </si>
  <si>
    <t>ТСН-2001.6. Доп. 1-42. Сб. 61, т. 2, поз. 3</t>
  </si>
  <si>
    <t>ТСН-2001.6-61. Штукатурные работы</t>
  </si>
  <si>
    <t>ТСН-2001.6-61-1</t>
  </si>
  <si>
    <t>13,1</t>
  </si>
  <si>
    <t>1.3-2-15</t>
  </si>
  <si>
    <t>Раствор известковый, марка М4</t>
  </si>
  <si>
    <t>ТСН-2001.1 Доп. 79, Р. 3, о. 2, поз. 15</t>
  </si>
  <si>
    <t>14</t>
  </si>
  <si>
    <t>3.15-176-11</t>
  </si>
  <si>
    <t>Высококачественная окраска водно-дисперсионными составами стен по сборным конструкциям, подготовленным под окраску, внутри помещений</t>
  </si>
  <si>
    <t>ТСН-2001.3 Доп. 79, Сб. 15, т. 176, поз. 11</t>
  </si>
  <si>
    <t>ТСН-2001.3-15. Отделочные работы</t>
  </si>
  <si>
    <t>ТСН-2001.3-15-1</t>
  </si>
  <si>
    <t>14,1</t>
  </si>
  <si>
    <t>1.1-1-441</t>
  </si>
  <si>
    <t>Краска водно-дисперсионная, акриловая, типа ВДА-Н</t>
  </si>
  <si>
    <t>т</t>
  </si>
  <si>
    <t>ТСН-2001.1 Доп. 79, Р. 1, о. 1, поз. 441</t>
  </si>
  <si>
    <t>14,2</t>
  </si>
  <si>
    <t>14,3</t>
  </si>
  <si>
    <t>1.3-2-205</t>
  </si>
  <si>
    <t>ТСН-2001.1 Доп. 70, Р. 3, о. 2, поз. 205</t>
  </si>
  <si>
    <t>15</t>
  </si>
  <si>
    <t>3.15-107-4</t>
  </si>
  <si>
    <t>Масляная окраска белилами с добавлением колера металлических решеток, переплетов, труб, диаметром менее 50 мм и т.п. за два раза</t>
  </si>
  <si>
    <t>100 м2 окрашиваемой поверхности</t>
  </si>
  <si>
    <t>ТСН-2001.3 Доп. 71, Сб. 15, т. 107, поз. 4</t>
  </si>
  <si>
    <t>15,1</t>
  </si>
  <si>
    <t>1.1-1-462</t>
  </si>
  <si>
    <t>Краска масляная жидкотертая цветная (готовая к употреблению) для наружных и внутренних работ, типа МА-22</t>
  </si>
  <si>
    <t>ТСН-2001.1 Доп. 79, Р. 1, о. 1, поз. 462</t>
  </si>
  <si>
    <t>15,2</t>
  </si>
  <si>
    <t>1.1-1-732</t>
  </si>
  <si>
    <t>Олифа для окраски комбинированная, типа Оксоль</t>
  </si>
  <si>
    <t>ТСН-2001.1 Доп. 67, Р. 1, о. 1, поз. 732</t>
  </si>
  <si>
    <t>16</t>
  </si>
  <si>
    <t>6.65-25-1</t>
  </si>
  <si>
    <t>Смена вентиляционных решеток</t>
  </si>
  <si>
    <t>ТСН-2001.6 Доп. 79, Сб. 65, т. 25, поз. 1</t>
  </si>
  <si>
    <t>ТСН-2001.6-65. Внутренние санитарно-технические работы: смена труб, санприборов, запорной арматуры и другое</t>
  </si>
  <si>
    <t>ТСН-2001.6-65-2</t>
  </si>
  <si>
    <t>16,1</t>
  </si>
  <si>
    <t>1.19-11-174</t>
  </si>
  <si>
    <t>Решетка стальная вентиляционная, жалюзийная, регулируемая, типа РС-Г, размер 225х75 мм</t>
  </si>
  <si>
    <t>ТСН-2001.1 Доп. 67, Р. 19, о. 11, поз. 174</t>
  </si>
  <si>
    <t>17</t>
  </si>
  <si>
    <t>3.11-38-1</t>
  </si>
  <si>
    <t>Устройство пароизоляции из полиэтиленовой пленки в один слой насухо</t>
  </si>
  <si>
    <t>ТСН-2001.3 Доп. 71, Сб. 11, т. 38, поз. 1</t>
  </si>
  <si>
    <t>17,1</t>
  </si>
  <si>
    <t>1.1-1-2493</t>
  </si>
  <si>
    <t>Пленка полиэтиленовая, толщина от 200 до 300 мкм</t>
  </si>
  <si>
    <t>ТСН-2001.1 Доп. 81, Р. 1, о. 1, поз. 2493</t>
  </si>
  <si>
    <t>18</t>
  </si>
  <si>
    <t>Устройство пароизоляции из полиэтиленовой пленки в один слой насухо/снятие</t>
  </si>
  <si>
    <t>*0,8</t>
  </si>
  <si>
    <t>Поправка: Гл.12.Прил.8.п.8. 4_12.00.01.11.002
Поправка: Гл.6.Прил.2.2.п.2.2.12_06.00.01.35.002</t>
  </si>
  <si>
    <t>Подраздел: Потолки</t>
  </si>
  <si>
    <t>19</t>
  </si>
  <si>
    <t>7.8-2-1</t>
  </si>
  <si>
    <t>Отбивка штукатурки с кирпичных и бетонных поверхностей стен и потолков отдельными местами</t>
  </si>
  <si>
    <t>1 М2 ОТБИТОЙ ШТУКАТУРКИ</t>
  </si>
  <si>
    <t>ТСН-2001.7. Доп. 1-42. Сб. 8, т. 2, поз. 1</t>
  </si>
  <si>
    <t>Реставрационно-восстановительные работы</t>
  </si>
  <si>
    <t>ТСН-2001.7. Реставрационно-восстановительные работы</t>
  </si>
  <si>
    <t>ТСН-2001.7</t>
  </si>
  <si>
    <t>19,1</t>
  </si>
  <si>
    <t>1.1-1-2003</t>
  </si>
  <si>
    <t>ТСН-2001.1 Доп. 79, Р. 1, о. 1, поз. 2003</t>
  </si>
  <si>
    <t>20</t>
  </si>
  <si>
    <t>6.61-1-2</t>
  </si>
  <si>
    <t>Сплошное выравнивание штукатурки стен, внутри здания цементно-известковым раствором при толщине намета до 10 мм</t>
  </si>
  <si>
    <t>ТСН-2001.6. Доп. 1-42. Сб. 61, т. 1, поз. 2</t>
  </si>
  <si>
    <t>20,1</t>
  </si>
  <si>
    <t>1.3-2-120</t>
  </si>
  <si>
    <t>ТСН-2001.1 Доп. 79, Р. 3, о. 2, поз. 120</t>
  </si>
  <si>
    <t>20,2</t>
  </si>
  <si>
    <t>1.1-1-1856</t>
  </si>
  <si>
    <t>ТСН-2001.1 Доп. 79, Р. 1, о. 1, поз. 1856</t>
  </si>
  <si>
    <t>21</t>
  </si>
  <si>
    <t>3.15-176-10</t>
  </si>
  <si>
    <t>Высококачественная окраска водно-дисперсионными составами потолков по штукатурке внутри помещений</t>
  </si>
  <si>
    <t>ТСН-2001.3 Доп. 79, Сб. 15, т. 176, поз. 10</t>
  </si>
  <si>
    <t>21,1</t>
  </si>
  <si>
    <t>1.1-1-443</t>
  </si>
  <si>
    <t>Краски водно-дисперсионные акриловые, марка ВД-АК-104</t>
  </si>
  <si>
    <t>ТСН-2001.1 Доп. 79, Р. 1, о. 1, поз. 443</t>
  </si>
  <si>
    <t>21,2</t>
  </si>
  <si>
    <t>21,3</t>
  </si>
  <si>
    <t>1.3-2-193</t>
  </si>
  <si>
    <t>Смесь сухая, шпаклевочная, гипсовая, быстротвердеющие с химическими добавками, плотность раствора 1750 кг/м3, адгезионная прочность сцепления не менее 0,5 МПа, крупность заполнителя 0,2 мм, для высококачественного финишного выравнивания поверхности</t>
  </si>
  <si>
    <t>ТСН-2001.1 Доп. 67, Р. 3, о. 2, поз. 193</t>
  </si>
  <si>
    <t>Раздел: Вывоз мусора</t>
  </si>
  <si>
    <t>22</t>
  </si>
  <si>
    <t>6.66-86-1</t>
  </si>
  <si>
    <t>Погрузка вручную строительного мусора в самосвал</t>
  </si>
  <si>
    <t>1 Т</t>
  </si>
  <si>
    <t>ТСН-2001.6 Доп. 68, Сб. 66, т. 86, поз. 1</t>
  </si>
  <si>
    <t>ТСН-2001.6-66. Наружные инженерные сети: замена участков трубопроводов, восстановление и замена изделий и другое</t>
  </si>
  <si>
    <t>ТСН-2001.6-66-2</t>
  </si>
  <si>
    <t>23</t>
  </si>
  <si>
    <t>15.2-109-42</t>
  </si>
  <si>
    <t>Перевозка строительного мусора на расстояние до 109 км автосамосвалами грузоподъемностью до 10 т</t>
  </si>
  <si>
    <t>ТСН-2001.15 Доп. 80, Сб. 2, т. 109, поз. 42</t>
  </si>
  <si>
    <t>Транспортные затраты</t>
  </si>
  <si>
    <t>ТСН-2001.15. Перевозка строительных грузов автомобильным транспортом</t>
  </si>
  <si>
    <t>ТСН-2001.15-1</t>
  </si>
  <si>
    <t>и1</t>
  </si>
  <si>
    <t>Итого</t>
  </si>
  <si>
    <t>и2</t>
  </si>
  <si>
    <t>НДС 22%</t>
  </si>
  <si>
    <t>и3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</si>
  <si>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</si>
  <si>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</si>
  <si>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</si>
  <si>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</si>
  <si>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3_КАП_РЕМ_ИТО</t>
  </si>
  <si>
    <t>{вкл} - Кап. ремонт сетей ИТО, кап. ремонт дорог и инженерных сооружений (в т.ч. гидротехнических сооружений, мостов, путепроводов и т.п.), кап. ремонт объектов производственного назначения  {выкл} - Ремонт обычных объектов</t>
  </si>
  <si>
    <t>3.27_АВТО</t>
  </si>
  <si>
    <t>{вкл} - НР и СП по п.18.1 "Автомобильные дороги"  {выкл} - НР и СП по п.18.2 "Устройство покрытий дорожек, тротуаров, мостовых и площадок и прочее"  Табл. 3.27-121, расценки 3.27-26-1...4</t>
  </si>
  <si>
    <t>3.29_ЗАКР</t>
  </si>
  <si>
    <t>{вкл} - Тоннели и метрополитены: закрытый способ работ  {выкл} - Тоннели и метрополитены: открытый способ работ  Отдел 1.5; таблицы 3.29-1905...1906</t>
  </si>
  <si>
    <t>4.10_МЕЖГ</t>
  </si>
  <si>
    <t>{вкл} - Прокладка и монтаж междугородных линий связи  {выкл} - Прокладка и монтаж сетей связи  Раздел 1.7.3...1.7.5</t>
  </si>
  <si>
    <t>4_РЕМ</t>
  </si>
  <si>
    <t>Кап.ремонт объектов, находящихся в эксплуатации  {вкл} - применение нормативов НР и СП при ремонте объектов в эксплуатации  {выкл} - применение нормативов НР и СП на обычные объекты</t>
  </si>
  <si>
    <t>Текущий уровень цен</t>
  </si>
  <si>
    <t>Сборник индексов</t>
  </si>
  <si>
    <t>Коэффициенты к ТСН-2001 МГЭ Дополнение 81, ремонт</t>
  </si>
  <si>
    <t>220</t>
  </si>
  <si>
    <t>_OBSM_</t>
  </si>
  <si>
    <t>9999990008</t>
  </si>
  <si>
    <t>Трудозатраты рабочих</t>
  </si>
  <si>
    <t>чел.-ч.</t>
  </si>
  <si>
    <t>9999990001</t>
  </si>
  <si>
    <t>Масса мусора</t>
  </si>
  <si>
    <t>1.1-1-1019</t>
  </si>
  <si>
    <t>ТСН-2001.1 Доп. 79, Р. 1, о. 1, поз. 1019</t>
  </si>
  <si>
    <t>Материал рулонный кровельный и гидроизоляционный, рубероид типа РКП-350, на основе кровельного картона, с пылевидной посыпкой с двух сторон, разрывная сила при растяжении не менее 280 Н, температура гибкости не выше +5°С, теплостойкость не ниже +80°С, для</t>
  </si>
  <si>
    <t>1.1-1-132</t>
  </si>
  <si>
    <t>ТСН-2001.1 Доп. 79, Р. 1, о. 1, поз. 132</t>
  </si>
  <si>
    <t>Гвозди строительные</t>
  </si>
  <si>
    <t>1.1-1-146</t>
  </si>
  <si>
    <t>ТСН-2001.1 Доп. 79, Р. 1, о. 1, поз. 146</t>
  </si>
  <si>
    <t>Гипс строительный</t>
  </si>
  <si>
    <t>1.1-1-740</t>
  </si>
  <si>
    <t>ТСН-2001.1 Доп. 79, Р. 1, о. 1, поз. 740</t>
  </si>
  <si>
    <t>Пакля пропитанная</t>
  </si>
  <si>
    <t>1.1-1-8047</t>
  </si>
  <si>
    <t>ТСН-2001.1 Доп. 79, Р. 1, о. 1, поз. 8047</t>
  </si>
  <si>
    <t>Шурупы с потайной головкой, оцинкованные, шлиц типа TORX, наконечник острый, для бетона, диаметр 7,5 мм, длина 132 мм</t>
  </si>
  <si>
    <t>2.1-18-7</t>
  </si>
  <si>
    <t>ТСН-2001.2. Доп. 68. п.1-18-7 (183001)</t>
  </si>
  <si>
    <t>Автомобили грузовые бортовые, грузоподъемность до 5 т</t>
  </si>
  <si>
    <t>маш.-ч</t>
  </si>
  <si>
    <t>9999990009</t>
  </si>
  <si>
    <t>2.1-3-38</t>
  </si>
  <si>
    <t>ТСН-2001.2. Доп. 68. п.1-3-38 (032009)</t>
  </si>
  <si>
    <t>Краны на автомобильном ходу, грузоподъемность до 16 т</t>
  </si>
  <si>
    <t>2.1-5-63</t>
  </si>
  <si>
    <t>ТСН-2001.2. Доп. 68. п.1-5-63 (059001)</t>
  </si>
  <si>
    <t>Котлы битумоварочные электрические, емкость до 500 л, мощность до 20 кВт</t>
  </si>
  <si>
    <t>1.1-1-1043</t>
  </si>
  <si>
    <t>ТСН-2001.1 Доп. 79, Р. 1, о. 1, поз. 1043</t>
  </si>
  <si>
    <t>Смола каменноугольная строительная</t>
  </si>
  <si>
    <t>1.1-1-133</t>
  </si>
  <si>
    <t>ТСН-2001.1 Доп. 79, Р. 1, о. 1, поз. 133</t>
  </si>
  <si>
    <t>Гвозди толевые</t>
  </si>
  <si>
    <t>1.1-1-226</t>
  </si>
  <si>
    <t>ТСН-2001.1 Доп. 79, Р. 1, о. 1, поз. 226</t>
  </si>
  <si>
    <t>Пиломатериал (доска) обрезной хвойных пород естественной влажности, сорт III, толщина 25 мм, ширина от 100 до 200 мм</t>
  </si>
  <si>
    <t>1.1-1-764</t>
  </si>
  <si>
    <t>ТСН-2001.1 Доп. 79, Р. 1, о. 1, поз. 764</t>
  </si>
  <si>
    <t>Материал рулонный кровельный, беспокровный, пергамин типа П-350</t>
  </si>
  <si>
    <t>2.1-14-13</t>
  </si>
  <si>
    <t>ТСН-2001.2. Доп. 68. п.1-14-13 (148501)</t>
  </si>
  <si>
    <t>Пылесосы строительные (промышленные)</t>
  </si>
  <si>
    <t>2.1-30-102</t>
  </si>
  <si>
    <t>ТСН-2001.2. Доп. 68. п.1-30-102 (303704)</t>
  </si>
  <si>
    <t>Дрели, мощность до 800 Вт</t>
  </si>
  <si>
    <t>2.1-30-24</t>
  </si>
  <si>
    <t>ТСН-2001.2. Доп. 80. п.1-30-24 (305901)</t>
  </si>
  <si>
    <t>Машины для шлифовки паркета дисковые, мощность до 2300 Вт</t>
  </si>
  <si>
    <t>2.1-30-27</t>
  </si>
  <si>
    <t>ТСН-2001.2. Доп. 68. п.1-30-27 (306101)</t>
  </si>
  <si>
    <t>Пилы дисковые электрические</t>
  </si>
  <si>
    <t>2.1-4-8</t>
  </si>
  <si>
    <t>ТСН-2001.2. Доп. 68. п.1-4-8 (040201)</t>
  </si>
  <si>
    <t>Автопогрузчики вилочные, грузоподъемность до 1 т</t>
  </si>
  <si>
    <t>1.1-1-1463</t>
  </si>
  <si>
    <t>ТСН-2001.1 Доп. 79, Р. 1, о. 1, поз. 1463</t>
  </si>
  <si>
    <t>Бумага наждачная шлифовальная</t>
  </si>
  <si>
    <t>1.1-1-1589</t>
  </si>
  <si>
    <t>ТСН-2001.1 Доп. 79, Р. 1, о. 1, поз. 1589</t>
  </si>
  <si>
    <t>Этилацетат (эфир этиловый) чистый</t>
  </si>
  <si>
    <t>1.1-1-41</t>
  </si>
  <si>
    <t>ТСН-2001.1 Доп. 79, Р. 1, о. 1, поз. 41</t>
  </si>
  <si>
    <t>Бензин неэтилированный, марка АИ-92</t>
  </si>
  <si>
    <t>2.1-30-103</t>
  </si>
  <si>
    <t>ТСН-2001.2. Доп. 68. п.1-30-103 (304104)</t>
  </si>
  <si>
    <t>Перфораторы, мощность до 1,2 кВт</t>
  </si>
  <si>
    <t>1.1-1-118</t>
  </si>
  <si>
    <t>ТСН-2001.1. Доп. 1-42. Р. 1, о. 1, поз. 118</t>
  </si>
  <si>
    <t>Вода</t>
  </si>
  <si>
    <t>1.1-1-2492</t>
  </si>
  <si>
    <t>ТСН-2001.1 Доп. 81, Р. 1, о. 1, поз. 2492</t>
  </si>
  <si>
    <t>Пленка полиэтиленовая, толщина 80 мкм</t>
  </si>
  <si>
    <t>1.1-1-3379</t>
  </si>
  <si>
    <t>ТСН-2001.1 Доп. 79, Р. 1, о. 1, поз. 3379</t>
  </si>
  <si>
    <t>Клей акриловый, универсальный, высокопрочный, для приклеивания напольных и тяжелых типов настенных покрытий</t>
  </si>
  <si>
    <t>1.1-1-3552</t>
  </si>
  <si>
    <t>ТСН-2001.1 Доп. 79, Р. 1, о. 1, поз. 3552</t>
  </si>
  <si>
    <t>Грунтовка акриловая концентрированная универсальная с высокой клеевой и проникающей способностью</t>
  </si>
  <si>
    <t>л</t>
  </si>
  <si>
    <t>2.1-30-33</t>
  </si>
  <si>
    <t>ТСН-2001.2. Доп. 68. п.1-30-33 (306701)</t>
  </si>
  <si>
    <t>Лобзики электрические</t>
  </si>
  <si>
    <t>2.1-4-9</t>
  </si>
  <si>
    <t>ТСН-2001.2. Доп. 68. п.1-4-9 (040202)</t>
  </si>
  <si>
    <t>Автопогрузчики вилочные, грузоподъемность до 2 т</t>
  </si>
  <si>
    <t>1.1-1-2579</t>
  </si>
  <si>
    <t>ТСН-2001.1. Доп. 1-42. Р. 1, о. 1, поз. 2579</t>
  </si>
  <si>
    <t>Лента-скотч малярный, ширина 50 мм</t>
  </si>
  <si>
    <t>2.1-30-56</t>
  </si>
  <si>
    <t>ТСН-2001.2. Доп. 68. п.1-30-56 (309101)</t>
  </si>
  <si>
    <t>Шуруповерты</t>
  </si>
  <si>
    <t>1.1-1-3673</t>
  </si>
  <si>
    <t>ТСН-2001.1 Доп. 79, Р. 1, о. 1, поз. 3673</t>
  </si>
  <si>
    <t>Винт самонарезающий, оцинкованный, диаметр 4,8 мм, длина 50 мм</t>
  </si>
  <si>
    <t>1.1-1-3693</t>
  </si>
  <si>
    <t>ТСН-2001.1 Доп. 80, Р. 1, о. 1, поз. 3693</t>
  </si>
  <si>
    <t>Дюбель распорный пластмассовый, диаметр 6 мм, длина 40 мм</t>
  </si>
  <si>
    <t>1.1-1-116</t>
  </si>
  <si>
    <t>ТСН-2001.1 Доп. 79, Р. 1, о. 1, поз. 116</t>
  </si>
  <si>
    <t>Винты самонарезающие, оцинкованные, с потайной головкой, двухзаходная резьба, длина 25 мм</t>
  </si>
  <si>
    <t>2.1-4-12</t>
  </si>
  <si>
    <t>ТСН-2001.2. Доп. 68. п.1-4-12 (040205)</t>
  </si>
  <si>
    <t>Автопогрузчики вилочные, грузоподъемность до 5 т</t>
  </si>
  <si>
    <t>2.1-6-61</t>
  </si>
  <si>
    <t>ТСН-2001.2. Доп. 74. п.1-6-61 (067601)</t>
  </si>
  <si>
    <t>Миксеры ручные, мощность до 1,6 кВт</t>
  </si>
  <si>
    <t>1.1-1-115</t>
  </si>
  <si>
    <t>ТСН-2001.1. Доп. 1-42. Р. 1, о. 1, поз. 115</t>
  </si>
  <si>
    <t>Ветошь</t>
  </si>
  <si>
    <t>2.1-18-24</t>
  </si>
  <si>
    <t>ТСН-2001.2. Доп. 68. п.1-18-24 (183102)</t>
  </si>
  <si>
    <t>Автомобили грузопассажирские, грузоподъемность до 2 т</t>
  </si>
  <si>
    <t>9999990007</t>
  </si>
  <si>
    <t>Стоимость прочих машин (ЭСН)</t>
  </si>
  <si>
    <t>руб.</t>
  </si>
  <si>
    <t>5361520000</t>
  </si>
  <si>
    <t>4980000000</t>
  </si>
  <si>
    <t>Изделия скобяные</t>
  </si>
  <si>
    <t>5361110000</t>
  </si>
  <si>
    <t>Блоки дверные</t>
  </si>
  <si>
    <t>1271714000</t>
  </si>
  <si>
    <t>Дюбель-гвозди, (459680) шурупы-саморезы</t>
  </si>
  <si>
    <t>2513110000</t>
  </si>
  <si>
    <t>Мастики клеящие каучуковые типа КН-2, КН-3, "Перминид" (2385120000)</t>
  </si>
  <si>
    <t>5512000000</t>
  </si>
  <si>
    <t>Фанера клееная обрезная</t>
  </si>
  <si>
    <t>2316215000</t>
  </si>
  <si>
    <t>Грунтовка</t>
  </si>
  <si>
    <t>5745130000</t>
  </si>
  <si>
    <t>Смеси сухие самовыравнивающиеся</t>
  </si>
  <si>
    <t>2249320000</t>
  </si>
  <si>
    <t>Плитка тактильная поливинилхлоридная</t>
  </si>
  <si>
    <t>2244110000</t>
  </si>
  <si>
    <t>Подложки под покрытия напольные ламинированные (2246100000, 2246490000, 5768693000)</t>
  </si>
  <si>
    <t>5361850000</t>
  </si>
  <si>
    <t>Покрытия напольные ламинированные</t>
  </si>
  <si>
    <t>5772003000</t>
  </si>
  <si>
    <t>Фурнитура из ПВХ</t>
  </si>
  <si>
    <t>5772112000</t>
  </si>
  <si>
    <t>Плинтусы ПВХ</t>
  </si>
  <si>
    <t>5275220000</t>
  </si>
  <si>
    <t>Планка накладная (профиль СПА)</t>
  </si>
  <si>
    <t>5745520000</t>
  </si>
  <si>
    <t>Растворы известковые, марки 4</t>
  </si>
  <si>
    <t>2316000000</t>
  </si>
  <si>
    <t>Краски водно-дисперсионные (2321240000, 2388400000)</t>
  </si>
  <si>
    <t>Грунтовки водно-дисперсионные (2312951000, 2313631000)</t>
  </si>
  <si>
    <t>5745121000</t>
  </si>
  <si>
    <t>Смеси сухие шпатлевочные на гипсовом вяжущем</t>
  </si>
  <si>
    <t>2317220000</t>
  </si>
  <si>
    <t>Краски масляные (готовые к употреблению)</t>
  </si>
  <si>
    <t>2318320000</t>
  </si>
  <si>
    <t>Олифа комбинированная (оксоль)</t>
  </si>
  <si>
    <t>4863630000</t>
  </si>
  <si>
    <t>Решетки вентиляционные</t>
  </si>
  <si>
    <t>2245190000</t>
  </si>
  <si>
    <t>Пленка полиэтиленовая</t>
  </si>
  <si>
    <t>Раствор цементно-известковый, марки 75</t>
  </si>
  <si>
    <t>Гл.12.Прил.8.п.8. 4_12.00.01.11.002</t>
  </si>
  <si>
    <t>Глава 12</t>
  </si>
  <si>
    <t>Поправка: Гл.12.Прил.8.п.8. 4_12.00.01.11.002
Наименование: При наличии напряженных и стесненных условий производства работ (стесненность, сложность складирования и транспортной логистики и т.п.) для объектов, расположенных за пределами территории, указанной в подпункте "а" пункта 3.4.30 ТСН-2001.12, но в пределах Третьего транспортного кольца города Москвы</t>
  </si>
  <si>
    <t>Материал рулонный кровельный и гидроизоляционный, рубероид типа РКП-350, на основе кровельного картона, с пылевидной посыпкой с двух сторон, разрывная сила при растяжении не менее 280 Н, температура гибкости не выше +5°С, теплостойкость не ниже +80°С, для верхнего слоя кровельного ковра с защитным слоем и для нижних слоев кровельного ковра</t>
  </si>
  <si>
    <t>Поправка: Гл.12.Прил.8.п.8. 4_12.00.01.11.002_x000D_
Наименование: При наличии напряженных и стесненных условий производства работ (стесненность, сложность складирования и транспортной логистики и т.п.) для объектов, расположенных за пределами территории, указанной в подпункте "а" пункта 3.4.30 ТСН-2001.12, но в пределах Третьего транспортного кольца города Москвы</t>
  </si>
  <si>
    <t>При наличии напряженных и стесненных условий производства работ (стесненность, сложность складирования и транспортной логистики и т.п.) для объектов, расположенных за пределами территории, указанной в подпункте "а" пункта 3.4.30 ТСН-2001.12, но в пределах Третьего транспортного кольца города Москвы</t>
  </si>
  <si>
    <t>Смесь сухая, цементная с полимерными добавками и армирующими волокнами, шпатлевочная, финишная, для наружных и внутренних работ, ручного нанесения, прочность на сжатие не менее 4 МПа, прочность сцепления не менее 0,5 МПа, F25, для выравнивания поверхностей бетона и цементных штукатурок, заделки трещин, заполнения отверстий на фасадах зданий и в помещениях с повышенной влажностью</t>
  </si>
  <si>
    <t>Поправка: Гл.12.Прил.8.п.8. 4_12.00.01.11.002
Наименование: При наличии напряженных и стесненных условий производства работ (стесненность, сложность складирования и транспортной логистики и т.п.) для объектов, расположенных за пределами территории, указанной в подпункте "а" пункта 3.4.30 ТСН-2001.12, но в пределах Третьего транспортного кольца города Москвы
Поправка: Гл.6.Прил.2.2.п.2.2.12_06.00.01.35.002
Наименование: При демонтаже сборных деревянных и пластмассовых конструкций</t>
  </si>
  <si>
    <t>Грунтовка водно-дисперсионная, на основе бутадиен стирольного латекса, укрепляющая, глубокого проникновения, с добавлением фунгицида, биоцида, антивспенивателя и ПАВ, без растворителей, для наружных и внутренних работ, для подготовки оснований из бетона, гипса, дерева, кирпича, известняка и прочих сильновпитывающих поверхностей</t>
  </si>
  <si>
    <t>Грунтовка, на водной основе, глубоко проникающая, укрепляющая, для внутренних работ, механизированного и ручного нанесения, плотность 1,0 кг/л, водородный показатель не менее рН 8, для укрепления и грунтования минеральных оснований на гипсовом и цементном вяжущем, обработки пылящих и осыпающихся поверхностей стяжек</t>
  </si>
  <si>
    <t>Смесь сухая цементная с наполнителем из полимерной фибры, ремонтная, безусадочная, сульфатостойкая, наружного применения, прочность на сжатие 60 МПа, прочность на изгиб 8 МПа, прочность сцепления с бетоном 2,5 МПа, W16, F300, крупность заполнителя 3 мм, для конструкционного ремонта бетонных покрытий дорог, аэродромов, мостов, портов, гидротехнических сооружений, бетонных покрытий цехов, армированных, в том числе преднапряженных конструкций, омоноличивания стыков сборных железобетонных конструкций, защиты бетона от агрессивных сред, воздействия морской воды, масел, при глубине разрушений бетона от 20 до 40 мм</t>
  </si>
  <si>
    <t>(наименование стройки и/или объекта)</t>
  </si>
  <si>
    <t>(наименование работ и затрат)</t>
  </si>
  <si>
    <t>В базисном уровне цен</t>
  </si>
  <si>
    <t>В текущем уровне цен</t>
  </si>
  <si>
    <t>Сметная стоимость</t>
  </si>
  <si>
    <t>Работы по монтажу оборудования</t>
  </si>
  <si>
    <t>Оборудование</t>
  </si>
  <si>
    <t>Прочие работы и затраты</t>
  </si>
  <si>
    <t>Средства на оплату труда</t>
  </si>
  <si>
    <t>Затраты труда</t>
  </si>
  <si>
    <t xml:space="preserve">Кроме того: </t>
  </si>
  <si>
    <t>№ п/п</t>
  </si>
  <si>
    <t>Шифр расценки и коды ресурсов</t>
  </si>
  <si>
    <t>Наименование работ и затрат</t>
  </si>
  <si>
    <t>Ед. изм.</t>
  </si>
  <si>
    <t>Кол-во
единиц</t>
  </si>
  <si>
    <t>Цена на
ед. изм.,
руб.</t>
  </si>
  <si>
    <t>Попра-
вочные
коэффи-
циенты</t>
  </si>
  <si>
    <t>Коэффи-
циенты
зимних
удорожа-
ний</t>
  </si>
  <si>
    <t>Всего
затрат в
базисном
уровне цен,
руб.</t>
  </si>
  <si>
    <t>Коэффи-
циенты
(индек-
сы) пере-
счета,
нормы
НР и СП</t>
  </si>
  <si>
    <t>ВСЕГО
затрат в
текущем
уровне цен,
руб.</t>
  </si>
  <si>
    <t>Форма № 4б</t>
  </si>
  <si>
    <t>Составлен(а) по ТСН-2001 с учетом Дополнения №: 81</t>
  </si>
  <si>
    <t>№ и период сборника коэффициентов (индексов) пересчета: Коэффициенты к ТСН-2001 МГЭ Дополнение 81, ремонт №220 II квартал 2026 года</t>
  </si>
  <si>
    <t>ЗП</t>
  </si>
  <si>
    <t>НР от ФОТ</t>
  </si>
  <si>
    <t>%</t>
  </si>
  <si>
    <t>СП от ФОТ</t>
  </si>
  <si>
    <t>ЗТР</t>
  </si>
  <si>
    <t>чел-ч</t>
  </si>
  <si>
    <t>ВСЕГО работ по позиции:</t>
  </si>
  <si>
    <t>ВСЕГО оборудование по позиции:</t>
  </si>
  <si>
    <t>1,15</t>
  </si>
  <si>
    <t>ЭМ</t>
  </si>
  <si>
    <t>в т.ч. ЗПМ</t>
  </si>
  <si>
    <t>МР</t>
  </si>
  <si>
    <t xml:space="preserve">   Итого по ТСН-2001.16</t>
  </si>
  <si>
    <t xml:space="preserve">   Итого возвратных сумм</t>
  </si>
  <si>
    <t>0,8</t>
  </si>
  <si>
    <t xml:space="preserve"> тыс.руб.</t>
  </si>
  <si>
    <t xml:space="preserve">Составил   </t>
  </si>
  <si>
    <t>(должность, подпись, инициалы, фамилия)</t>
  </si>
  <si>
    <t xml:space="preserve">Проверил   </t>
  </si>
  <si>
    <t>"УТВЕРЖДАЮ"</t>
  </si>
  <si>
    <t>___________________________</t>
  </si>
  <si>
    <t>" ___ " ___________ 20 ___ г.</t>
  </si>
  <si>
    <t>Единица измерения</t>
  </si>
  <si>
    <t>Количество</t>
  </si>
  <si>
    <t>Заказчик _________________</t>
  </si>
  <si>
    <t>Подрядчик _________________</t>
  </si>
  <si>
    <t xml:space="preserve">Текущий ремонт кабинета № 809а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</si>
</sst>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\ #,##0.00"/>
    <numFmt numFmtId="165" formatCode="General;\-General;"/>
  </numFmts>
  <fonts count="17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1" fillId="0" borderId="0" xfId="0" applyFont="1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/>
    <xf numFmtId="0" fontId="10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/>
    </xf>
    <xf numFmtId="164" fontId="14" fillId="0" borderId="0" xfId="0" applyNumberFormat="1" applyFont="1"/>
    <xf numFmtId="0" fontId="14" fillId="0" borderId="0" xfId="0" applyFont="1"/>
    <xf numFmtId="0" fontId="10" fillId="0" borderId="0" xfId="0" applyFont="1" applyAlignment="1">
      <alignment horizontal="left"/>
    </xf>
    <xf numFmtId="164" fontId="10" fillId="0" borderId="0" xfId="0" applyNumberFormat="1" applyFont="1"/>
    <xf numFmtId="0" fontId="10" fillId="0" borderId="0" xfId="0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left" wrapText="1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 wrapText="1"/>
    </xf>
    <xf numFmtId="165" fontId="10" fillId="0" borderId="0" xfId="0" applyNumberFormat="1" applyFont="1" applyAlignment="1">
      <alignment horizontal="right" vertical="top" wrapText="1"/>
    </xf>
    <xf numFmtId="164" fontId="10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 wrapText="1"/>
    </xf>
    <xf numFmtId="164" fontId="0" fillId="0" borderId="0" xfId="0" applyNumberFormat="1"/>
    <xf numFmtId="0" fontId="1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/>
    </xf>
    <xf numFmtId="164" fontId="10" fillId="0" borderId="1" xfId="0" applyNumberFormat="1" applyFont="1" applyBorder="1" applyAlignment="1">
      <alignment horizontal="right" vertical="top"/>
    </xf>
    <xf numFmtId="165" fontId="10" fillId="0" borderId="1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/>
    </xf>
    <xf numFmtId="164" fontId="14" fillId="0" borderId="2" xfId="0" applyNumberFormat="1" applyFont="1" applyBorder="1" applyAlignment="1">
      <alignment horizontal="right" vertical="top"/>
    </xf>
    <xf numFmtId="0" fontId="14" fillId="0" borderId="0" xfId="0" applyFont="1" applyAlignment="1">
      <alignment horizontal="right" vertical="top"/>
    </xf>
    <xf numFmtId="164" fontId="14" fillId="0" borderId="0" xfId="0" applyNumberFormat="1" applyFont="1" applyAlignment="1">
      <alignment horizontal="right" vertical="top"/>
    </xf>
    <xf numFmtId="164" fontId="16" fillId="0" borderId="0" xfId="0" applyNumberFormat="1" applyFont="1" applyAlignment="1">
      <alignment horizontal="right" vertical="top"/>
    </xf>
    <xf numFmtId="165" fontId="10" fillId="0" borderId="0" xfId="0" quotePrefix="1" applyNumberFormat="1" applyFont="1" applyAlignment="1">
      <alignment horizontal="right" vertical="top"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1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right" wrapText="1"/>
    </xf>
    <xf numFmtId="0" fontId="10" fillId="0" borderId="4" xfId="0" applyFont="1" applyBorder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07"/>
  <sheetViews>
    <sheetView tabSelected="1" topLeftCell="A76" zoomScaleNormal="100" workbookViewId="0">
      <selection activeCell="A4" sqref="A4:K4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4" width="11.7109375" customWidth="1"/>
    <col min="5" max="6" width="10.140625" bestFit="1" customWidth="1"/>
    <col min="7" max="7" width="8.5703125" bestFit="1" customWidth="1"/>
    <col min="10" max="10" width="11.28515625" bestFit="1" customWidth="1"/>
    <col min="11" max="11" width="10.140625" bestFit="1" customWidth="1"/>
    <col min="14" max="41" width="0" hidden="1" customWidth="1"/>
    <col min="42" max="42" width="129.7109375" hidden="1" customWidth="1"/>
    <col min="43" max="43" width="96" hidden="1" customWidth="1"/>
    <col min="44" max="47" width="0" hidden="1" customWidth="1"/>
  </cols>
  <sheetData>
    <row r="1" spans="1:11" x14ac:dyDescent="0.2">
      <c r="A1" s="13" t="str">
        <f>Source!B1</f>
        <v>Smeta.RU Flash  (495) 974-1589</v>
      </c>
    </row>
    <row r="2" spans="1:11" ht="14.25" x14ac:dyDescent="0.2">
      <c r="A2" s="14"/>
      <c r="B2" s="14"/>
      <c r="C2" s="14"/>
      <c r="D2" s="14"/>
      <c r="E2" s="14"/>
      <c r="F2" s="14"/>
      <c r="G2" s="14"/>
      <c r="H2" s="14"/>
      <c r="I2" s="14"/>
      <c r="J2" s="34" t="s">
        <v>549</v>
      </c>
      <c r="K2" s="34"/>
    </row>
    <row r="3" spans="1:11" ht="15.75" x14ac:dyDescent="0.25">
      <c r="A3" s="15" t="s">
        <v>578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">
      <c r="A4" s="16" t="s">
        <v>527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4.25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x14ac:dyDescent="0.25">
      <c r="A6" s="15" t="str">
        <f>CONCATENATE( "ЛОКАЛЬНАЯ СМЕТА № ",IF(Source!F12&lt;&gt;"Новый объект", Source!F12, ""))</f>
        <v>ЛОКАЛЬНАЯ СМЕТА № ДО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4.25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8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x14ac:dyDescent="0.2">
      <c r="A9" s="19" t="s">
        <v>528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ht="14.25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4.25" x14ac:dyDescent="0.2">
      <c r="A11" s="21" t="str">
        <f>CONCATENATE( "Основание: чертежи № ", Source!J12)</f>
        <v xml:space="preserve">Основание: чертежи № 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14.2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71.25" x14ac:dyDescent="0.2">
      <c r="A13" s="14"/>
      <c r="B13" s="14"/>
      <c r="C13" s="14"/>
      <c r="D13" s="14"/>
      <c r="E13" s="14"/>
      <c r="F13" s="14"/>
      <c r="G13" s="14"/>
      <c r="H13" s="14"/>
      <c r="I13" s="23" t="s">
        <v>529</v>
      </c>
      <c r="J13" s="23" t="s">
        <v>530</v>
      </c>
      <c r="K13" s="14"/>
    </row>
    <row r="14" spans="1:11" ht="15" x14ac:dyDescent="0.25">
      <c r="A14" s="14"/>
      <c r="B14" s="14"/>
      <c r="C14" s="14"/>
      <c r="D14" s="14"/>
      <c r="E14" s="24" t="s">
        <v>531</v>
      </c>
      <c r="F14" s="24"/>
      <c r="G14" s="24"/>
      <c r="H14" s="24"/>
      <c r="I14" s="25">
        <f>I15+I16+I17+I18</f>
        <v>16.95</v>
      </c>
      <c r="J14" s="25">
        <f>J15+J16+J17+J18</f>
        <v>274.05</v>
      </c>
      <c r="K14" s="26" t="s">
        <v>567</v>
      </c>
    </row>
    <row r="15" spans="1:11" ht="14.25" x14ac:dyDescent="0.2">
      <c r="A15" s="14"/>
      <c r="B15" s="14"/>
      <c r="C15" s="14"/>
      <c r="D15" s="14"/>
      <c r="E15" s="27" t="s">
        <v>49</v>
      </c>
      <c r="F15" s="27"/>
      <c r="G15" s="27"/>
      <c r="H15" s="27"/>
      <c r="I15" s="28">
        <f>ROUND(SUM(X1:X297)/1000, 2)</f>
        <v>16.73</v>
      </c>
      <c r="J15" s="28">
        <f>ROUND((Source!F335)/1000, 2)</f>
        <v>270.04000000000002</v>
      </c>
      <c r="K15" s="14" t="s">
        <v>567</v>
      </c>
    </row>
    <row r="16" spans="1:11" ht="14.25" x14ac:dyDescent="0.2">
      <c r="A16" s="14"/>
      <c r="B16" s="14"/>
      <c r="C16" s="14"/>
      <c r="D16" s="14"/>
      <c r="E16" s="27" t="s">
        <v>532</v>
      </c>
      <c r="F16" s="27"/>
      <c r="G16" s="27"/>
      <c r="H16" s="27"/>
      <c r="I16" s="28">
        <f>ROUND(SUM(Y1:Y297)/1000, 2)</f>
        <v>0</v>
      </c>
      <c r="J16" s="28">
        <f>ROUND((Source!F336)/1000, 2)</f>
        <v>0</v>
      </c>
      <c r="K16" s="14" t="s">
        <v>567</v>
      </c>
    </row>
    <row r="17" spans="1:42" ht="14.25" x14ac:dyDescent="0.2">
      <c r="A17" s="14"/>
      <c r="B17" s="14"/>
      <c r="C17" s="14"/>
      <c r="D17" s="14"/>
      <c r="E17" s="27" t="s">
        <v>533</v>
      </c>
      <c r="F17" s="27"/>
      <c r="G17" s="27"/>
      <c r="H17" s="27"/>
      <c r="I17" s="28">
        <f>ROUND(SUM(Z1:Z297)/1000, 2)</f>
        <v>0</v>
      </c>
      <c r="J17" s="28">
        <f>ROUND((Source!F327)/1000, 2)</f>
        <v>0</v>
      </c>
      <c r="K17" s="14" t="s">
        <v>567</v>
      </c>
    </row>
    <row r="18" spans="1:42" ht="14.25" x14ac:dyDescent="0.2">
      <c r="A18" s="14"/>
      <c r="B18" s="14"/>
      <c r="C18" s="14"/>
      <c r="D18" s="14"/>
      <c r="E18" s="27" t="s">
        <v>534</v>
      </c>
      <c r="F18" s="27"/>
      <c r="G18" s="27"/>
      <c r="H18" s="27"/>
      <c r="I18" s="28">
        <f>ROUND(SUM(AA1:AA297)/1000, 2)</f>
        <v>0.22</v>
      </c>
      <c r="J18" s="28">
        <f>ROUND((Source!F337+Source!F338)/1000, 2)</f>
        <v>4.01</v>
      </c>
      <c r="K18" s="14" t="s">
        <v>567</v>
      </c>
    </row>
    <row r="19" spans="1:42" ht="14.25" x14ac:dyDescent="0.2">
      <c r="A19" s="14"/>
      <c r="B19" s="14"/>
      <c r="C19" s="14"/>
      <c r="D19" s="14"/>
      <c r="E19" s="27" t="s">
        <v>535</v>
      </c>
      <c r="F19" s="27"/>
      <c r="G19" s="27"/>
      <c r="H19" s="27"/>
      <c r="I19" s="28">
        <f>ROUND(SUM(W1:W297)/1000, 2)</f>
        <v>1.66</v>
      </c>
      <c r="J19" s="28">
        <f>(Source!F333+ Source!F332)/1000</f>
        <v>94.748100000000008</v>
      </c>
      <c r="K19" s="14" t="s">
        <v>567</v>
      </c>
    </row>
    <row r="20" spans="1:42" ht="14.25" x14ac:dyDescent="0.2">
      <c r="A20" s="14"/>
      <c r="B20" s="14"/>
      <c r="C20" s="14"/>
      <c r="D20" s="14"/>
      <c r="E20" s="27" t="s">
        <v>536</v>
      </c>
      <c r="F20" s="27"/>
      <c r="G20" s="27"/>
      <c r="H20" s="27"/>
      <c r="I20" s="28">
        <f>SUM(AB1:AB297)</f>
        <v>144.22983390000002</v>
      </c>
      <c r="J20" s="28"/>
      <c r="K20" s="14" t="s">
        <v>356</v>
      </c>
    </row>
    <row r="21" spans="1:42" ht="14.25" hidden="1" x14ac:dyDescent="0.2">
      <c r="A21" s="14"/>
      <c r="B21" s="14"/>
      <c r="C21" s="14"/>
      <c r="D21" s="14"/>
      <c r="E21" s="29" t="s">
        <v>537</v>
      </c>
      <c r="F21" s="29"/>
      <c r="G21" s="29"/>
      <c r="H21" s="29"/>
      <c r="I21" s="28"/>
      <c r="J21" s="28"/>
      <c r="K21" s="14"/>
    </row>
    <row r="22" spans="1:42" ht="14.25" hidden="1" x14ac:dyDescent="0.2">
      <c r="A22" s="14"/>
      <c r="B22" s="14"/>
      <c r="C22" s="14"/>
      <c r="D22" s="14"/>
      <c r="E22" s="30" t="s">
        <v>100</v>
      </c>
      <c r="F22" s="30"/>
      <c r="G22" s="30"/>
      <c r="H22" s="30"/>
      <c r="I22" s="28">
        <f>ROUND(SUM(AE1:AE297)/1000, 2)</f>
        <v>0</v>
      </c>
      <c r="J22" s="28">
        <f>SUM(AF1:AF297)/1000</f>
        <v>0</v>
      </c>
      <c r="K22" s="14" t="s">
        <v>567</v>
      </c>
    </row>
    <row r="23" spans="1:42" ht="14.25" x14ac:dyDescent="0.2">
      <c r="A23" s="14"/>
      <c r="B23" s="14"/>
      <c r="C23" s="14"/>
      <c r="D23" s="14"/>
      <c r="E23" s="14"/>
      <c r="F23" s="31"/>
      <c r="G23" s="31"/>
      <c r="H23" s="31"/>
      <c r="I23" s="28"/>
      <c r="J23" s="28"/>
      <c r="K23" s="14"/>
    </row>
    <row r="24" spans="1:42" ht="14.25" x14ac:dyDescent="0.2">
      <c r="A24" s="14" t="s">
        <v>550</v>
      </c>
      <c r="B24" s="14"/>
      <c r="C24" s="14"/>
      <c r="D24" s="14"/>
      <c r="E24" s="14"/>
      <c r="F24" s="31"/>
      <c r="G24" s="31"/>
      <c r="H24" s="31"/>
      <c r="I24" s="28"/>
      <c r="J24" s="28"/>
      <c r="K24" s="14"/>
    </row>
    <row r="25" spans="1:42" ht="28.5" x14ac:dyDescent="0.2">
      <c r="A25" s="21" t="s">
        <v>551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AP25" s="35" t="s">
        <v>551</v>
      </c>
    </row>
    <row r="26" spans="1:42" ht="114" x14ac:dyDescent="0.2">
      <c r="A26" s="32" t="s">
        <v>538</v>
      </c>
      <c r="B26" s="32" t="s">
        <v>539</v>
      </c>
      <c r="C26" s="32" t="s">
        <v>540</v>
      </c>
      <c r="D26" s="32" t="s">
        <v>541</v>
      </c>
      <c r="E26" s="32" t="s">
        <v>542</v>
      </c>
      <c r="F26" s="32" t="s">
        <v>543</v>
      </c>
      <c r="G26" s="33" t="s">
        <v>544</v>
      </c>
      <c r="H26" s="33" t="s">
        <v>545</v>
      </c>
      <c r="I26" s="32" t="s">
        <v>546</v>
      </c>
      <c r="J26" s="32" t="s">
        <v>547</v>
      </c>
      <c r="K26" s="32" t="s">
        <v>548</v>
      </c>
    </row>
    <row r="27" spans="1:42" ht="14.25" x14ac:dyDescent="0.2">
      <c r="A27" s="32">
        <v>1</v>
      </c>
      <c r="B27" s="32">
        <v>2</v>
      </c>
      <c r="C27" s="32">
        <v>3</v>
      </c>
      <c r="D27" s="32">
        <v>4</v>
      </c>
      <c r="E27" s="32">
        <v>5</v>
      </c>
      <c r="F27" s="32">
        <v>6</v>
      </c>
      <c r="G27" s="32">
        <v>7</v>
      </c>
      <c r="H27" s="32">
        <v>8</v>
      </c>
      <c r="I27" s="32">
        <v>9</v>
      </c>
      <c r="J27" s="32">
        <v>10</v>
      </c>
      <c r="K27" s="32">
        <v>11</v>
      </c>
    </row>
    <row r="29" spans="1:42" ht="16.5" x14ac:dyDescent="0.2">
      <c r="A29" s="36" t="str">
        <f>CONCATENATE("Локальная смета: ",IF(Source!G20&lt;&gt;"Новая локальная смета", Source!G20, ""))</f>
        <v xml:space="preserve">Локальная смета: 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1" spans="1:42" ht="16.5" x14ac:dyDescent="0.2">
      <c r="A31" s="36" t="str">
        <f>CONCATENATE("Раздел: ",IF(Source!G24&lt;&gt;"Новый раздел", Source!G24, ""))</f>
        <v>Раздел: Кабинет 809а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3" spans="1:35" ht="16.5" x14ac:dyDescent="0.2">
      <c r="A33" s="36" t="str">
        <f>CONCATENATE("Подраздел: ",IF(Source!G70&lt;&gt;"Новый подраздел", Source!G70, ""))</f>
        <v>Подраздел: Полы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35" ht="42.75" x14ac:dyDescent="0.2">
      <c r="A34" s="37">
        <v>5</v>
      </c>
      <c r="B34" s="37" t="str">
        <f>Source!F74</f>
        <v>6.57-3-1</v>
      </c>
      <c r="C34" s="37" t="s">
        <v>118</v>
      </c>
      <c r="D34" s="39" t="str">
        <f>Source!H74</f>
        <v>100 м плинтусов</v>
      </c>
      <c r="E34" s="38">
        <f>Source!I74</f>
        <v>0.17399999999999999</v>
      </c>
      <c r="F34" s="41"/>
      <c r="G34" s="40"/>
      <c r="H34" s="38"/>
      <c r="I34" s="41"/>
      <c r="J34" s="38"/>
      <c r="K34" s="41"/>
      <c r="Q34">
        <f>ROUND((Source!BZ74/100)*(ROUND((ROUND((Source!AF74*Source!AV74*Source!I74),2)),2)+(ROUND((ROUND(((Source!EU74)*Source!AV74*Source!I74),2)),2)+ROUND((ROUND(((Source!AE74-(Source!EU74))*Source!AV74*Source!I74),2)),2))), 2)</f>
        <v>5.96</v>
      </c>
      <c r="R34">
        <f>Source!X74</f>
        <v>340.19</v>
      </c>
      <c r="S34">
        <f>ROUND((Source!CA74/100)*(ROUND((ROUND((Source!AF74*Source!AV74*Source!I74),2)),2)+(ROUND((ROUND(((Source!EU74)*Source!AV74*Source!I74),2)),2)+ROUND((ROUND(((Source!AE74-(Source!EU74))*Source!AV74*Source!I74),2)),2))), 2)</f>
        <v>3.28</v>
      </c>
      <c r="T34">
        <f>Source!Y74</f>
        <v>187.3</v>
      </c>
      <c r="U34">
        <f>ROUND((175/100)*((ROUND((ROUND(((Source!EU74)*Source!AV74*Source!I74),2)),2)+ROUND((ROUND(((Source!AE74-(Source!EU74))*Source!AV74*Source!I74),2)),2))), 2)</f>
        <v>0</v>
      </c>
      <c r="V34">
        <f>ROUND((0/100)*((ROUND((ROUND(((Source!EU74)*Source!AV74*Source!I74),2)*Source!BS74),2)+ROUND((ROUND(((Source!AE74-(Source!EU74))*Source!AV74*Source!I74),2)*Source!BS74),2))), 2)</f>
        <v>0</v>
      </c>
      <c r="AI34">
        <v>0</v>
      </c>
    </row>
    <row r="35" spans="1:35" x14ac:dyDescent="0.2">
      <c r="C35" s="42" t="str">
        <f>"Объем: "&amp;Source!I74&amp;"=17,4/"&amp;"100"</f>
        <v>Объем: 0,174=17,4/100</v>
      </c>
    </row>
    <row r="36" spans="1:35" ht="14.25" x14ac:dyDescent="0.2">
      <c r="A36" s="37"/>
      <c r="B36" s="37"/>
      <c r="C36" s="37" t="s">
        <v>552</v>
      </c>
      <c r="D36" s="39"/>
      <c r="E36" s="38"/>
      <c r="F36" s="41">
        <f>Source!AO74</f>
        <v>38.53</v>
      </c>
      <c r="G36" s="40"/>
      <c r="H36" s="38">
        <f>Source!AV74</f>
        <v>1</v>
      </c>
      <c r="I36" s="41">
        <f>ROUND((ROUND((Source!AF74*Source!AV74*Source!I74),2)),2)</f>
        <v>6.7</v>
      </c>
      <c r="J36" s="38">
        <f>IF(Source!BA74&lt;&gt; 0, Source!BA74, 1)</f>
        <v>57.05</v>
      </c>
      <c r="K36" s="41">
        <f>Source!S74</f>
        <v>382.24</v>
      </c>
      <c r="W36">
        <f>I36</f>
        <v>6.7</v>
      </c>
    </row>
    <row r="37" spans="1:35" ht="14.25" x14ac:dyDescent="0.2">
      <c r="A37" s="37"/>
      <c r="B37" s="37"/>
      <c r="C37" s="37" t="s">
        <v>553</v>
      </c>
      <c r="D37" s="39" t="s">
        <v>554</v>
      </c>
      <c r="E37" s="38">
        <f>Source!BZ74</f>
        <v>89</v>
      </c>
      <c r="F37" s="41"/>
      <c r="G37" s="40"/>
      <c r="H37" s="38"/>
      <c r="I37" s="41">
        <f>SUM(Q34:Q36)</f>
        <v>5.96</v>
      </c>
      <c r="J37" s="38">
        <f>Source!AT74</f>
        <v>89</v>
      </c>
      <c r="K37" s="41">
        <f>SUM(R34:R36)</f>
        <v>340.19</v>
      </c>
    </row>
    <row r="38" spans="1:35" ht="14.25" x14ac:dyDescent="0.2">
      <c r="A38" s="37"/>
      <c r="B38" s="37"/>
      <c r="C38" s="37" t="s">
        <v>555</v>
      </c>
      <c r="D38" s="39" t="s">
        <v>554</v>
      </c>
      <c r="E38" s="38">
        <f>Source!CA74</f>
        <v>49</v>
      </c>
      <c r="F38" s="41"/>
      <c r="G38" s="40"/>
      <c r="H38" s="38"/>
      <c r="I38" s="41">
        <f>SUM(S34:S37)</f>
        <v>3.28</v>
      </c>
      <c r="J38" s="38">
        <f>Source!AU74</f>
        <v>49</v>
      </c>
      <c r="K38" s="41">
        <f>SUM(T34:T37)</f>
        <v>187.3</v>
      </c>
    </row>
    <row r="39" spans="1:35" ht="14.25" x14ac:dyDescent="0.2">
      <c r="A39" s="44"/>
      <c r="B39" s="44"/>
      <c r="C39" s="44" t="s">
        <v>556</v>
      </c>
      <c r="D39" s="45" t="s">
        <v>557</v>
      </c>
      <c r="E39" s="46">
        <f>Source!AQ74</f>
        <v>3.77</v>
      </c>
      <c r="F39" s="47"/>
      <c r="G39" s="48"/>
      <c r="H39" s="46">
        <f>Source!AV74</f>
        <v>1</v>
      </c>
      <c r="I39" s="47">
        <f>Source!U74</f>
        <v>0.65598000000000001</v>
      </c>
      <c r="J39" s="46"/>
      <c r="K39" s="47"/>
      <c r="AB39" s="43">
        <f>I39</f>
        <v>0.65598000000000001</v>
      </c>
    </row>
    <row r="40" spans="1:35" ht="15" x14ac:dyDescent="0.2">
      <c r="C40" s="49" t="s">
        <v>558</v>
      </c>
      <c r="H40" s="50">
        <f>I36+I37+I38+0-0-0</f>
        <v>15.94</v>
      </c>
      <c r="I40" s="50"/>
      <c r="J40" s="50">
        <f>K36+K37+K38+0-0-0</f>
        <v>909.73</v>
      </c>
      <c r="K40" s="50"/>
    </row>
    <row r="41" spans="1:35" ht="15" hidden="1" x14ac:dyDescent="0.2">
      <c r="C41" s="49" t="s">
        <v>559</v>
      </c>
      <c r="H41" s="52">
        <f>0+0</f>
        <v>0</v>
      </c>
      <c r="I41" s="52"/>
      <c r="J41" s="52">
        <f>0+0</f>
        <v>0</v>
      </c>
      <c r="K41" s="52"/>
    </row>
    <row r="42" spans="1:35" ht="15" x14ac:dyDescent="0.2">
      <c r="H42" s="52"/>
      <c r="I42" s="52"/>
      <c r="J42" s="52"/>
      <c r="K42" s="52"/>
      <c r="O42" s="43">
        <f>I36+I37+I38+0</f>
        <v>15.94</v>
      </c>
      <c r="P42" s="43">
        <f>K36+K37+K38+0</f>
        <v>909.73</v>
      </c>
      <c r="X42">
        <f>IF(Source!BI74&lt;=1,I36+I37+I38-0, 0)</f>
        <v>15.94</v>
      </c>
      <c r="Y42">
        <f>IF(Source!BI74=2,I36+I37+I38-0, 0)</f>
        <v>0</v>
      </c>
      <c r="Z42">
        <f>IF(Source!BI74=3,I36+I37+I38-0, 0)</f>
        <v>0</v>
      </c>
      <c r="AA42">
        <f>IF(Source!BI74=4,I36+I37+I38,0)</f>
        <v>0</v>
      </c>
    </row>
    <row r="44" spans="1:35" ht="28.5" x14ac:dyDescent="0.2">
      <c r="A44" s="37">
        <v>6</v>
      </c>
      <c r="B44" s="37" t="str">
        <f>Source!F75</f>
        <v>6.57-2-4</v>
      </c>
      <c r="C44" s="37" t="s">
        <v>125</v>
      </c>
      <c r="D44" s="39" t="str">
        <f>Source!H75</f>
        <v>100 м2 покрытия</v>
      </c>
      <c r="E44" s="38">
        <f>Source!I75</f>
        <v>0.17399999999999999</v>
      </c>
      <c r="F44" s="41"/>
      <c r="G44" s="40"/>
      <c r="H44" s="38"/>
      <c r="I44" s="41"/>
      <c r="J44" s="38"/>
      <c r="K44" s="41"/>
      <c r="Q44">
        <f>ROUND((Source!BZ75/100)*(ROUND((ROUND((Source!AF75*Source!AV75*Source!I75),2)),2)+(ROUND((ROUND(((Source!EU75)*Source!AV75*Source!I75),2)),2)+ROUND((ROUND(((Source!AE75-(Source!EU75))*Source!AV75*Source!I75),2)),2))), 2)</f>
        <v>77.47</v>
      </c>
      <c r="R44">
        <f>Source!X75</f>
        <v>4419.92</v>
      </c>
      <c r="S44">
        <f>ROUND((Source!CA75/100)*(ROUND((ROUND((Source!AF75*Source!AV75*Source!I75),2)),2)+(ROUND((ROUND(((Source!EU75)*Source!AV75*Source!I75),2)),2)+ROUND((ROUND(((Source!AE75-(Source!EU75))*Source!AV75*Source!I75),2)),2))), 2)</f>
        <v>42.65</v>
      </c>
      <c r="T44">
        <f>Source!Y75</f>
        <v>2433.44</v>
      </c>
      <c r="U44">
        <f>ROUND((175/100)*((ROUND((ROUND(((Source!EU75)*Source!AV75*Source!I75),2)),2)+ROUND((ROUND(((Source!AE75-(Source!EU75))*Source!AV75*Source!I75),2)),2))), 2)</f>
        <v>0</v>
      </c>
      <c r="V44">
        <f>ROUND((0/100)*((ROUND((ROUND(((Source!EU75)*Source!AV75*Source!I75),2)*Source!BS75),2)+ROUND((ROUND(((Source!AE75-(Source!EU75))*Source!AV75*Source!I75),2)*Source!BS75),2))), 2)</f>
        <v>0</v>
      </c>
      <c r="AI44">
        <v>0</v>
      </c>
    </row>
    <row r="45" spans="1:35" x14ac:dyDescent="0.2">
      <c r="C45" s="42" t="str">
        <f>"Объем: "&amp;Source!I75&amp;"=17,4/"&amp;"100"</f>
        <v>Объем: 0,174=17,4/100</v>
      </c>
    </row>
    <row r="46" spans="1:35" ht="14.25" x14ac:dyDescent="0.2">
      <c r="A46" s="37"/>
      <c r="B46" s="37"/>
      <c r="C46" s="37" t="s">
        <v>552</v>
      </c>
      <c r="D46" s="39"/>
      <c r="E46" s="38"/>
      <c r="F46" s="41">
        <f>Source!AO75</f>
        <v>500.27</v>
      </c>
      <c r="G46" s="40"/>
      <c r="H46" s="38">
        <f>Source!AV75</f>
        <v>1</v>
      </c>
      <c r="I46" s="41">
        <f>ROUND((ROUND((Source!AF75*Source!AV75*Source!I75),2)),2)</f>
        <v>87.05</v>
      </c>
      <c r="J46" s="38">
        <f>IF(Source!BA75&lt;&gt; 0, Source!BA75, 1)</f>
        <v>57.05</v>
      </c>
      <c r="K46" s="41">
        <f>Source!S75</f>
        <v>4966.2</v>
      </c>
      <c r="W46">
        <f>I46</f>
        <v>87.05</v>
      </c>
    </row>
    <row r="47" spans="1:35" ht="14.25" x14ac:dyDescent="0.2">
      <c r="A47" s="37"/>
      <c r="B47" s="37"/>
      <c r="C47" s="37" t="s">
        <v>553</v>
      </c>
      <c r="D47" s="39" t="s">
        <v>554</v>
      </c>
      <c r="E47" s="38">
        <f>Source!BZ75</f>
        <v>89</v>
      </c>
      <c r="F47" s="41"/>
      <c r="G47" s="40"/>
      <c r="H47" s="38"/>
      <c r="I47" s="41">
        <f>SUM(Q44:Q46)</f>
        <v>77.47</v>
      </c>
      <c r="J47" s="38">
        <f>Source!AT75</f>
        <v>89</v>
      </c>
      <c r="K47" s="41">
        <f>SUM(R44:R46)</f>
        <v>4419.92</v>
      </c>
    </row>
    <row r="48" spans="1:35" ht="14.25" x14ac:dyDescent="0.2">
      <c r="A48" s="37"/>
      <c r="B48" s="37"/>
      <c r="C48" s="37" t="s">
        <v>555</v>
      </c>
      <c r="D48" s="39" t="s">
        <v>554</v>
      </c>
      <c r="E48" s="38">
        <f>Source!CA75</f>
        <v>49</v>
      </c>
      <c r="F48" s="41"/>
      <c r="G48" s="40"/>
      <c r="H48" s="38"/>
      <c r="I48" s="41">
        <f>SUM(S44:S47)</f>
        <v>42.65</v>
      </c>
      <c r="J48" s="38">
        <f>Source!AU75</f>
        <v>49</v>
      </c>
      <c r="K48" s="41">
        <f>SUM(T44:T47)</f>
        <v>2433.44</v>
      </c>
    </row>
    <row r="49" spans="1:35" ht="14.25" x14ac:dyDescent="0.2">
      <c r="A49" s="44"/>
      <c r="B49" s="44"/>
      <c r="C49" s="44" t="s">
        <v>556</v>
      </c>
      <c r="D49" s="45" t="s">
        <v>557</v>
      </c>
      <c r="E49" s="46">
        <f>Source!AQ75</f>
        <v>48.95</v>
      </c>
      <c r="F49" s="47"/>
      <c r="G49" s="48"/>
      <c r="H49" s="46">
        <f>Source!AV75</f>
        <v>1</v>
      </c>
      <c r="I49" s="47">
        <f>Source!U75</f>
        <v>8.5173000000000005</v>
      </c>
      <c r="J49" s="46"/>
      <c r="K49" s="47"/>
      <c r="AB49" s="43">
        <f>I49</f>
        <v>8.5173000000000005</v>
      </c>
    </row>
    <row r="50" spans="1:35" ht="15" x14ac:dyDescent="0.2">
      <c r="C50" s="49" t="s">
        <v>558</v>
      </c>
      <c r="H50" s="50">
        <f>I46+I47+I48+0-0-0</f>
        <v>207.17</v>
      </c>
      <c r="I50" s="50"/>
      <c r="J50" s="50">
        <f>K46+K47+K48+0-0-0</f>
        <v>11819.56</v>
      </c>
      <c r="K50" s="50"/>
    </row>
    <row r="51" spans="1:35" ht="15" hidden="1" x14ac:dyDescent="0.2">
      <c r="C51" s="49" t="s">
        <v>559</v>
      </c>
      <c r="H51" s="52">
        <f>0+0</f>
        <v>0</v>
      </c>
      <c r="I51" s="52"/>
      <c r="J51" s="52">
        <f>0+0</f>
        <v>0</v>
      </c>
      <c r="K51" s="52"/>
    </row>
    <row r="52" spans="1:35" ht="15" x14ac:dyDescent="0.2">
      <c r="H52" s="52"/>
      <c r="I52" s="52"/>
      <c r="J52" s="52"/>
      <c r="K52" s="52"/>
      <c r="O52" s="43">
        <f>I46+I47+I48+0</f>
        <v>207.17</v>
      </c>
      <c r="P52" s="43">
        <f>K46+K47+K48+0</f>
        <v>11819.56</v>
      </c>
      <c r="X52">
        <f>IF(Source!BI75&lt;=1,I46+I47+I48-0, 0)</f>
        <v>207.17</v>
      </c>
      <c r="Y52">
        <f>IF(Source!BI75=2,I46+I47+I48-0, 0)</f>
        <v>0</v>
      </c>
      <c r="Z52">
        <f>IF(Source!BI75=3,I46+I47+I48-0, 0)</f>
        <v>0</v>
      </c>
      <c r="AA52">
        <f>IF(Source!BI75=4,I46+I47+I48,0)</f>
        <v>0</v>
      </c>
    </row>
    <row r="54" spans="1:35" ht="28.5" x14ac:dyDescent="0.2">
      <c r="A54" s="37">
        <v>7</v>
      </c>
      <c r="B54" s="37" t="str">
        <f>Source!F76</f>
        <v>6.57-1-3</v>
      </c>
      <c r="C54" s="37" t="s">
        <v>130</v>
      </c>
      <c r="D54" s="39" t="str">
        <f>Source!H76</f>
        <v>100 м2 основания</v>
      </c>
      <c r="E54" s="38">
        <f>Source!I76</f>
        <v>0.17399999999999999</v>
      </c>
      <c r="F54" s="41"/>
      <c r="G54" s="40"/>
      <c r="H54" s="38"/>
      <c r="I54" s="41"/>
      <c r="J54" s="38"/>
      <c r="K54" s="41"/>
      <c r="Q54">
        <f>ROUND((Source!BZ76/100)*(ROUND((ROUND((Source!AF76*Source!AV76*Source!I76),2)),2)+(ROUND((ROUND(((Source!EU76)*Source!AV76*Source!I76),2)),2)+ROUND((ROUND(((Source!AE76-(Source!EU76))*Source!AV76*Source!I76),2)),2))), 2)</f>
        <v>28.41</v>
      </c>
      <c r="R54">
        <f>Source!X76</f>
        <v>1620.73</v>
      </c>
      <c r="S54">
        <f>ROUND((Source!CA76/100)*(ROUND((ROUND((Source!AF76*Source!AV76*Source!I76),2)),2)+(ROUND((ROUND(((Source!EU76)*Source!AV76*Source!I76),2)),2)+ROUND((ROUND(((Source!AE76-(Source!EU76))*Source!AV76*Source!I76),2)),2))), 2)</f>
        <v>15.64</v>
      </c>
      <c r="T54">
        <f>Source!Y76</f>
        <v>892.31</v>
      </c>
      <c r="U54">
        <f>ROUND((175/100)*((ROUND((ROUND(((Source!EU76)*Source!AV76*Source!I76),2)),2)+ROUND((ROUND(((Source!AE76-(Source!EU76))*Source!AV76*Source!I76),2)),2))), 2)</f>
        <v>0</v>
      </c>
      <c r="V54">
        <f>ROUND((0/100)*((ROUND((ROUND(((Source!EU76)*Source!AV76*Source!I76),2)*Source!BS76),2)+ROUND((ROUND(((Source!AE76-(Source!EU76))*Source!AV76*Source!I76),2)*Source!BS76),2))), 2)</f>
        <v>0</v>
      </c>
      <c r="AI54">
        <v>0</v>
      </c>
    </row>
    <row r="55" spans="1:35" x14ac:dyDescent="0.2">
      <c r="C55" s="42" t="str">
        <f>"Объем: "&amp;Source!I76&amp;"=17,4/"&amp;"100"</f>
        <v>Объем: 0,174=17,4/100</v>
      </c>
    </row>
    <row r="56" spans="1:35" ht="14.25" x14ac:dyDescent="0.2">
      <c r="A56" s="37"/>
      <c r="B56" s="37"/>
      <c r="C56" s="37" t="s">
        <v>552</v>
      </c>
      <c r="D56" s="39"/>
      <c r="E56" s="38"/>
      <c r="F56" s="41">
        <f>Source!AO76</f>
        <v>183.47</v>
      </c>
      <c r="G56" s="40"/>
      <c r="H56" s="38">
        <f>Source!AV76</f>
        <v>1</v>
      </c>
      <c r="I56" s="41">
        <f>ROUND((ROUND((Source!AF76*Source!AV76*Source!I76),2)),2)</f>
        <v>31.92</v>
      </c>
      <c r="J56" s="38">
        <f>IF(Source!BA76&lt;&gt; 0, Source!BA76, 1)</f>
        <v>57.05</v>
      </c>
      <c r="K56" s="41">
        <f>Source!S76</f>
        <v>1821.04</v>
      </c>
      <c r="W56">
        <f>I56</f>
        <v>31.92</v>
      </c>
    </row>
    <row r="57" spans="1:35" ht="14.25" x14ac:dyDescent="0.2">
      <c r="A57" s="37"/>
      <c r="B57" s="37"/>
      <c r="C57" s="37" t="s">
        <v>553</v>
      </c>
      <c r="D57" s="39" t="s">
        <v>554</v>
      </c>
      <c r="E57" s="38">
        <f>Source!BZ76</f>
        <v>89</v>
      </c>
      <c r="F57" s="41"/>
      <c r="G57" s="40"/>
      <c r="H57" s="38"/>
      <c r="I57" s="41">
        <f>SUM(Q54:Q56)</f>
        <v>28.41</v>
      </c>
      <c r="J57" s="38">
        <f>Source!AT76</f>
        <v>89</v>
      </c>
      <c r="K57" s="41">
        <f>SUM(R54:R56)</f>
        <v>1620.73</v>
      </c>
    </row>
    <row r="58" spans="1:35" ht="14.25" x14ac:dyDescent="0.2">
      <c r="A58" s="37"/>
      <c r="B58" s="37"/>
      <c r="C58" s="37" t="s">
        <v>555</v>
      </c>
      <c r="D58" s="39" t="s">
        <v>554</v>
      </c>
      <c r="E58" s="38">
        <f>Source!CA76</f>
        <v>49</v>
      </c>
      <c r="F58" s="41"/>
      <c r="G58" s="40"/>
      <c r="H58" s="38"/>
      <c r="I58" s="41">
        <f>SUM(S54:S57)</f>
        <v>15.64</v>
      </c>
      <c r="J58" s="38">
        <f>Source!AU76</f>
        <v>49</v>
      </c>
      <c r="K58" s="41">
        <f>SUM(T54:T57)</f>
        <v>892.31</v>
      </c>
    </row>
    <row r="59" spans="1:35" ht="14.25" x14ac:dyDescent="0.2">
      <c r="A59" s="44"/>
      <c r="B59" s="44"/>
      <c r="C59" s="44" t="s">
        <v>556</v>
      </c>
      <c r="D59" s="45" t="s">
        <v>557</v>
      </c>
      <c r="E59" s="46">
        <f>Source!AQ76</f>
        <v>17.440000000000001</v>
      </c>
      <c r="F59" s="47"/>
      <c r="G59" s="48"/>
      <c r="H59" s="46">
        <f>Source!AV76</f>
        <v>1</v>
      </c>
      <c r="I59" s="47">
        <f>Source!U76</f>
        <v>3.0345599999999999</v>
      </c>
      <c r="J59" s="46"/>
      <c r="K59" s="47"/>
      <c r="AB59" s="43">
        <f>I59</f>
        <v>3.0345599999999999</v>
      </c>
    </row>
    <row r="60" spans="1:35" ht="15" x14ac:dyDescent="0.2">
      <c r="C60" s="49" t="s">
        <v>558</v>
      </c>
      <c r="H60" s="50">
        <f>I56+I57+I58+0-0-0</f>
        <v>75.97</v>
      </c>
      <c r="I60" s="50"/>
      <c r="J60" s="50">
        <f>K56+K57+K58+0-0-0</f>
        <v>4334.08</v>
      </c>
      <c r="K60" s="50"/>
    </row>
    <row r="61" spans="1:35" ht="15" hidden="1" x14ac:dyDescent="0.2">
      <c r="C61" s="49" t="s">
        <v>559</v>
      </c>
      <c r="H61" s="52">
        <f>0+0</f>
        <v>0</v>
      </c>
      <c r="I61" s="52"/>
      <c r="J61" s="52">
        <f>0+0</f>
        <v>0</v>
      </c>
      <c r="K61" s="52"/>
    </row>
    <row r="62" spans="1:35" ht="15" x14ac:dyDescent="0.2">
      <c r="H62" s="52"/>
      <c r="I62" s="52"/>
      <c r="J62" s="52"/>
      <c r="K62" s="52"/>
      <c r="O62" s="43">
        <f>I56+I57+I58+0</f>
        <v>75.97</v>
      </c>
      <c r="P62" s="43">
        <f>K56+K57+K58+0</f>
        <v>4334.08</v>
      </c>
      <c r="X62">
        <f>IF(Source!BI76&lt;=1,I56+I57+I58-0, 0)</f>
        <v>75.97</v>
      </c>
      <c r="Y62">
        <f>IF(Source!BI76=2,I56+I57+I58-0, 0)</f>
        <v>0</v>
      </c>
      <c r="Z62">
        <f>IF(Source!BI76=3,I56+I57+I58-0, 0)</f>
        <v>0</v>
      </c>
      <c r="AA62">
        <f>IF(Source!BI76=4,I56+I57+I58,0)</f>
        <v>0</v>
      </c>
    </row>
    <row r="64" spans="1:35" ht="28.5" x14ac:dyDescent="0.2">
      <c r="A64" s="37">
        <v>8</v>
      </c>
      <c r="B64" s="37" t="str">
        <f>Source!F77</f>
        <v>3.11-45-1</v>
      </c>
      <c r="C64" s="37" t="s">
        <v>135</v>
      </c>
      <c r="D64" s="39" t="str">
        <f>Source!H77</f>
        <v>100 м2</v>
      </c>
      <c r="E64" s="38">
        <f>Source!I77</f>
        <v>0.17399999999999999</v>
      </c>
      <c r="F64" s="41"/>
      <c r="G64" s="40"/>
      <c r="H64" s="38"/>
      <c r="I64" s="41"/>
      <c r="J64" s="38"/>
      <c r="K64" s="41"/>
      <c r="Q64">
        <f>ROUND((Source!BZ77/100)*(ROUND((ROUND((Source!AF77*Source!AV77*Source!I77),2)),2)+(ROUND((ROUND((((Source!EU77*1.15))*Source!AV77*Source!I77),2)),2)+ROUND((ROUND(((Source!AE77-((Source!EU77*1.15)))*Source!AV77*Source!I77),2)),2))), 2)</f>
        <v>203.31</v>
      </c>
      <c r="R64">
        <f>Source!X77</f>
        <v>11599.01</v>
      </c>
      <c r="S64">
        <f>ROUND((Source!CA77/100)*(ROUND((ROUND((Source!AF77*Source!AV77*Source!I77),2)),2)+(ROUND((ROUND((((Source!EU77*1.15))*Source!AV77*Source!I77),2)),2)+ROUND((ROUND(((Source!AE77-((Source!EU77*1.15)))*Source!AV77*Source!I77),2)),2))), 2)</f>
        <v>110.72</v>
      </c>
      <c r="T64">
        <f>Source!Y77</f>
        <v>6316.29</v>
      </c>
      <c r="U64">
        <f>ROUND((175/100)*((ROUND((ROUND((((Source!EU77*1.15))*Source!AV77*Source!I77),2)),2)+ROUND((ROUND(((Source!AE77-((Source!EU77*1.15)))*Source!AV77*Source!I77),2)),2))), 2)</f>
        <v>0.26</v>
      </c>
      <c r="V64">
        <f>ROUND((0/100)*((ROUND((ROUND((((Source!EU77*1.15))*Source!AV77*Source!I77),2)*Source!BS77),2)+ROUND((ROUND(((Source!AE77-((Source!EU77*1.15)))*Source!AV77*Source!I77),2)*Source!BS77),2))), 2)</f>
        <v>0</v>
      </c>
      <c r="AI64">
        <v>0</v>
      </c>
    </row>
    <row r="65" spans="1:35" x14ac:dyDescent="0.2">
      <c r="C65" s="42" t="str">
        <f>"Объем: "&amp;Source!I77&amp;"=17,4/"&amp;"100"</f>
        <v>Объем: 0,174=17,4/100</v>
      </c>
    </row>
    <row r="66" spans="1:35" ht="14.25" x14ac:dyDescent="0.2">
      <c r="A66" s="37"/>
      <c r="B66" s="37"/>
      <c r="C66" s="37" t="s">
        <v>552</v>
      </c>
      <c r="D66" s="39"/>
      <c r="E66" s="38"/>
      <c r="F66" s="41">
        <f>Source!AO77</f>
        <v>1005.25</v>
      </c>
      <c r="G66" s="40" t="s">
        <v>560</v>
      </c>
      <c r="H66" s="38">
        <f>Source!AV77</f>
        <v>1</v>
      </c>
      <c r="I66" s="41">
        <f>ROUND((ROUND((Source!AF77*Source!AV77*Source!I77),2)),2)</f>
        <v>201.15</v>
      </c>
      <c r="J66" s="38">
        <f>IF(Source!BA77&lt;&gt; 0, Source!BA77, 1)</f>
        <v>57.05</v>
      </c>
      <c r="K66" s="41">
        <f>Source!S77</f>
        <v>11475.61</v>
      </c>
      <c r="W66">
        <f>I66</f>
        <v>201.15</v>
      </c>
    </row>
    <row r="67" spans="1:35" ht="14.25" x14ac:dyDescent="0.2">
      <c r="A67" s="37"/>
      <c r="B67" s="37"/>
      <c r="C67" s="37" t="s">
        <v>561</v>
      </c>
      <c r="D67" s="39"/>
      <c r="E67" s="38"/>
      <c r="F67" s="41">
        <f>Source!AM77</f>
        <v>43.45</v>
      </c>
      <c r="G67" s="40" t="s">
        <v>560</v>
      </c>
      <c r="H67" s="38">
        <f>Source!AV77</f>
        <v>1</v>
      </c>
      <c r="I67" s="41">
        <f>(ROUND((ROUND((((Source!ET77*1.15))*Source!AV77*Source!I77),2)),2)+ROUND((ROUND(((Source!AE77-((Source!EU77*1.15)))*Source!AV77*Source!I77),2)),2))</f>
        <v>8.69</v>
      </c>
      <c r="J67" s="38">
        <f>IF(Source!BB77&lt;&gt; 0, Source!BB77, 1)</f>
        <v>10.39</v>
      </c>
      <c r="K67" s="41">
        <f>Source!Q77</f>
        <v>90.29</v>
      </c>
    </row>
    <row r="68" spans="1:35" ht="14.25" x14ac:dyDescent="0.2">
      <c r="A68" s="37"/>
      <c r="B68" s="37"/>
      <c r="C68" s="37" t="s">
        <v>562</v>
      </c>
      <c r="D68" s="39"/>
      <c r="E68" s="38"/>
      <c r="F68" s="41">
        <f>Source!AN77</f>
        <v>0.76</v>
      </c>
      <c r="G68" s="40" t="s">
        <v>560</v>
      </c>
      <c r="H68" s="38">
        <f>Source!AV77</f>
        <v>1</v>
      </c>
      <c r="I68" s="53">
        <f>(ROUND((ROUND((((Source!EU77*1.15))*Source!AV77*Source!I77),2)),2)+ROUND((ROUND(((Source!AE77-((Source!EU77*1.15)))*Source!AV77*Source!I77),2)),2))</f>
        <v>0.15</v>
      </c>
      <c r="J68" s="38">
        <f>IF(Source!BS77&lt;&gt; 0, Source!BS77, 1)</f>
        <v>57.05</v>
      </c>
      <c r="K68" s="53">
        <f>Source!R77</f>
        <v>8.56</v>
      </c>
      <c r="W68">
        <f>I68</f>
        <v>0.15</v>
      </c>
    </row>
    <row r="69" spans="1:35" ht="14.25" x14ac:dyDescent="0.2">
      <c r="A69" s="37"/>
      <c r="B69" s="37"/>
      <c r="C69" s="37" t="s">
        <v>563</v>
      </c>
      <c r="D69" s="39"/>
      <c r="E69" s="38"/>
      <c r="F69" s="41">
        <f>Source!AL77</f>
        <v>108.37</v>
      </c>
      <c r="G69" s="40"/>
      <c r="H69" s="38">
        <f>Source!AW77</f>
        <v>1</v>
      </c>
      <c r="I69" s="41">
        <f>ROUND((ROUND((Source!AC77*Source!AW77*Source!I77),2)),2)</f>
        <v>18.86</v>
      </c>
      <c r="J69" s="38">
        <f>IF(Source!BC77&lt;&gt; 0, Source!BC77, 1)</f>
        <v>14.19</v>
      </c>
      <c r="K69" s="41">
        <f>Source!P77</f>
        <v>267.62</v>
      </c>
    </row>
    <row r="70" spans="1:35" ht="28.5" x14ac:dyDescent="0.2">
      <c r="A70" s="37" t="s">
        <v>139</v>
      </c>
      <c r="B70" s="37" t="str">
        <f>Source!F78</f>
        <v>1.1-1-3383</v>
      </c>
      <c r="C70" s="37" t="s">
        <v>141</v>
      </c>
      <c r="D70" s="39" t="str">
        <f>Source!H78</f>
        <v>100 шт.</v>
      </c>
      <c r="E70" s="38">
        <f>Source!I78</f>
        <v>2.6448</v>
      </c>
      <c r="F70" s="41">
        <f>Source!AK78</f>
        <v>94.93</v>
      </c>
      <c r="G70" s="54" t="s">
        <v>3</v>
      </c>
      <c r="H70" s="38">
        <f>Source!AW78</f>
        <v>1</v>
      </c>
      <c r="I70" s="41">
        <f>ROUND((ROUND((Source!AC78*Source!AW78*Source!I78),2)),2)+(ROUND((ROUND(((Source!ET78)*Source!AV78*Source!I78),2)),2)+ROUND((ROUND(((Source!AE78-(Source!EU78))*Source!AV78*Source!I78),2)),2))+ROUND((ROUND((Source!AF78*Source!AV78*Source!I78),2)),2)</f>
        <v>251.07</v>
      </c>
      <c r="J70" s="38">
        <f>IF(Source!BC78&lt;&gt; 0, Source!BC78, 1)</f>
        <v>3.7</v>
      </c>
      <c r="K70" s="41">
        <f>Source!O78</f>
        <v>928.96</v>
      </c>
      <c r="Q70">
        <f>ROUND((Source!BZ78/100)*(ROUND((ROUND((Source!AF78*Source!AV78*Source!I78),2)),2)+(ROUND((ROUND(((Source!EU78)*Source!AV78*Source!I78),2)),2)+ROUND((ROUND(((Source!AE78-(Source!EU78))*Source!AV78*Source!I78),2)),2))), 2)</f>
        <v>0</v>
      </c>
      <c r="R70">
        <f>Source!X78</f>
        <v>0</v>
      </c>
      <c r="S70">
        <f>ROUND((Source!CA78/100)*(ROUND((ROUND((Source!AF78*Source!AV78*Source!I78),2)),2)+(ROUND((ROUND(((Source!EU78)*Source!AV78*Source!I78),2)),2)+ROUND((ROUND(((Source!AE78-(Source!EU78))*Source!AV78*Source!I78),2)),2))), 2)</f>
        <v>0</v>
      </c>
      <c r="T70">
        <f>Source!Y78</f>
        <v>0</v>
      </c>
      <c r="U70">
        <f>ROUND((175/100)*((ROUND((ROUND(((Source!EU78)*Source!AV78*Source!I78),2)),2)+ROUND((ROUND(((Source!AE78-(Source!EU78))*Source!AV78*Source!I78),2)),2))), 2)</f>
        <v>0</v>
      </c>
      <c r="V70">
        <f>ROUND((0/100)*((ROUND((ROUND(((Source!EU78)*Source!AV78*Source!I78),2)*Source!BS78),2)+ROUND((ROUND(((Source!AE78-(Source!EU78))*Source!AV78*Source!I78),2)*Source!BS78),2))), 2)</f>
        <v>0</v>
      </c>
      <c r="X70">
        <f>IF(Source!BI78&lt;=1,I70, 0)</f>
        <v>251.07</v>
      </c>
      <c r="Y70">
        <f>IF(Source!BI78=2,I70, 0)</f>
        <v>0</v>
      </c>
      <c r="Z70">
        <f>IF(Source!BI78=3,I70, 0)</f>
        <v>0</v>
      </c>
      <c r="AA70">
        <f>IF(Source!BI78=4,I70, 0)</f>
        <v>0</v>
      </c>
      <c r="AI70">
        <v>3</v>
      </c>
    </row>
    <row r="71" spans="1:35" ht="28.5" x14ac:dyDescent="0.2">
      <c r="A71" s="37" t="s">
        <v>143</v>
      </c>
      <c r="B71" s="37" t="str">
        <f>Source!F79</f>
        <v>1.1-1-394</v>
      </c>
      <c r="C71" s="37" t="s">
        <v>145</v>
      </c>
      <c r="D71" s="39" t="str">
        <f>Source!H79</f>
        <v>кг</v>
      </c>
      <c r="E71" s="38">
        <f>Source!I79</f>
        <v>13.919999999999998</v>
      </c>
      <c r="F71" s="41">
        <f>Source!AK79</f>
        <v>9.98</v>
      </c>
      <c r="G71" s="54" t="s">
        <v>3</v>
      </c>
      <c r="H71" s="38">
        <f>Source!AW79</f>
        <v>1</v>
      </c>
      <c r="I71" s="41">
        <f>ROUND((ROUND((Source!AC79*Source!AW79*Source!I79),2)),2)+(ROUND((ROUND(((Source!ET79)*Source!AV79*Source!I79),2)),2)+ROUND((ROUND(((Source!AE79-(Source!EU79))*Source!AV79*Source!I79),2)),2))+ROUND((ROUND((Source!AF79*Source!AV79*Source!I79),2)),2)</f>
        <v>138.91999999999999</v>
      </c>
      <c r="J71" s="38">
        <f>IF(Source!BC79&lt;&gt; 0, Source!BC79, 1)</f>
        <v>8.5399999999999991</v>
      </c>
      <c r="K71" s="41">
        <f>Source!O79</f>
        <v>1186.3800000000001</v>
      </c>
      <c r="Q71">
        <f>ROUND((Source!BZ79/100)*(ROUND((ROUND((Source!AF79*Source!AV79*Source!I79),2)),2)+(ROUND((ROUND(((Source!EU79)*Source!AV79*Source!I79),2)),2)+ROUND((ROUND(((Source!AE79-(Source!EU79))*Source!AV79*Source!I79),2)),2))), 2)</f>
        <v>0</v>
      </c>
      <c r="R71">
        <f>Source!X79</f>
        <v>0</v>
      </c>
      <c r="S71">
        <f>ROUND((Source!CA79/100)*(ROUND((ROUND((Source!AF79*Source!AV79*Source!I79),2)),2)+(ROUND((ROUND(((Source!EU79)*Source!AV79*Source!I79),2)),2)+ROUND((ROUND(((Source!AE79-(Source!EU79))*Source!AV79*Source!I79),2)),2))), 2)</f>
        <v>0</v>
      </c>
      <c r="T71">
        <f>Source!Y79</f>
        <v>0</v>
      </c>
      <c r="U71">
        <f>ROUND((175/100)*((ROUND((ROUND(((Source!EU79)*Source!AV79*Source!I79),2)),2)+ROUND((ROUND(((Source!AE79-(Source!EU79))*Source!AV79*Source!I79),2)),2))), 2)</f>
        <v>0</v>
      </c>
      <c r="V71">
        <f>ROUND((0/100)*((ROUND((ROUND(((Source!EU79)*Source!AV79*Source!I79),2)*Source!BS79),2)+ROUND((ROUND(((Source!AE79-(Source!EU79))*Source!AV79*Source!I79),2)*Source!BS79),2))), 2)</f>
        <v>0</v>
      </c>
      <c r="X71">
        <f>IF(Source!BI79&lt;=1,I71, 0)</f>
        <v>138.91999999999999</v>
      </c>
      <c r="Y71">
        <f>IF(Source!BI79=2,I71, 0)</f>
        <v>0</v>
      </c>
      <c r="Z71">
        <f>IF(Source!BI79=3,I71, 0)</f>
        <v>0</v>
      </c>
      <c r="AA71">
        <f>IF(Source!BI79=4,I71, 0)</f>
        <v>0</v>
      </c>
      <c r="AI71">
        <v>3</v>
      </c>
    </row>
    <row r="72" spans="1:35" ht="71.25" x14ac:dyDescent="0.2">
      <c r="A72" s="37" t="s">
        <v>148</v>
      </c>
      <c r="B72" s="37" t="str">
        <f>Source!F80</f>
        <v>1.1-1-1308</v>
      </c>
      <c r="C72" s="37" t="s">
        <v>150</v>
      </c>
      <c r="D72" s="39" t="str">
        <f>Source!H80</f>
        <v>м3</v>
      </c>
      <c r="E72" s="38">
        <f>Source!I80</f>
        <v>0.08</v>
      </c>
      <c r="F72" s="41">
        <f>Source!AK80</f>
        <v>2520.42</v>
      </c>
      <c r="G72" s="54" t="s">
        <v>3</v>
      </c>
      <c r="H72" s="38">
        <f>Source!AW80</f>
        <v>1</v>
      </c>
      <c r="I72" s="41">
        <f>ROUND((ROUND((Source!AC80*Source!AW80*Source!I80),2)),2)+(ROUND((ROUND(((Source!ET80)*Source!AV80*Source!I80),2)),2)+ROUND((ROUND(((Source!AE80-(Source!EU80))*Source!AV80*Source!I80),2)),2))+ROUND((ROUND((Source!AF80*Source!AV80*Source!I80),2)),2)</f>
        <v>201.63</v>
      </c>
      <c r="J72" s="38">
        <f>IF(Source!BC80&lt;&gt; 0, Source!BC80, 1)</f>
        <v>20.07</v>
      </c>
      <c r="K72" s="41">
        <f>Source!O80</f>
        <v>4046.71</v>
      </c>
      <c r="Q72">
        <f>ROUND((Source!BZ80/100)*(ROUND((ROUND((Source!AF80*Source!AV80*Source!I80),2)),2)+(ROUND((ROUND(((Source!EU80)*Source!AV80*Source!I80),2)),2)+ROUND((ROUND(((Source!AE80-(Source!EU80))*Source!AV80*Source!I80),2)),2))), 2)</f>
        <v>0</v>
      </c>
      <c r="R72">
        <f>Source!X80</f>
        <v>0</v>
      </c>
      <c r="S72">
        <f>ROUND((Source!CA80/100)*(ROUND((ROUND((Source!AF80*Source!AV80*Source!I80),2)),2)+(ROUND((ROUND(((Source!EU80)*Source!AV80*Source!I80),2)),2)+ROUND((ROUND(((Source!AE80-(Source!EU80))*Source!AV80*Source!I80),2)),2))), 2)</f>
        <v>0</v>
      </c>
      <c r="T72">
        <f>Source!Y80</f>
        <v>0</v>
      </c>
      <c r="U72">
        <f>ROUND((175/100)*((ROUND((ROUND(((Source!EU80)*Source!AV80*Source!I80),2)),2)+ROUND((ROUND(((Source!AE80-(Source!EU80))*Source!AV80*Source!I80),2)),2))), 2)</f>
        <v>0</v>
      </c>
      <c r="V72">
        <f>ROUND((0/100)*((ROUND((ROUND(((Source!EU80)*Source!AV80*Source!I80),2)*Source!BS80),2)+ROUND((ROUND(((Source!AE80-(Source!EU80))*Source!AV80*Source!I80),2)*Source!BS80),2))), 2)</f>
        <v>0</v>
      </c>
      <c r="X72">
        <f>IF(Source!BI80&lt;=1,I72, 0)</f>
        <v>201.63</v>
      </c>
      <c r="Y72">
        <f>IF(Source!BI80=2,I72, 0)</f>
        <v>0</v>
      </c>
      <c r="Z72">
        <f>IF(Source!BI80=3,I72, 0)</f>
        <v>0</v>
      </c>
      <c r="AA72">
        <f>IF(Source!BI80=4,I72, 0)</f>
        <v>0</v>
      </c>
      <c r="AI72">
        <v>3</v>
      </c>
    </row>
    <row r="73" spans="1:35" ht="14.25" x14ac:dyDescent="0.2">
      <c r="A73" s="37"/>
      <c r="B73" s="37"/>
      <c r="C73" s="37" t="s">
        <v>553</v>
      </c>
      <c r="D73" s="39" t="s">
        <v>554</v>
      </c>
      <c r="E73" s="38">
        <f>Source!BZ77</f>
        <v>101</v>
      </c>
      <c r="F73" s="41"/>
      <c r="G73" s="40"/>
      <c r="H73" s="38"/>
      <c r="I73" s="41">
        <f>SUM(Q64:Q72)</f>
        <v>203.31</v>
      </c>
      <c r="J73" s="38">
        <f>Source!AT77</f>
        <v>101</v>
      </c>
      <c r="K73" s="41">
        <f>SUM(R64:R72)</f>
        <v>11599.01</v>
      </c>
    </row>
    <row r="74" spans="1:35" ht="14.25" x14ac:dyDescent="0.2">
      <c r="A74" s="37"/>
      <c r="B74" s="37"/>
      <c r="C74" s="37" t="s">
        <v>555</v>
      </c>
      <c r="D74" s="39" t="s">
        <v>554</v>
      </c>
      <c r="E74" s="38">
        <f>Source!CA77</f>
        <v>55</v>
      </c>
      <c r="F74" s="41"/>
      <c r="G74" s="40"/>
      <c r="H74" s="38"/>
      <c r="I74" s="41">
        <f>SUM(S64:S73)</f>
        <v>110.72</v>
      </c>
      <c r="J74" s="38">
        <f>Source!AU77</f>
        <v>55</v>
      </c>
      <c r="K74" s="41">
        <f>SUM(T64:T73)</f>
        <v>6316.29</v>
      </c>
    </row>
    <row r="75" spans="1:35" ht="14.25" x14ac:dyDescent="0.2">
      <c r="A75" s="44"/>
      <c r="B75" s="44"/>
      <c r="C75" s="44" t="s">
        <v>556</v>
      </c>
      <c r="D75" s="45" t="s">
        <v>557</v>
      </c>
      <c r="E75" s="46">
        <f>Source!AQ77</f>
        <v>83.04</v>
      </c>
      <c r="F75" s="47"/>
      <c r="G75" s="48" t="s">
        <v>560</v>
      </c>
      <c r="H75" s="46">
        <f>Source!AV77</f>
        <v>1</v>
      </c>
      <c r="I75" s="47">
        <f>Source!U77</f>
        <v>16.616304</v>
      </c>
      <c r="J75" s="46"/>
      <c r="K75" s="47"/>
      <c r="AB75" s="43">
        <f>I75</f>
        <v>16.616304</v>
      </c>
    </row>
    <row r="76" spans="1:35" ht="15" x14ac:dyDescent="0.2">
      <c r="C76" s="49" t="s">
        <v>558</v>
      </c>
      <c r="H76" s="50">
        <f>I66+I67+I69+I73+I74+SUM(I70:I72)-SUMIF(AI70:AI72, 5, I70:I72)-SUMIF(AI70:AI72, 6, I70:I72)</f>
        <v>1134.3499999999999</v>
      </c>
      <c r="I76" s="50"/>
      <c r="J76" s="50">
        <f>K66+K67+K69+K73+K74+SUM(K70:K72)-SUMIF(AI70:AI72, 5, K70:K72)-SUMIF(AI70:AI72, 6, K70:K72)</f>
        <v>35910.870000000003</v>
      </c>
      <c r="K76" s="50"/>
    </row>
    <row r="77" spans="1:35" ht="15" hidden="1" x14ac:dyDescent="0.2">
      <c r="C77" s="49" t="s">
        <v>559</v>
      </c>
      <c r="H77" s="52">
        <f>SUMIF(AI70:AI72, 5, I70:I72)+SUMIF(AI70:AI72, 6, I70:I72)</f>
        <v>0</v>
      </c>
      <c r="I77" s="52"/>
      <c r="J77" s="52">
        <f>SUMIF(AI70:AI72, 5, K70:K72)+SUMIF(AI70:AI72, 6, K70:K72)</f>
        <v>0</v>
      </c>
      <c r="K77" s="52"/>
    </row>
    <row r="78" spans="1:35" ht="15" x14ac:dyDescent="0.2">
      <c r="H78" s="52"/>
      <c r="I78" s="52"/>
      <c r="J78" s="52"/>
      <c r="K78" s="52"/>
      <c r="O78" s="43">
        <f>I66+I67+I69+I73+I74+SUM(I70:I72)</f>
        <v>1134.3499999999999</v>
      </c>
      <c r="P78" s="43">
        <f>K66+K67+K69+K73+K74+SUM(K70:K72)</f>
        <v>35910.870000000003</v>
      </c>
      <c r="X78">
        <f>IF(Source!BI77&lt;=1,I66+I67+I69+I73+I74-0, 0)</f>
        <v>542.73</v>
      </c>
      <c r="Y78">
        <f>IF(Source!BI77=2,I66+I67+I69+I73+I74-0, 0)</f>
        <v>0</v>
      </c>
      <c r="Z78">
        <f>IF(Source!BI77=3,I66+I67+I69+I73+I74-0, 0)</f>
        <v>0</v>
      </c>
      <c r="AA78">
        <f>IF(Source!BI77=4,I66+I67+I69+I73+I74,0)</f>
        <v>0</v>
      </c>
    </row>
    <row r="80" spans="1:35" ht="42.75" x14ac:dyDescent="0.2">
      <c r="A80" s="37">
        <v>9</v>
      </c>
      <c r="B80" s="37" t="str">
        <f>Source!F88</f>
        <v>3.70-199-1</v>
      </c>
      <c r="C80" s="37" t="s">
        <v>178</v>
      </c>
      <c r="D80" s="39" t="str">
        <f>Source!H88</f>
        <v>100 м2</v>
      </c>
      <c r="E80" s="38">
        <f>Source!I88</f>
        <v>0.16819999999999999</v>
      </c>
      <c r="F80" s="41"/>
      <c r="G80" s="40"/>
      <c r="H80" s="38"/>
      <c r="I80" s="41"/>
      <c r="J80" s="38"/>
      <c r="K80" s="41"/>
      <c r="Q80">
        <f>ROUND((Source!BZ88/100)*(ROUND((ROUND((Source!AF88*Source!AV88*Source!I88),2)),2)+(ROUND((ROUND((((Source!EU88*1.15))*Source!AV88*Source!I88),2)),2)+ROUND((ROUND(((Source!AE88-((Source!EU88*1.15)))*Source!AV88*Source!I88),2)),2))), 2)</f>
        <v>78.709999999999994</v>
      </c>
      <c r="R80">
        <f>Source!X88</f>
        <v>4490.37</v>
      </c>
      <c r="S80">
        <f>ROUND((Source!CA88/100)*(ROUND((ROUND((Source!AF88*Source!AV88*Source!I88),2)),2)+(ROUND((ROUND((((Source!EU88*1.15))*Source!AV88*Source!I88),2)),2)+ROUND((ROUND(((Source!AE88-((Source!EU88*1.15)))*Source!AV88*Source!I88),2)),2))), 2)</f>
        <v>42.86</v>
      </c>
      <c r="T80">
        <f>Source!Y88</f>
        <v>2445.25</v>
      </c>
      <c r="U80">
        <f>ROUND((175/100)*((ROUND((ROUND((((Source!EU88*1.15))*Source!AV88*Source!I88),2)),2)+ROUND((ROUND(((Source!AE88-((Source!EU88*1.15)))*Source!AV88*Source!I88),2)),2))), 2)</f>
        <v>1.07</v>
      </c>
      <c r="V80">
        <f>ROUND((0/100)*((ROUND((ROUND((((Source!EU88*1.15))*Source!AV88*Source!I88),2)*Source!BS88),2)+ROUND((ROUND(((Source!AE88-((Source!EU88*1.15)))*Source!AV88*Source!I88),2)*Source!BS88),2))), 2)</f>
        <v>0</v>
      </c>
      <c r="AI80">
        <v>0</v>
      </c>
    </row>
    <row r="81" spans="1:35" x14ac:dyDescent="0.2">
      <c r="C81" s="42" t="str">
        <f>"Объем: "&amp;Source!I88&amp;"=16,82/"&amp;"100"</f>
        <v>Объем: 0,1682=16,82/100</v>
      </c>
    </row>
    <row r="82" spans="1:35" ht="14.25" x14ac:dyDescent="0.2">
      <c r="A82" s="37"/>
      <c r="B82" s="37"/>
      <c r="C82" s="37" t="s">
        <v>552</v>
      </c>
      <c r="D82" s="39"/>
      <c r="E82" s="38"/>
      <c r="F82" s="41">
        <f>Source!AO88</f>
        <v>399.72</v>
      </c>
      <c r="G82" s="40" t="s">
        <v>560</v>
      </c>
      <c r="H82" s="38">
        <f>Source!AV88</f>
        <v>1</v>
      </c>
      <c r="I82" s="41">
        <f>ROUND((ROUND((Source!AF88*Source!AV88*Source!I88),2)),2)</f>
        <v>77.319999999999993</v>
      </c>
      <c r="J82" s="38">
        <f>IF(Source!BA88&lt;&gt; 0, Source!BA88, 1)</f>
        <v>57.05</v>
      </c>
      <c r="K82" s="41">
        <f>Source!S88</f>
        <v>4411.1099999999997</v>
      </c>
      <c r="W82">
        <f>I82</f>
        <v>77.319999999999993</v>
      </c>
    </row>
    <row r="83" spans="1:35" ht="14.25" x14ac:dyDescent="0.2">
      <c r="A83" s="37"/>
      <c r="B83" s="37"/>
      <c r="C83" s="37" t="s">
        <v>561</v>
      </c>
      <c r="D83" s="39"/>
      <c r="E83" s="38"/>
      <c r="F83" s="41">
        <f>Source!AM88</f>
        <v>18.100000000000001</v>
      </c>
      <c r="G83" s="40" t="s">
        <v>560</v>
      </c>
      <c r="H83" s="38">
        <f>Source!AV88</f>
        <v>1</v>
      </c>
      <c r="I83" s="41">
        <f>(ROUND((ROUND((((Source!ET88*1.15))*Source!AV88*Source!I88),2)),2)+ROUND((ROUND(((Source!AE88-((Source!EU88*1.15)))*Source!AV88*Source!I88),2)),2))</f>
        <v>3.5</v>
      </c>
      <c r="J83" s="38">
        <f>IF(Source!BB88&lt;&gt; 0, Source!BB88, 1)</f>
        <v>19.21</v>
      </c>
      <c r="K83" s="41">
        <f>Source!Q88</f>
        <v>67.239999999999995</v>
      </c>
    </row>
    <row r="84" spans="1:35" ht="14.25" x14ac:dyDescent="0.2">
      <c r="A84" s="37"/>
      <c r="B84" s="37"/>
      <c r="C84" s="37" t="s">
        <v>562</v>
      </c>
      <c r="D84" s="39"/>
      <c r="E84" s="38"/>
      <c r="F84" s="41">
        <f>Source!AN88</f>
        <v>3.16</v>
      </c>
      <c r="G84" s="40" t="s">
        <v>560</v>
      </c>
      <c r="H84" s="38">
        <f>Source!AV88</f>
        <v>1</v>
      </c>
      <c r="I84" s="53">
        <f>(ROUND((ROUND((((Source!EU88*1.15))*Source!AV88*Source!I88),2)),2)+ROUND((ROUND(((Source!AE88-((Source!EU88*1.15)))*Source!AV88*Source!I88),2)),2))</f>
        <v>0.61</v>
      </c>
      <c r="J84" s="38">
        <f>IF(Source!BS88&lt;&gt; 0, Source!BS88, 1)</f>
        <v>57.05</v>
      </c>
      <c r="K84" s="53">
        <f>Source!R88</f>
        <v>34.799999999999997</v>
      </c>
      <c r="W84">
        <f>I84</f>
        <v>0.61</v>
      </c>
    </row>
    <row r="85" spans="1:35" ht="14.25" x14ac:dyDescent="0.2">
      <c r="A85" s="37"/>
      <c r="B85" s="37"/>
      <c r="C85" s="37" t="s">
        <v>563</v>
      </c>
      <c r="D85" s="39"/>
      <c r="E85" s="38"/>
      <c r="F85" s="41">
        <f>Source!AL88</f>
        <v>25.65</v>
      </c>
      <c r="G85" s="40"/>
      <c r="H85" s="38">
        <f>Source!AW88</f>
        <v>1</v>
      </c>
      <c r="I85" s="41">
        <f>ROUND((ROUND((Source!AC88*Source!AW88*Source!I88),2)),2)</f>
        <v>4.3099999999999996</v>
      </c>
      <c r="J85" s="38">
        <f>IF(Source!BC88&lt;&gt; 0, Source!BC88, 1)</f>
        <v>7.45</v>
      </c>
      <c r="K85" s="41">
        <f>Source!P88</f>
        <v>32.11</v>
      </c>
    </row>
    <row r="86" spans="1:35" ht="14.25" x14ac:dyDescent="0.2">
      <c r="A86" s="37"/>
      <c r="B86" s="37"/>
      <c r="C86" s="37" t="s">
        <v>553</v>
      </c>
      <c r="D86" s="39" t="s">
        <v>554</v>
      </c>
      <c r="E86" s="38">
        <f>Source!BZ88</f>
        <v>101</v>
      </c>
      <c r="F86" s="41"/>
      <c r="G86" s="40"/>
      <c r="H86" s="38"/>
      <c r="I86" s="41">
        <f>SUM(Q80:Q85)</f>
        <v>78.709999999999994</v>
      </c>
      <c r="J86" s="38">
        <f>Source!AT88</f>
        <v>101</v>
      </c>
      <c r="K86" s="41">
        <f>SUM(R80:R85)</f>
        <v>4490.37</v>
      </c>
    </row>
    <row r="87" spans="1:35" ht="14.25" x14ac:dyDescent="0.2">
      <c r="A87" s="37"/>
      <c r="B87" s="37"/>
      <c r="C87" s="37" t="s">
        <v>555</v>
      </c>
      <c r="D87" s="39" t="s">
        <v>554</v>
      </c>
      <c r="E87" s="38">
        <f>Source!CA88</f>
        <v>55</v>
      </c>
      <c r="F87" s="41"/>
      <c r="G87" s="40"/>
      <c r="H87" s="38"/>
      <c r="I87" s="41">
        <f>SUM(S80:S86)</f>
        <v>42.86</v>
      </c>
      <c r="J87" s="38">
        <f>Source!AU88</f>
        <v>55</v>
      </c>
      <c r="K87" s="41">
        <f>SUM(T80:T86)</f>
        <v>2445.25</v>
      </c>
    </row>
    <row r="88" spans="1:35" ht="14.25" x14ac:dyDescent="0.2">
      <c r="A88" s="44"/>
      <c r="B88" s="44"/>
      <c r="C88" s="44" t="s">
        <v>556</v>
      </c>
      <c r="D88" s="45" t="s">
        <v>557</v>
      </c>
      <c r="E88" s="46">
        <f>Source!AQ88</f>
        <v>26.33</v>
      </c>
      <c r="F88" s="47"/>
      <c r="G88" s="48" t="s">
        <v>560</v>
      </c>
      <c r="H88" s="46">
        <f>Source!AV88</f>
        <v>1</v>
      </c>
      <c r="I88" s="47">
        <f>Source!U88</f>
        <v>5.0930118999999987</v>
      </c>
      <c r="J88" s="46"/>
      <c r="K88" s="47"/>
      <c r="AB88" s="43">
        <f>I88</f>
        <v>5.0930118999999987</v>
      </c>
    </row>
    <row r="89" spans="1:35" ht="15" x14ac:dyDescent="0.2">
      <c r="C89" s="49" t="s">
        <v>558</v>
      </c>
      <c r="H89" s="50">
        <f>I82+I83+I85+I86+I87+0-0-0</f>
        <v>206.7</v>
      </c>
      <c r="I89" s="50"/>
      <c r="J89" s="50">
        <f>K82+K83+K85+K86+K87+0-0-0</f>
        <v>11446.079999999998</v>
      </c>
      <c r="K89" s="50"/>
    </row>
    <row r="90" spans="1:35" ht="15" hidden="1" x14ac:dyDescent="0.2">
      <c r="C90" s="49" t="s">
        <v>559</v>
      </c>
      <c r="H90" s="52">
        <f>0+0</f>
        <v>0</v>
      </c>
      <c r="I90" s="52"/>
      <c r="J90" s="52">
        <f>0+0</f>
        <v>0</v>
      </c>
      <c r="K90" s="52"/>
    </row>
    <row r="91" spans="1:35" ht="15" x14ac:dyDescent="0.2">
      <c r="H91" s="52"/>
      <c r="I91" s="52"/>
      <c r="J91" s="52"/>
      <c r="K91" s="52"/>
      <c r="O91" s="43">
        <f>I82+I83+I85+I86+I87+0</f>
        <v>206.7</v>
      </c>
      <c r="P91" s="43">
        <f>K82+K83+K85+K86+K87+0</f>
        <v>11446.079999999998</v>
      </c>
      <c r="X91">
        <f>IF(Source!BI88&lt;=1,I82+I83+I85+I86+I87-0, 0)</f>
        <v>206.7</v>
      </c>
      <c r="Y91">
        <f>IF(Source!BI88=2,I82+I83+I85+I86+I87-0, 0)</f>
        <v>0</v>
      </c>
      <c r="Z91">
        <f>IF(Source!BI88=3,I82+I83+I85+I86+I87-0, 0)</f>
        <v>0</v>
      </c>
      <c r="AA91">
        <f>IF(Source!BI88=4,I82+I83+I85+I86+I87,0)</f>
        <v>0</v>
      </c>
    </row>
    <row r="93" spans="1:35" ht="42.75" x14ac:dyDescent="0.2">
      <c r="A93" s="37">
        <v>10</v>
      </c>
      <c r="B93" s="37" t="str">
        <f>Source!F89</f>
        <v>3.11-29-3</v>
      </c>
      <c r="C93" s="37" t="s">
        <v>184</v>
      </c>
      <c r="D93" s="39" t="str">
        <f>Source!H89</f>
        <v>100 м плинтусов</v>
      </c>
      <c r="E93" s="38">
        <f>Source!I89</f>
        <v>0.17399999999999999</v>
      </c>
      <c r="F93" s="41"/>
      <c r="G93" s="40"/>
      <c r="H93" s="38"/>
      <c r="I93" s="41"/>
      <c r="J93" s="38"/>
      <c r="K93" s="41"/>
      <c r="Q93">
        <f>ROUND((Source!BZ89/100)*(ROUND((ROUND((Source!AF89*Source!AV89*Source!I89),2)),2)+(ROUND((ROUND((((Source!EU89*1.15))*Source!AV89*Source!I89),2)),2)+ROUND((ROUND(((Source!AE89-((Source!EU89*1.15)))*Source!AV89*Source!I89),2)),2))), 2)</f>
        <v>16.29</v>
      </c>
      <c r="R93">
        <f>Source!X89</f>
        <v>929.41</v>
      </c>
      <c r="S93">
        <f>ROUND((Source!CA89/100)*(ROUND((ROUND((Source!AF89*Source!AV89*Source!I89),2)),2)+(ROUND((ROUND((((Source!EU89*1.15))*Source!AV89*Source!I89),2)),2)+ROUND((ROUND(((Source!AE89-((Source!EU89*1.15)))*Source!AV89*Source!I89),2)),2))), 2)</f>
        <v>8.8699999999999992</v>
      </c>
      <c r="T93">
        <f>Source!Y89</f>
        <v>506.12</v>
      </c>
      <c r="U93">
        <f>ROUND((175/100)*((ROUND((ROUND((((Source!EU89*1.15))*Source!AV89*Source!I89),2)),2)+ROUND((ROUND(((Source!AE89-((Source!EU89*1.15)))*Source!AV89*Source!I89),2)),2))), 2)</f>
        <v>0.14000000000000001</v>
      </c>
      <c r="V93">
        <f>ROUND((0/100)*((ROUND((ROUND((((Source!EU89*1.15))*Source!AV89*Source!I89),2)*Source!BS89),2)+ROUND((ROUND(((Source!AE89-((Source!EU89*1.15)))*Source!AV89*Source!I89),2)*Source!BS89),2))), 2)</f>
        <v>0</v>
      </c>
      <c r="AI93">
        <v>0</v>
      </c>
    </row>
    <row r="94" spans="1:35" x14ac:dyDescent="0.2">
      <c r="C94" s="42" t="str">
        <f>"Объем: "&amp;Source!I89&amp;"=17,4/"&amp;"100"</f>
        <v>Объем: 0,174=17,4/100</v>
      </c>
    </row>
    <row r="95" spans="1:35" ht="14.25" x14ac:dyDescent="0.2">
      <c r="A95" s="37"/>
      <c r="B95" s="37"/>
      <c r="C95" s="37" t="s">
        <v>552</v>
      </c>
      <c r="D95" s="39"/>
      <c r="E95" s="38"/>
      <c r="F95" s="41">
        <f>Source!AO89</f>
        <v>80.19</v>
      </c>
      <c r="G95" s="40" t="s">
        <v>560</v>
      </c>
      <c r="H95" s="38">
        <f>Source!AV89</f>
        <v>1</v>
      </c>
      <c r="I95" s="41">
        <f>ROUND((ROUND((Source!AF89*Source!AV89*Source!I89),2)),2)</f>
        <v>16.05</v>
      </c>
      <c r="J95" s="38">
        <f>IF(Source!BA89&lt;&gt; 0, Source!BA89, 1)</f>
        <v>57.05</v>
      </c>
      <c r="K95" s="41">
        <f>Source!S89</f>
        <v>915.65</v>
      </c>
      <c r="W95">
        <f>I95</f>
        <v>16.05</v>
      </c>
    </row>
    <row r="96" spans="1:35" ht="14.25" x14ac:dyDescent="0.2">
      <c r="A96" s="37"/>
      <c r="B96" s="37"/>
      <c r="C96" s="37" t="s">
        <v>561</v>
      </c>
      <c r="D96" s="39"/>
      <c r="E96" s="38"/>
      <c r="F96" s="41">
        <f>Source!AM89</f>
        <v>4.5</v>
      </c>
      <c r="G96" s="40" t="s">
        <v>560</v>
      </c>
      <c r="H96" s="38">
        <f>Source!AV89</f>
        <v>1</v>
      </c>
      <c r="I96" s="41">
        <f>(ROUND((ROUND((((Source!ET89*1.15))*Source!AV89*Source!I89),2)),2)+ROUND((ROUND(((Source!AE89-((Source!EU89*1.15)))*Source!AV89*Source!I89),2)),2))</f>
        <v>0.9</v>
      </c>
      <c r="J96" s="38">
        <f>IF(Source!BB89&lt;&gt; 0, Source!BB89, 1)</f>
        <v>15.04</v>
      </c>
      <c r="K96" s="41">
        <f>Source!Q89</f>
        <v>13.54</v>
      </c>
    </row>
    <row r="97" spans="1:35" ht="14.25" x14ac:dyDescent="0.2">
      <c r="A97" s="37"/>
      <c r="B97" s="37"/>
      <c r="C97" s="37" t="s">
        <v>562</v>
      </c>
      <c r="D97" s="39"/>
      <c r="E97" s="38"/>
      <c r="F97" s="41">
        <f>Source!AN89</f>
        <v>0.38</v>
      </c>
      <c r="G97" s="40" t="s">
        <v>560</v>
      </c>
      <c r="H97" s="38">
        <f>Source!AV89</f>
        <v>1</v>
      </c>
      <c r="I97" s="53">
        <f>(ROUND((ROUND((((Source!EU89*1.15))*Source!AV89*Source!I89),2)),2)+ROUND((ROUND(((Source!AE89-((Source!EU89*1.15)))*Source!AV89*Source!I89),2)),2))</f>
        <v>0.08</v>
      </c>
      <c r="J97" s="38">
        <f>IF(Source!BS89&lt;&gt; 0, Source!BS89, 1)</f>
        <v>57.05</v>
      </c>
      <c r="K97" s="53">
        <f>Source!R89</f>
        <v>4.5599999999999996</v>
      </c>
      <c r="W97">
        <f>I97</f>
        <v>0.08</v>
      </c>
    </row>
    <row r="98" spans="1:35" ht="14.25" x14ac:dyDescent="0.2">
      <c r="A98" s="37"/>
      <c r="B98" s="37"/>
      <c r="C98" s="37" t="s">
        <v>563</v>
      </c>
      <c r="D98" s="39"/>
      <c r="E98" s="38"/>
      <c r="F98" s="41">
        <f>Source!AL89</f>
        <v>196.65</v>
      </c>
      <c r="G98" s="40"/>
      <c r="H98" s="38">
        <f>Source!AW89</f>
        <v>1</v>
      </c>
      <c r="I98" s="41">
        <f>ROUND((ROUND((Source!AC89*Source!AW89*Source!I89),2)),2)</f>
        <v>34.22</v>
      </c>
      <c r="J98" s="38">
        <f>IF(Source!BC89&lt;&gt; 0, Source!BC89, 1)</f>
        <v>1.53</v>
      </c>
      <c r="K98" s="41">
        <f>Source!P89</f>
        <v>52.36</v>
      </c>
    </row>
    <row r="99" spans="1:35" ht="28.5" x14ac:dyDescent="0.2">
      <c r="A99" s="37" t="s">
        <v>186</v>
      </c>
      <c r="B99" s="37" t="str">
        <f>Source!F90</f>
        <v>1.9-12-127</v>
      </c>
      <c r="C99" s="37" t="s">
        <v>188</v>
      </c>
      <c r="D99" s="39" t="str">
        <f>Source!H90</f>
        <v>100 шт.</v>
      </c>
      <c r="E99" s="38">
        <f>Source!I90</f>
        <v>6</v>
      </c>
      <c r="F99" s="41">
        <f>Source!AK90</f>
        <v>153.49</v>
      </c>
      <c r="G99" s="54" t="s">
        <v>3</v>
      </c>
      <c r="H99" s="38">
        <f>Source!AW90</f>
        <v>1</v>
      </c>
      <c r="I99" s="41">
        <f>ROUND((ROUND((Source!AC90*Source!AW90*Source!I90),2)),2)+(ROUND((ROUND(((Source!ET90)*Source!AV90*Source!I90),2)),2)+ROUND((ROUND(((Source!AE90-(Source!EU90))*Source!AV90*Source!I90),2)),2))+ROUND((ROUND((Source!AF90*Source!AV90*Source!I90),2)),2)</f>
        <v>920.94</v>
      </c>
      <c r="J99" s="38">
        <f>IF(Source!BC90&lt;&gt; 0, Source!BC90, 1)</f>
        <v>4.6900000000000004</v>
      </c>
      <c r="K99" s="41">
        <f>Source!O90</f>
        <v>4319.21</v>
      </c>
      <c r="Q99">
        <f>ROUND((Source!BZ90/100)*(ROUND((ROUND((Source!AF90*Source!AV90*Source!I90),2)),2)+(ROUND((ROUND(((Source!EU90)*Source!AV90*Source!I90),2)),2)+ROUND((ROUND(((Source!AE90-(Source!EU90))*Source!AV90*Source!I90),2)),2))), 2)</f>
        <v>0</v>
      </c>
      <c r="R99">
        <f>Source!X90</f>
        <v>0</v>
      </c>
      <c r="S99">
        <f>ROUND((Source!CA90/100)*(ROUND((ROUND((Source!AF90*Source!AV90*Source!I90),2)),2)+(ROUND((ROUND(((Source!EU90)*Source!AV90*Source!I90),2)),2)+ROUND((ROUND(((Source!AE90-(Source!EU90))*Source!AV90*Source!I90),2)),2))), 2)</f>
        <v>0</v>
      </c>
      <c r="T99">
        <f>Source!Y90</f>
        <v>0</v>
      </c>
      <c r="U99">
        <f>ROUND((175/100)*((ROUND((ROUND(((Source!EU90)*Source!AV90*Source!I90),2)),2)+ROUND((ROUND(((Source!AE90-(Source!EU90))*Source!AV90*Source!I90),2)),2))), 2)</f>
        <v>0</v>
      </c>
      <c r="V99">
        <f>ROUND((0/100)*((ROUND((ROUND(((Source!EU90)*Source!AV90*Source!I90),2)*Source!BS90),2)+ROUND((ROUND(((Source!AE90-(Source!EU90))*Source!AV90*Source!I90),2)*Source!BS90),2))), 2)</f>
        <v>0</v>
      </c>
      <c r="X99">
        <f>IF(Source!BI90&lt;=1,I99, 0)</f>
        <v>920.94</v>
      </c>
      <c r="Y99">
        <f>IF(Source!BI90=2,I99, 0)</f>
        <v>0</v>
      </c>
      <c r="Z99">
        <f>IF(Source!BI90=3,I99, 0)</f>
        <v>0</v>
      </c>
      <c r="AA99">
        <f>IF(Source!BI90=4,I99, 0)</f>
        <v>0</v>
      </c>
      <c r="AI99">
        <v>3</v>
      </c>
    </row>
    <row r="100" spans="1:35" ht="28.5" x14ac:dyDescent="0.2">
      <c r="A100" s="37" t="s">
        <v>190</v>
      </c>
      <c r="B100" s="37" t="str">
        <f>Source!F91</f>
        <v>1.9-12-128</v>
      </c>
      <c r="C100" s="37" t="s">
        <v>192</v>
      </c>
      <c r="D100" s="39" t="str">
        <f>Source!H91</f>
        <v>100 шт.</v>
      </c>
      <c r="E100" s="38">
        <f>Source!I91</f>
        <v>1</v>
      </c>
      <c r="F100" s="41">
        <f>Source!AK91</f>
        <v>170.55</v>
      </c>
      <c r="G100" s="54" t="s">
        <v>3</v>
      </c>
      <c r="H100" s="38">
        <f>Source!AW91</f>
        <v>1</v>
      </c>
      <c r="I100" s="41">
        <f>ROUND((ROUND((Source!AC91*Source!AW91*Source!I91),2)),2)+(ROUND((ROUND(((Source!ET91)*Source!AV91*Source!I91),2)),2)+ROUND((ROUND(((Source!AE91-(Source!EU91))*Source!AV91*Source!I91),2)),2))+ROUND((ROUND((Source!AF91*Source!AV91*Source!I91),2)),2)</f>
        <v>170.55</v>
      </c>
      <c r="J100" s="38">
        <f>IF(Source!BC91&lt;&gt; 0, Source!BC91, 1)</f>
        <v>4.97</v>
      </c>
      <c r="K100" s="41">
        <f>Source!O91</f>
        <v>847.63</v>
      </c>
      <c r="Q100">
        <f>ROUND((Source!BZ91/100)*(ROUND((ROUND((Source!AF91*Source!AV91*Source!I91),2)),2)+(ROUND((ROUND(((Source!EU91)*Source!AV91*Source!I91),2)),2)+ROUND((ROUND(((Source!AE91-(Source!EU91))*Source!AV91*Source!I91),2)),2))), 2)</f>
        <v>0</v>
      </c>
      <c r="R100">
        <f>Source!X91</f>
        <v>0</v>
      </c>
      <c r="S100">
        <f>ROUND((Source!CA91/100)*(ROUND((ROUND((Source!AF91*Source!AV91*Source!I91),2)),2)+(ROUND((ROUND(((Source!EU91)*Source!AV91*Source!I91),2)),2)+ROUND((ROUND(((Source!AE91-(Source!EU91))*Source!AV91*Source!I91),2)),2))), 2)</f>
        <v>0</v>
      </c>
      <c r="T100">
        <f>Source!Y91</f>
        <v>0</v>
      </c>
      <c r="U100">
        <f>ROUND((175/100)*((ROUND((ROUND(((Source!EU91)*Source!AV91*Source!I91),2)),2)+ROUND((ROUND(((Source!AE91-(Source!EU91))*Source!AV91*Source!I91),2)),2))), 2)</f>
        <v>0</v>
      </c>
      <c r="V100">
        <f>ROUND((0/100)*((ROUND((ROUND(((Source!EU91)*Source!AV91*Source!I91),2)*Source!BS91),2)+ROUND((ROUND(((Source!AE91-(Source!EU91))*Source!AV91*Source!I91),2)*Source!BS91),2))), 2)</f>
        <v>0</v>
      </c>
      <c r="X100">
        <f>IF(Source!BI91&lt;=1,I100, 0)</f>
        <v>170.55</v>
      </c>
      <c r="Y100">
        <f>IF(Source!BI91=2,I100, 0)</f>
        <v>0</v>
      </c>
      <c r="Z100">
        <f>IF(Source!BI91=3,I100, 0)</f>
        <v>0</v>
      </c>
      <c r="AA100">
        <f>IF(Source!BI91=4,I100, 0)</f>
        <v>0</v>
      </c>
      <c r="AI100">
        <v>3</v>
      </c>
    </row>
    <row r="101" spans="1:35" ht="28.5" x14ac:dyDescent="0.2">
      <c r="A101" s="37" t="s">
        <v>194</v>
      </c>
      <c r="B101" s="37" t="str">
        <f>Source!F92</f>
        <v>1.9-12-129</v>
      </c>
      <c r="C101" s="37" t="s">
        <v>196</v>
      </c>
      <c r="D101" s="39" t="str">
        <f>Source!H92</f>
        <v>100 шт.</v>
      </c>
      <c r="E101" s="38">
        <f>Source!I92</f>
        <v>3</v>
      </c>
      <c r="F101" s="41">
        <f>Source!AK92</f>
        <v>170.58</v>
      </c>
      <c r="G101" s="54" t="s">
        <v>3</v>
      </c>
      <c r="H101" s="38">
        <f>Source!AW92</f>
        <v>1</v>
      </c>
      <c r="I101" s="41">
        <f>ROUND((ROUND((Source!AC92*Source!AW92*Source!I92),2)),2)+(ROUND((ROUND(((Source!ET92)*Source!AV92*Source!I92),2)),2)+ROUND((ROUND(((Source!AE92-(Source!EU92))*Source!AV92*Source!I92),2)),2))+ROUND((ROUND((Source!AF92*Source!AV92*Source!I92),2)),2)</f>
        <v>511.74</v>
      </c>
      <c r="J101" s="38">
        <f>IF(Source!BC92&lt;&gt; 0, Source!BC92, 1)</f>
        <v>4.96</v>
      </c>
      <c r="K101" s="41">
        <f>Source!O92</f>
        <v>2538.23</v>
      </c>
      <c r="Q101">
        <f>ROUND((Source!BZ92/100)*(ROUND((ROUND((Source!AF92*Source!AV92*Source!I92),2)),2)+(ROUND((ROUND(((Source!EU92)*Source!AV92*Source!I92),2)),2)+ROUND((ROUND(((Source!AE92-(Source!EU92))*Source!AV92*Source!I92),2)),2))), 2)</f>
        <v>0</v>
      </c>
      <c r="R101">
        <f>Source!X92</f>
        <v>0</v>
      </c>
      <c r="S101">
        <f>ROUND((Source!CA92/100)*(ROUND((ROUND((Source!AF92*Source!AV92*Source!I92),2)),2)+(ROUND((ROUND(((Source!EU92)*Source!AV92*Source!I92),2)),2)+ROUND((ROUND(((Source!AE92-(Source!EU92))*Source!AV92*Source!I92),2)),2))), 2)</f>
        <v>0</v>
      </c>
      <c r="T101">
        <f>Source!Y92</f>
        <v>0</v>
      </c>
      <c r="U101">
        <f>ROUND((175/100)*((ROUND((ROUND(((Source!EU92)*Source!AV92*Source!I92),2)),2)+ROUND((ROUND(((Source!AE92-(Source!EU92))*Source!AV92*Source!I92),2)),2))), 2)</f>
        <v>0</v>
      </c>
      <c r="V101">
        <f>ROUND((0/100)*((ROUND((ROUND(((Source!EU92)*Source!AV92*Source!I92),2)*Source!BS92),2)+ROUND((ROUND(((Source!AE92-(Source!EU92))*Source!AV92*Source!I92),2)*Source!BS92),2))), 2)</f>
        <v>0</v>
      </c>
      <c r="X101">
        <f>IF(Source!BI92&lt;=1,I101, 0)</f>
        <v>511.74</v>
      </c>
      <c r="Y101">
        <f>IF(Source!BI92=2,I101, 0)</f>
        <v>0</v>
      </c>
      <c r="Z101">
        <f>IF(Source!BI92=3,I101, 0)</f>
        <v>0</v>
      </c>
      <c r="AA101">
        <f>IF(Source!BI92=4,I101, 0)</f>
        <v>0</v>
      </c>
      <c r="AI101">
        <v>3</v>
      </c>
    </row>
    <row r="102" spans="1:35" ht="42.75" x14ac:dyDescent="0.2">
      <c r="A102" s="37" t="s">
        <v>198</v>
      </c>
      <c r="B102" s="37" t="str">
        <f>Source!F93</f>
        <v>1.1-1-289</v>
      </c>
      <c r="C102" s="37" t="s">
        <v>200</v>
      </c>
      <c r="D102" s="39" t="str">
        <f>Source!H93</f>
        <v>м</v>
      </c>
      <c r="E102" s="38">
        <f>Source!I93</f>
        <v>17.574000000000002</v>
      </c>
      <c r="F102" s="41">
        <f>Source!AK93</f>
        <v>22.18</v>
      </c>
      <c r="G102" s="54" t="s">
        <v>3</v>
      </c>
      <c r="H102" s="38">
        <f>Source!AW93</f>
        <v>1</v>
      </c>
      <c r="I102" s="41">
        <f>ROUND((ROUND((Source!AC93*Source!AW93*Source!I93),2)),2)+(ROUND((ROUND(((Source!ET93)*Source!AV93*Source!I93),2)),2)+ROUND((ROUND(((Source!AE93-(Source!EU93))*Source!AV93*Source!I93),2)),2))+ROUND((ROUND((Source!AF93*Source!AV93*Source!I93),2)),2)</f>
        <v>389.79</v>
      </c>
      <c r="J102" s="38">
        <f>IF(Source!BC93&lt;&gt; 0, Source!BC93, 1)</f>
        <v>1.77</v>
      </c>
      <c r="K102" s="41">
        <f>Source!O93</f>
        <v>689.93</v>
      </c>
      <c r="Q102">
        <f>ROUND((Source!BZ93/100)*(ROUND((ROUND((Source!AF93*Source!AV93*Source!I93),2)),2)+(ROUND((ROUND(((Source!EU93)*Source!AV93*Source!I93),2)),2)+ROUND((ROUND(((Source!AE93-(Source!EU93))*Source!AV93*Source!I93),2)),2))), 2)</f>
        <v>0</v>
      </c>
      <c r="R102">
        <f>Source!X93</f>
        <v>0</v>
      </c>
      <c r="S102">
        <f>ROUND((Source!CA93/100)*(ROUND((ROUND((Source!AF93*Source!AV93*Source!I93),2)),2)+(ROUND((ROUND(((Source!EU93)*Source!AV93*Source!I93),2)),2)+ROUND((ROUND(((Source!AE93-(Source!EU93))*Source!AV93*Source!I93),2)),2))), 2)</f>
        <v>0</v>
      </c>
      <c r="T102">
        <f>Source!Y93</f>
        <v>0</v>
      </c>
      <c r="U102">
        <f>ROUND((175/100)*((ROUND((ROUND(((Source!EU93)*Source!AV93*Source!I93),2)),2)+ROUND((ROUND(((Source!AE93-(Source!EU93))*Source!AV93*Source!I93),2)),2))), 2)</f>
        <v>0</v>
      </c>
      <c r="V102">
        <f>ROUND((0/100)*((ROUND((ROUND(((Source!EU93)*Source!AV93*Source!I93),2)*Source!BS93),2)+ROUND((ROUND(((Source!AE93-(Source!EU93))*Source!AV93*Source!I93),2)*Source!BS93),2))), 2)</f>
        <v>0</v>
      </c>
      <c r="X102">
        <f>IF(Source!BI93&lt;=1,I102, 0)</f>
        <v>389.79</v>
      </c>
      <c r="Y102">
        <f>IF(Source!BI93=2,I102, 0)</f>
        <v>0</v>
      </c>
      <c r="Z102">
        <f>IF(Source!BI93=3,I102, 0)</f>
        <v>0</v>
      </c>
      <c r="AA102">
        <f>IF(Source!BI93=4,I102, 0)</f>
        <v>0</v>
      </c>
      <c r="AI102">
        <v>3</v>
      </c>
    </row>
    <row r="103" spans="1:35" ht="14.25" x14ac:dyDescent="0.2">
      <c r="A103" s="37"/>
      <c r="B103" s="37"/>
      <c r="C103" s="37" t="s">
        <v>553</v>
      </c>
      <c r="D103" s="39" t="s">
        <v>554</v>
      </c>
      <c r="E103" s="38">
        <f>Source!BZ89</f>
        <v>101</v>
      </c>
      <c r="F103" s="41"/>
      <c r="G103" s="40"/>
      <c r="H103" s="38"/>
      <c r="I103" s="41">
        <f>SUM(Q93:Q102)</f>
        <v>16.29</v>
      </c>
      <c r="J103" s="38">
        <f>Source!AT89</f>
        <v>101</v>
      </c>
      <c r="K103" s="41">
        <f>SUM(R93:R102)</f>
        <v>929.41</v>
      </c>
    </row>
    <row r="104" spans="1:35" ht="14.25" x14ac:dyDescent="0.2">
      <c r="A104" s="37"/>
      <c r="B104" s="37"/>
      <c r="C104" s="37" t="s">
        <v>555</v>
      </c>
      <c r="D104" s="39" t="s">
        <v>554</v>
      </c>
      <c r="E104" s="38">
        <f>Source!CA89</f>
        <v>55</v>
      </c>
      <c r="F104" s="41"/>
      <c r="G104" s="40"/>
      <c r="H104" s="38"/>
      <c r="I104" s="41">
        <f>SUM(S93:S103)</f>
        <v>8.8699999999999992</v>
      </c>
      <c r="J104" s="38">
        <f>Source!AU89</f>
        <v>55</v>
      </c>
      <c r="K104" s="41">
        <f>SUM(T93:T103)</f>
        <v>506.12</v>
      </c>
    </row>
    <row r="105" spans="1:35" ht="14.25" x14ac:dyDescent="0.2">
      <c r="A105" s="44"/>
      <c r="B105" s="44"/>
      <c r="C105" s="44" t="s">
        <v>556</v>
      </c>
      <c r="D105" s="45" t="s">
        <v>557</v>
      </c>
      <c r="E105" s="46">
        <f>Source!AQ89</f>
        <v>6.66</v>
      </c>
      <c r="F105" s="47"/>
      <c r="G105" s="48" t="s">
        <v>560</v>
      </c>
      <c r="H105" s="46">
        <f>Source!AV89</f>
        <v>1</v>
      </c>
      <c r="I105" s="47">
        <f>Source!U89</f>
        <v>1.3326659999999999</v>
      </c>
      <c r="J105" s="46"/>
      <c r="K105" s="47"/>
      <c r="AB105" s="43">
        <f>I105</f>
        <v>1.3326659999999999</v>
      </c>
    </row>
    <row r="106" spans="1:35" ht="15" x14ac:dyDescent="0.2">
      <c r="C106" s="49" t="s">
        <v>558</v>
      </c>
      <c r="H106" s="50">
        <f>I95+I96+I98+I103+I104+SUM(I99:I102)-SUMIF(AI99:AI102, 5, I99:I102)-SUMIF(AI99:AI102, 6, I99:I102)</f>
        <v>2069.35</v>
      </c>
      <c r="I106" s="50"/>
      <c r="J106" s="50">
        <f>K95+K96+K98+K103+K104+SUM(K99:K102)-SUMIF(AI99:AI102, 5, K99:K102)-SUMIF(AI99:AI102, 6, K99:K102)</f>
        <v>10812.08</v>
      </c>
      <c r="K106" s="50"/>
    </row>
    <row r="107" spans="1:35" ht="15" hidden="1" x14ac:dyDescent="0.2">
      <c r="C107" s="49" t="s">
        <v>559</v>
      </c>
      <c r="H107" s="52">
        <f>SUMIF(AI99:AI102, 5, I99:I102)+SUMIF(AI99:AI102, 6, I99:I102)</f>
        <v>0</v>
      </c>
      <c r="I107" s="52"/>
      <c r="J107" s="52">
        <f>SUMIF(AI99:AI102, 5, K99:K102)+SUMIF(AI99:AI102, 6, K99:K102)</f>
        <v>0</v>
      </c>
      <c r="K107" s="52"/>
    </row>
    <row r="108" spans="1:35" ht="15" x14ac:dyDescent="0.2">
      <c r="H108" s="52"/>
      <c r="I108" s="52"/>
      <c r="J108" s="52"/>
      <c r="K108" s="52"/>
      <c r="O108" s="43">
        <f>I95+I96+I98+I103+I104+SUM(I99:I102)</f>
        <v>2069.35</v>
      </c>
      <c r="P108" s="43">
        <f>K95+K96+K98+K103+K104+SUM(K99:K102)</f>
        <v>10812.08</v>
      </c>
      <c r="X108">
        <f>IF(Source!BI89&lt;=1,I95+I96+I98+I103+I104-0, 0)</f>
        <v>76.330000000000013</v>
      </c>
      <c r="Y108">
        <f>IF(Source!BI89=2,I95+I96+I98+I103+I104-0, 0)</f>
        <v>0</v>
      </c>
      <c r="Z108">
        <f>IF(Source!BI89=3,I95+I96+I98+I103+I104-0, 0)</f>
        <v>0</v>
      </c>
      <c r="AA108">
        <f>IF(Source!BI89=4,I95+I96+I98+I103+I104,0)</f>
        <v>0</v>
      </c>
    </row>
    <row r="110" spans="1:35" ht="28.5" x14ac:dyDescent="0.2">
      <c r="A110" s="37">
        <v>11</v>
      </c>
      <c r="B110" s="37" t="str">
        <f>Source!F94</f>
        <v>3.11-39-1</v>
      </c>
      <c r="C110" s="37" t="s">
        <v>205</v>
      </c>
      <c r="D110" s="39" t="str">
        <f>Source!H94</f>
        <v>100 м</v>
      </c>
      <c r="E110" s="38">
        <f>Source!I94</f>
        <v>8.9999999999999993E-3</v>
      </c>
      <c r="F110" s="41"/>
      <c r="G110" s="40"/>
      <c r="H110" s="38"/>
      <c r="I110" s="41"/>
      <c r="J110" s="38"/>
      <c r="K110" s="41"/>
      <c r="Q110">
        <f>ROUND((Source!BZ94/100)*(ROUND((ROUND((Source!AF94*Source!AV94*Source!I94),2)),2)+(ROUND((ROUND((((Source!EU94*1.15))*Source!AV94*Source!I94),2)),2)+ROUND((ROUND(((Source!AE94-((Source!EU94*1.15)))*Source!AV94*Source!I94),2)),2))), 2)</f>
        <v>1.98</v>
      </c>
      <c r="R110">
        <f>Source!X94</f>
        <v>112.94</v>
      </c>
      <c r="S110">
        <f>ROUND((Source!CA94/100)*(ROUND((ROUND((Source!AF94*Source!AV94*Source!I94),2)),2)+(ROUND((ROUND((((Source!EU94*1.15))*Source!AV94*Source!I94),2)),2)+ROUND((ROUND(((Source!AE94-((Source!EU94*1.15)))*Source!AV94*Source!I94),2)),2))), 2)</f>
        <v>1.08</v>
      </c>
      <c r="T110">
        <f>Source!Y94</f>
        <v>61.5</v>
      </c>
      <c r="U110">
        <f>ROUND((175/100)*((ROUND((ROUND((((Source!EU94*1.15))*Source!AV94*Source!I94),2)),2)+ROUND((ROUND(((Source!AE94-((Source!EU94*1.15)))*Source!AV94*Source!I94),2)),2))), 2)</f>
        <v>0</v>
      </c>
      <c r="V110">
        <f>ROUND((0/100)*((ROUND((ROUND((((Source!EU94*1.15))*Source!AV94*Source!I94),2)*Source!BS94),2)+ROUND((ROUND(((Source!AE94-((Source!EU94*1.15)))*Source!AV94*Source!I94),2)*Source!BS94),2))), 2)</f>
        <v>0</v>
      </c>
      <c r="AI110">
        <v>0</v>
      </c>
    </row>
    <row r="111" spans="1:35" x14ac:dyDescent="0.2">
      <c r="C111" s="42" t="str">
        <f>"Объем: "&amp;Source!I94&amp;"=0,9/"&amp;"100"</f>
        <v>Объем: 0,009=0,9/100</v>
      </c>
    </row>
    <row r="112" spans="1:35" ht="14.25" x14ac:dyDescent="0.2">
      <c r="A112" s="37"/>
      <c r="B112" s="37"/>
      <c r="C112" s="37" t="s">
        <v>552</v>
      </c>
      <c r="D112" s="39"/>
      <c r="E112" s="38"/>
      <c r="F112" s="41">
        <f>Source!AO94</f>
        <v>189.38</v>
      </c>
      <c r="G112" s="40" t="s">
        <v>560</v>
      </c>
      <c r="H112" s="38">
        <f>Source!AV94</f>
        <v>1</v>
      </c>
      <c r="I112" s="41">
        <f>ROUND((ROUND((Source!AF94*Source!AV94*Source!I94),2)),2)</f>
        <v>1.96</v>
      </c>
      <c r="J112" s="38">
        <f>IF(Source!BA94&lt;&gt; 0, Source!BA94, 1)</f>
        <v>57.05</v>
      </c>
      <c r="K112" s="41">
        <f>Source!S94</f>
        <v>111.82</v>
      </c>
      <c r="W112">
        <f>I112</f>
        <v>1.96</v>
      </c>
    </row>
    <row r="113" spans="1:35" ht="14.25" x14ac:dyDescent="0.2">
      <c r="A113" s="37"/>
      <c r="B113" s="37"/>
      <c r="C113" s="37" t="s">
        <v>561</v>
      </c>
      <c r="D113" s="39"/>
      <c r="E113" s="38"/>
      <c r="F113" s="41">
        <f>Source!AM94</f>
        <v>7.97</v>
      </c>
      <c r="G113" s="40" t="s">
        <v>560</v>
      </c>
      <c r="H113" s="38">
        <f>Source!AV94</f>
        <v>1</v>
      </c>
      <c r="I113" s="41">
        <f>(ROUND((ROUND((((Source!ET94*1.15))*Source!AV94*Source!I94),2)),2)+ROUND((ROUND(((Source!AE94-((Source!EU94*1.15)))*Source!AV94*Source!I94),2)),2))</f>
        <v>0.08</v>
      </c>
      <c r="J113" s="38">
        <f>IF(Source!BB94&lt;&gt; 0, Source!BB94, 1)</f>
        <v>13.09</v>
      </c>
      <c r="K113" s="41">
        <f>Source!Q94</f>
        <v>1.05</v>
      </c>
    </row>
    <row r="114" spans="1:35" ht="14.25" x14ac:dyDescent="0.2">
      <c r="A114" s="37"/>
      <c r="B114" s="37"/>
      <c r="C114" s="37" t="s">
        <v>563</v>
      </c>
      <c r="D114" s="39"/>
      <c r="E114" s="38"/>
      <c r="F114" s="41">
        <f>Source!AL94</f>
        <v>45.25</v>
      </c>
      <c r="G114" s="40"/>
      <c r="H114" s="38">
        <f>Source!AW94</f>
        <v>1</v>
      </c>
      <c r="I114" s="41">
        <f>ROUND((ROUND((Source!AC94*Source!AW94*Source!I94),2)),2)</f>
        <v>0.41</v>
      </c>
      <c r="J114" s="38">
        <f>IF(Source!BC94&lt;&gt; 0, Source!BC94, 1)</f>
        <v>2.93</v>
      </c>
      <c r="K114" s="41">
        <f>Source!P94</f>
        <v>1.2</v>
      </c>
    </row>
    <row r="115" spans="1:35" ht="28.5" x14ac:dyDescent="0.2">
      <c r="A115" s="37" t="s">
        <v>208</v>
      </c>
      <c r="B115" s="37" t="str">
        <f>Source!F95</f>
        <v>1.7-12-31</v>
      </c>
      <c r="C115" s="37" t="s">
        <v>210</v>
      </c>
      <c r="D115" s="39" t="str">
        <f>Source!H95</f>
        <v>м</v>
      </c>
      <c r="E115" s="38">
        <f>Source!I95</f>
        <v>0.94499999999999995</v>
      </c>
      <c r="F115" s="41">
        <f>Source!AK95</f>
        <v>8.7899999999999991</v>
      </c>
      <c r="G115" s="54" t="s">
        <v>3</v>
      </c>
      <c r="H115" s="38">
        <f>Source!AW95</f>
        <v>1</v>
      </c>
      <c r="I115" s="41">
        <f>ROUND((ROUND((Source!AC95*Source!AW95*Source!I95),2)),2)+(ROUND((ROUND(((Source!ET95)*Source!AV95*Source!I95),2)),2)+ROUND((ROUND(((Source!AE95-(Source!EU95))*Source!AV95*Source!I95),2)),2))+ROUND((ROUND((Source!AF95*Source!AV95*Source!I95),2)),2)</f>
        <v>8.31</v>
      </c>
      <c r="J115" s="38">
        <f>IF(Source!BC95&lt;&gt; 0, Source!BC95, 1)</f>
        <v>17.989999999999998</v>
      </c>
      <c r="K115" s="41">
        <f>Source!O95</f>
        <v>149.5</v>
      </c>
      <c r="Q115">
        <f>ROUND((Source!BZ95/100)*(ROUND((ROUND((Source!AF95*Source!AV95*Source!I95),2)),2)+(ROUND((ROUND(((Source!EU95)*Source!AV95*Source!I95),2)),2)+ROUND((ROUND(((Source!AE95-(Source!EU95))*Source!AV95*Source!I95),2)),2))), 2)</f>
        <v>0</v>
      </c>
      <c r="R115">
        <f>Source!X95</f>
        <v>0</v>
      </c>
      <c r="S115">
        <f>ROUND((Source!CA95/100)*(ROUND((ROUND((Source!AF95*Source!AV95*Source!I95),2)),2)+(ROUND((ROUND(((Source!EU95)*Source!AV95*Source!I95),2)),2)+ROUND((ROUND(((Source!AE95-(Source!EU95))*Source!AV95*Source!I95),2)),2))), 2)</f>
        <v>0</v>
      </c>
      <c r="T115">
        <f>Source!Y95</f>
        <v>0</v>
      </c>
      <c r="U115">
        <f>ROUND((175/100)*((ROUND((ROUND(((Source!EU95)*Source!AV95*Source!I95),2)),2)+ROUND((ROUND(((Source!AE95-(Source!EU95))*Source!AV95*Source!I95),2)),2))), 2)</f>
        <v>0</v>
      </c>
      <c r="V115">
        <f>ROUND((0/100)*((ROUND((ROUND(((Source!EU95)*Source!AV95*Source!I95),2)*Source!BS95),2)+ROUND((ROUND(((Source!AE95-(Source!EU95))*Source!AV95*Source!I95),2)*Source!BS95),2))), 2)</f>
        <v>0</v>
      </c>
      <c r="X115">
        <f>IF(Source!BI95&lt;=1,I115, 0)</f>
        <v>8.31</v>
      </c>
      <c r="Y115">
        <f>IF(Source!BI95=2,I115, 0)</f>
        <v>0</v>
      </c>
      <c r="Z115">
        <f>IF(Source!BI95=3,I115, 0)</f>
        <v>0</v>
      </c>
      <c r="AA115">
        <f>IF(Source!BI95=4,I115, 0)</f>
        <v>0</v>
      </c>
      <c r="AI115">
        <v>3</v>
      </c>
    </row>
    <row r="116" spans="1:35" ht="14.25" x14ac:dyDescent="0.2">
      <c r="A116" s="37"/>
      <c r="B116" s="37"/>
      <c r="C116" s="37" t="s">
        <v>553</v>
      </c>
      <c r="D116" s="39" t="s">
        <v>554</v>
      </c>
      <c r="E116" s="38">
        <f>Source!BZ94</f>
        <v>101</v>
      </c>
      <c r="F116" s="41"/>
      <c r="G116" s="40"/>
      <c r="H116" s="38"/>
      <c r="I116" s="41">
        <f>SUM(Q110:Q115)</f>
        <v>1.98</v>
      </c>
      <c r="J116" s="38">
        <f>Source!AT94</f>
        <v>101</v>
      </c>
      <c r="K116" s="41">
        <f>SUM(R110:R115)</f>
        <v>112.94</v>
      </c>
    </row>
    <row r="117" spans="1:35" ht="14.25" x14ac:dyDescent="0.2">
      <c r="A117" s="37"/>
      <c r="B117" s="37"/>
      <c r="C117" s="37" t="s">
        <v>555</v>
      </c>
      <c r="D117" s="39" t="s">
        <v>554</v>
      </c>
      <c r="E117" s="38">
        <f>Source!CA94</f>
        <v>55</v>
      </c>
      <c r="F117" s="41"/>
      <c r="G117" s="40"/>
      <c r="H117" s="38"/>
      <c r="I117" s="41">
        <f>SUM(S110:S116)</f>
        <v>1.08</v>
      </c>
      <c r="J117" s="38">
        <f>Source!AU94</f>
        <v>55</v>
      </c>
      <c r="K117" s="41">
        <f>SUM(T110:T116)</f>
        <v>61.5</v>
      </c>
    </row>
    <row r="118" spans="1:35" ht="14.25" x14ac:dyDescent="0.2">
      <c r="A118" s="44"/>
      <c r="B118" s="44"/>
      <c r="C118" s="44" t="s">
        <v>556</v>
      </c>
      <c r="D118" s="45" t="s">
        <v>557</v>
      </c>
      <c r="E118" s="46">
        <f>Source!AQ94</f>
        <v>16.64</v>
      </c>
      <c r="F118" s="47"/>
      <c r="G118" s="48" t="s">
        <v>560</v>
      </c>
      <c r="H118" s="46">
        <f>Source!AV94</f>
        <v>1</v>
      </c>
      <c r="I118" s="47">
        <f>Source!U94</f>
        <v>0.17222399999999999</v>
      </c>
      <c r="J118" s="46"/>
      <c r="K118" s="47"/>
      <c r="AB118" s="43">
        <f>I118</f>
        <v>0.17222399999999999</v>
      </c>
    </row>
    <row r="119" spans="1:35" ht="15" x14ac:dyDescent="0.2">
      <c r="C119" s="49" t="s">
        <v>558</v>
      </c>
      <c r="H119" s="50">
        <f>I112+I113+I114+I116+I117+SUM(I115:I115)-SUMIF(AI115:AI115, 5, I115:I115)-SUMIF(AI115:AI115, 6, I115:I115)</f>
        <v>13.82</v>
      </c>
      <c r="I119" s="50"/>
      <c r="J119" s="50">
        <f>K112+K113+K114+K116+K117+SUM(K115:K115)-SUMIF(AI115:AI115, 5, K115:K115)-SUMIF(AI115:AI115, 6, K115:K115)</f>
        <v>438.01</v>
      </c>
      <c r="K119" s="50"/>
    </row>
    <row r="120" spans="1:35" ht="15" hidden="1" x14ac:dyDescent="0.2">
      <c r="C120" s="49" t="s">
        <v>559</v>
      </c>
      <c r="H120" s="52">
        <f>SUMIF(AI115:AI115, 5, I115:I115)+SUMIF(AI115:AI115, 6, I115:I115)</f>
        <v>0</v>
      </c>
      <c r="I120" s="52"/>
      <c r="J120" s="52">
        <f>SUMIF(AI115:AI115, 5, K115:K115)+SUMIF(AI115:AI115, 6, K115:K115)</f>
        <v>0</v>
      </c>
      <c r="K120" s="52"/>
    </row>
    <row r="121" spans="1:35" ht="15" x14ac:dyDescent="0.2">
      <c r="H121" s="52"/>
      <c r="I121" s="52"/>
      <c r="J121" s="52"/>
      <c r="K121" s="52"/>
      <c r="O121" s="43">
        <f>I112+I113+I114+I116+I117+SUM(I115:I115)</f>
        <v>13.82</v>
      </c>
      <c r="P121" s="43">
        <f>K112+K113+K114+K116+K117+SUM(K115:K115)</f>
        <v>438.01</v>
      </c>
      <c r="X121">
        <f>IF(Source!BI94&lt;=1,I112+I113+I114+I116+I117-0, 0)</f>
        <v>5.51</v>
      </c>
      <c r="Y121">
        <f>IF(Source!BI94=2,I112+I113+I114+I116+I117-0, 0)</f>
        <v>0</v>
      </c>
      <c r="Z121">
        <f>IF(Source!BI94=3,I112+I113+I114+I116+I117-0, 0)</f>
        <v>0</v>
      </c>
      <c r="AA121">
        <f>IF(Source!BI94=4,I112+I113+I114+I116+I117,0)</f>
        <v>0</v>
      </c>
    </row>
    <row r="124" spans="1:35" ht="15" x14ac:dyDescent="0.25">
      <c r="A124" s="56" t="str">
        <f>CONCATENATE("Итого по подразделу: ",IF(Source!G97&lt;&gt;"Новый подраздел", Source!G97, ""))</f>
        <v>Итого по подразделу: Полы</v>
      </c>
      <c r="B124" s="56"/>
      <c r="C124" s="56"/>
      <c r="D124" s="56"/>
      <c r="E124" s="56"/>
      <c r="F124" s="56"/>
      <c r="G124" s="56"/>
      <c r="H124" s="52">
        <f>SUM(O33:O123)</f>
        <v>3723.2999999999997</v>
      </c>
      <c r="I124" s="51"/>
      <c r="J124" s="52">
        <f>SUM(P33:P123)</f>
        <v>75670.41</v>
      </c>
      <c r="K124" s="51"/>
    </row>
    <row r="125" spans="1:35" hidden="1" x14ac:dyDescent="0.2">
      <c r="A125" t="s">
        <v>564</v>
      </c>
      <c r="H125">
        <f>SUM(AC33:AC124)</f>
        <v>0</v>
      </c>
      <c r="J125">
        <f>SUM(AD33:AD124)</f>
        <v>0</v>
      </c>
    </row>
    <row r="126" spans="1:35" hidden="1" x14ac:dyDescent="0.2">
      <c r="A126" t="s">
        <v>565</v>
      </c>
      <c r="H126">
        <f>SUM(AE33:AE125)</f>
        <v>0</v>
      </c>
      <c r="J126">
        <f>SUM(AF33:AF125)</f>
        <v>0</v>
      </c>
    </row>
    <row r="128" spans="1:35" ht="16.5" x14ac:dyDescent="0.2">
      <c r="A128" s="36" t="str">
        <f>CONCATENATE("Подраздел: ",IF(Source!G127&lt;&gt;"Новый подраздел", Source!G127, ""))</f>
        <v>Подраздел: Стены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35" ht="42.75" x14ac:dyDescent="0.2">
      <c r="A129" s="37">
        <v>12</v>
      </c>
      <c r="B129" s="37" t="str">
        <f>Source!F131</f>
        <v>6.62-31-1</v>
      </c>
      <c r="C129" s="37" t="s">
        <v>215</v>
      </c>
      <c r="D129" s="39" t="str">
        <f>Source!H131</f>
        <v>1 м2 поверхности</v>
      </c>
      <c r="E129" s="38">
        <f>Source!I131</f>
        <v>43.2</v>
      </c>
      <c r="F129" s="41"/>
      <c r="G129" s="40"/>
      <c r="H129" s="38"/>
      <c r="I129" s="41"/>
      <c r="J129" s="38"/>
      <c r="K129" s="41"/>
      <c r="Q129">
        <f>ROUND((Source!BZ131/100)*(ROUND((ROUND((Source!AF131*Source!AV131*Source!I131),2)),2)+(ROUND((ROUND(((Source!EU131)*Source!AV131*Source!I131),2)),2)+ROUND((ROUND(((Source!AE131-(Source!EU131))*Source!AV131*Source!I131),2)),2))), 2)</f>
        <v>238.34</v>
      </c>
      <c r="R129">
        <f>Source!X131</f>
        <v>13597.18</v>
      </c>
      <c r="S129">
        <f>ROUND((Source!CA131/100)*(ROUND((ROUND((Source!AF131*Source!AV131*Source!I131),2)),2)+(ROUND((ROUND(((Source!EU131)*Source!AV131*Source!I131),2)),2)+ROUND((ROUND(((Source!AE131-(Source!EU131))*Source!AV131*Source!I131),2)),2))), 2)</f>
        <v>121.82</v>
      </c>
      <c r="T129">
        <f>Source!Y131</f>
        <v>6949.67</v>
      </c>
      <c r="U129">
        <f>ROUND((175/100)*((ROUND((ROUND(((Source!EU131)*Source!AV131*Source!I131),2)),2)+ROUND((ROUND(((Source!AE131-(Source!EU131))*Source!AV131*Source!I131),2)),2))), 2)</f>
        <v>0</v>
      </c>
      <c r="V129">
        <f>ROUND((0/100)*((ROUND((ROUND(((Source!EU131)*Source!AV131*Source!I131),2)*Source!BS131),2)+ROUND((ROUND(((Source!AE131-(Source!EU131))*Source!AV131*Source!I131),2)*Source!BS131),2))), 2)</f>
        <v>0</v>
      </c>
      <c r="AI129">
        <v>0</v>
      </c>
    </row>
    <row r="130" spans="1:35" ht="14.25" x14ac:dyDescent="0.2">
      <c r="A130" s="37"/>
      <c r="B130" s="37"/>
      <c r="C130" s="37" t="s">
        <v>552</v>
      </c>
      <c r="D130" s="39"/>
      <c r="E130" s="38"/>
      <c r="F130" s="41">
        <f>Source!AO131</f>
        <v>6.13</v>
      </c>
      <c r="G130" s="40"/>
      <c r="H130" s="38">
        <f>Source!AV131</f>
        <v>1</v>
      </c>
      <c r="I130" s="41">
        <f>ROUND((ROUND((Source!AF131*Source!AV131*Source!I131),2)),2)</f>
        <v>264.82</v>
      </c>
      <c r="J130" s="38">
        <f>IF(Source!BA131&lt;&gt; 0, Source!BA131, 1)</f>
        <v>57.05</v>
      </c>
      <c r="K130" s="41">
        <f>Source!S131</f>
        <v>15107.98</v>
      </c>
      <c r="W130">
        <f>I130</f>
        <v>264.82</v>
      </c>
    </row>
    <row r="131" spans="1:35" ht="14.25" x14ac:dyDescent="0.2">
      <c r="A131" s="37"/>
      <c r="B131" s="37"/>
      <c r="C131" s="37" t="s">
        <v>553</v>
      </c>
      <c r="D131" s="39" t="s">
        <v>554</v>
      </c>
      <c r="E131" s="38">
        <f>Source!BZ131</f>
        <v>90</v>
      </c>
      <c r="F131" s="41"/>
      <c r="G131" s="40"/>
      <c r="H131" s="38"/>
      <c r="I131" s="41">
        <f>SUM(Q129:Q130)</f>
        <v>238.34</v>
      </c>
      <c r="J131" s="38">
        <f>Source!AT131</f>
        <v>90</v>
      </c>
      <c r="K131" s="41">
        <f>SUM(R129:R130)</f>
        <v>13597.18</v>
      </c>
    </row>
    <row r="132" spans="1:35" ht="14.25" x14ac:dyDescent="0.2">
      <c r="A132" s="37"/>
      <c r="B132" s="37"/>
      <c r="C132" s="37" t="s">
        <v>555</v>
      </c>
      <c r="D132" s="39" t="s">
        <v>554</v>
      </c>
      <c r="E132" s="38">
        <f>Source!CA131</f>
        <v>46</v>
      </c>
      <c r="F132" s="41"/>
      <c r="G132" s="40"/>
      <c r="H132" s="38"/>
      <c r="I132" s="41">
        <f>SUM(S129:S131)</f>
        <v>121.82</v>
      </c>
      <c r="J132" s="38">
        <f>Source!AU131</f>
        <v>46</v>
      </c>
      <c r="K132" s="41">
        <f>SUM(T129:T131)</f>
        <v>6949.67</v>
      </c>
    </row>
    <row r="133" spans="1:35" ht="14.25" x14ac:dyDescent="0.2">
      <c r="A133" s="44"/>
      <c r="B133" s="44"/>
      <c r="C133" s="44" t="s">
        <v>556</v>
      </c>
      <c r="D133" s="45" t="s">
        <v>557</v>
      </c>
      <c r="E133" s="46">
        <f>Source!AQ131</f>
        <v>0.6</v>
      </c>
      <c r="F133" s="47"/>
      <c r="G133" s="48"/>
      <c r="H133" s="46">
        <f>Source!AV131</f>
        <v>1</v>
      </c>
      <c r="I133" s="47">
        <f>Source!U131</f>
        <v>25.92</v>
      </c>
      <c r="J133" s="46"/>
      <c r="K133" s="47"/>
      <c r="AB133" s="43">
        <f>I133</f>
        <v>25.92</v>
      </c>
    </row>
    <row r="134" spans="1:35" ht="15" x14ac:dyDescent="0.2">
      <c r="C134" s="49" t="s">
        <v>558</v>
      </c>
      <c r="H134" s="50">
        <f>I130+I131+I132+0-0-0</f>
        <v>624.98</v>
      </c>
      <c r="I134" s="50"/>
      <c r="J134" s="50">
        <f>K130+K131+K132+0-0-0</f>
        <v>35654.83</v>
      </c>
      <c r="K134" s="50"/>
    </row>
    <row r="135" spans="1:35" ht="15" hidden="1" x14ac:dyDescent="0.2">
      <c r="C135" s="49" t="s">
        <v>559</v>
      </c>
      <c r="H135" s="52">
        <f>0+0</f>
        <v>0</v>
      </c>
      <c r="I135" s="52"/>
      <c r="J135" s="52">
        <f>0+0</f>
        <v>0</v>
      </c>
      <c r="K135" s="52"/>
    </row>
    <row r="136" spans="1:35" ht="15" x14ac:dyDescent="0.2">
      <c r="H136" s="52"/>
      <c r="I136" s="52"/>
      <c r="J136" s="52"/>
      <c r="K136" s="52"/>
      <c r="O136" s="43">
        <f>I130+I131+I132+0</f>
        <v>624.98</v>
      </c>
      <c r="P136" s="43">
        <f>K130+K131+K132+0</f>
        <v>35654.83</v>
      </c>
      <c r="X136">
        <f>IF(Source!BI131&lt;=1,I130+I131+I132-0, 0)</f>
        <v>624.98</v>
      </c>
      <c r="Y136">
        <f>IF(Source!BI131=2,I130+I131+I132-0, 0)</f>
        <v>0</v>
      </c>
      <c r="Z136">
        <f>IF(Source!BI131=3,I130+I131+I132-0, 0)</f>
        <v>0</v>
      </c>
      <c r="AA136">
        <f>IF(Source!BI131=4,I130+I131+I132,0)</f>
        <v>0</v>
      </c>
    </row>
    <row r="138" spans="1:35" ht="57" x14ac:dyDescent="0.2">
      <c r="A138" s="37">
        <v>13</v>
      </c>
      <c r="B138" s="37" t="str">
        <f>Source!F132</f>
        <v>6.61-2-3</v>
      </c>
      <c r="C138" s="37" t="s">
        <v>222</v>
      </c>
      <c r="D138" s="39" t="str">
        <f>Source!H132</f>
        <v>100 м2</v>
      </c>
      <c r="E138" s="38">
        <f>Source!I132</f>
        <v>0.17280000000000001</v>
      </c>
      <c r="F138" s="41"/>
      <c r="G138" s="40"/>
      <c r="H138" s="38"/>
      <c r="I138" s="41"/>
      <c r="J138" s="38"/>
      <c r="K138" s="41"/>
      <c r="Q138">
        <f>ROUND((Source!BZ132/100)*(ROUND((ROUND((Source!AF132*Source!AV132*Source!I132),2)),2)+(ROUND((ROUND(((Source!EU132)*Source!AV132*Source!I132),2)),2)+ROUND((ROUND(((Source!AE132-(Source!EU132))*Source!AV132*Source!I132),2)),2))), 2)</f>
        <v>322.11</v>
      </c>
      <c r="R138">
        <f>Source!X132</f>
        <v>18376.310000000001</v>
      </c>
      <c r="S138">
        <f>ROUND((Source!CA132/100)*(ROUND((ROUND((Source!AF132*Source!AV132*Source!I132),2)),2)+(ROUND((ROUND(((Source!EU132)*Source!AV132*Source!I132),2)),2)+ROUND((ROUND(((Source!AE132-(Source!EU132))*Source!AV132*Source!I132),2)),2))), 2)</f>
        <v>159.24</v>
      </c>
      <c r="T138">
        <f>Source!Y132</f>
        <v>9084.92</v>
      </c>
      <c r="U138">
        <f>ROUND((175/100)*((ROUND((ROUND(((Source!EU132)*Source!AV132*Source!I132),2)),2)+ROUND((ROUND(((Source!AE132-(Source!EU132))*Source!AV132*Source!I132),2)),2))), 2)</f>
        <v>0</v>
      </c>
      <c r="V138">
        <f>ROUND((0/100)*((ROUND((ROUND(((Source!EU132)*Source!AV132*Source!I132),2)*Source!BS132),2)+ROUND((ROUND(((Source!AE132-(Source!EU132))*Source!AV132*Source!I132),2)*Source!BS132),2))), 2)</f>
        <v>0</v>
      </c>
      <c r="AI138">
        <v>0</v>
      </c>
    </row>
    <row r="139" spans="1:35" x14ac:dyDescent="0.2">
      <c r="C139" s="42" t="str">
        <f>"Объем: "&amp;Source!I132&amp;"=17,28/"&amp;"100"</f>
        <v>Объем: 0,1728=17,28/100</v>
      </c>
    </row>
    <row r="140" spans="1:35" ht="14.25" x14ac:dyDescent="0.2">
      <c r="A140" s="37"/>
      <c r="B140" s="37"/>
      <c r="C140" s="37" t="s">
        <v>552</v>
      </c>
      <c r="D140" s="39"/>
      <c r="E140" s="38"/>
      <c r="F140" s="41">
        <f>Source!AO132</f>
        <v>2094.42</v>
      </c>
      <c r="G140" s="40"/>
      <c r="H140" s="38">
        <f>Source!AV132</f>
        <v>1</v>
      </c>
      <c r="I140" s="41">
        <f>ROUND((ROUND((Source!AF132*Source!AV132*Source!I132),2)),2)</f>
        <v>361.92</v>
      </c>
      <c r="J140" s="38">
        <f>IF(Source!BA132&lt;&gt; 0, Source!BA132, 1)</f>
        <v>57.05</v>
      </c>
      <c r="K140" s="41">
        <f>Source!S132</f>
        <v>20647.54</v>
      </c>
      <c r="W140">
        <f>I140</f>
        <v>361.92</v>
      </c>
    </row>
    <row r="141" spans="1:35" ht="14.25" x14ac:dyDescent="0.2">
      <c r="A141" s="37" t="s">
        <v>226</v>
      </c>
      <c r="B141" s="37" t="str">
        <f>Source!F133</f>
        <v>1.3-2-15</v>
      </c>
      <c r="C141" s="37" t="s">
        <v>228</v>
      </c>
      <c r="D141" s="39" t="str">
        <f>Source!H133</f>
        <v>м3</v>
      </c>
      <c r="E141" s="38">
        <f>Source!I133</f>
        <v>0.38016</v>
      </c>
      <c r="F141" s="41">
        <f>Source!AK133</f>
        <v>529.41999999999996</v>
      </c>
      <c r="G141" s="54" t="s">
        <v>3</v>
      </c>
      <c r="H141" s="38">
        <f>Source!AW133</f>
        <v>1</v>
      </c>
      <c r="I141" s="41">
        <f>ROUND((ROUND((Source!AC133*Source!AW133*Source!I133),2)),2)+(ROUND((ROUND(((Source!ET133)*Source!AV133*Source!I133),2)),2)+ROUND((ROUND(((Source!AE133-(Source!EU133))*Source!AV133*Source!I133),2)),2))+ROUND((ROUND((Source!AF133*Source!AV133*Source!I133),2)),2)</f>
        <v>201.26</v>
      </c>
      <c r="J141" s="38">
        <f>IF(Source!BC133&lt;&gt; 0, Source!BC133, 1)</f>
        <v>7.49</v>
      </c>
      <c r="K141" s="41">
        <f>Source!O133</f>
        <v>1507.44</v>
      </c>
      <c r="Q141">
        <f>ROUND((Source!BZ133/100)*(ROUND((ROUND((Source!AF133*Source!AV133*Source!I133),2)),2)+(ROUND((ROUND(((Source!EU133)*Source!AV133*Source!I133),2)),2)+ROUND((ROUND(((Source!AE133-(Source!EU133))*Source!AV133*Source!I133),2)),2))), 2)</f>
        <v>0</v>
      </c>
      <c r="R141">
        <f>Source!X133</f>
        <v>0</v>
      </c>
      <c r="S141">
        <f>ROUND((Source!CA133/100)*(ROUND((ROUND((Source!AF133*Source!AV133*Source!I133),2)),2)+(ROUND((ROUND(((Source!EU133)*Source!AV133*Source!I133),2)),2)+ROUND((ROUND(((Source!AE133-(Source!EU133))*Source!AV133*Source!I133),2)),2))), 2)</f>
        <v>0</v>
      </c>
      <c r="T141">
        <f>Source!Y133</f>
        <v>0</v>
      </c>
      <c r="U141">
        <f>ROUND((175/100)*((ROUND((ROUND(((Source!EU133)*Source!AV133*Source!I133),2)),2)+ROUND((ROUND(((Source!AE133-(Source!EU133))*Source!AV133*Source!I133),2)),2))), 2)</f>
        <v>0</v>
      </c>
      <c r="V141">
        <f>ROUND((0/100)*((ROUND((ROUND(((Source!EU133)*Source!AV133*Source!I133),2)*Source!BS133),2)+ROUND((ROUND(((Source!AE133-(Source!EU133))*Source!AV133*Source!I133),2)*Source!BS133),2))), 2)</f>
        <v>0</v>
      </c>
      <c r="X141">
        <f>IF(Source!BI133&lt;=1,I141, 0)</f>
        <v>201.26</v>
      </c>
      <c r="Y141">
        <f>IF(Source!BI133=2,I141, 0)</f>
        <v>0</v>
      </c>
      <c r="Z141">
        <f>IF(Source!BI133=3,I141, 0)</f>
        <v>0</v>
      </c>
      <c r="AA141">
        <f>IF(Source!BI133=4,I141, 0)</f>
        <v>0</v>
      </c>
      <c r="AI141">
        <v>3</v>
      </c>
    </row>
    <row r="142" spans="1:35" ht="14.25" x14ac:dyDescent="0.2">
      <c r="A142" s="37"/>
      <c r="B142" s="37"/>
      <c r="C142" s="37" t="s">
        <v>553</v>
      </c>
      <c r="D142" s="39" t="s">
        <v>554</v>
      </c>
      <c r="E142" s="38">
        <f>Source!BZ132</f>
        <v>89</v>
      </c>
      <c r="F142" s="41"/>
      <c r="G142" s="40"/>
      <c r="H142" s="38"/>
      <c r="I142" s="41">
        <f>SUM(Q138:Q141)</f>
        <v>322.11</v>
      </c>
      <c r="J142" s="38">
        <f>Source!AT132</f>
        <v>89</v>
      </c>
      <c r="K142" s="41">
        <f>SUM(R138:R141)</f>
        <v>18376.310000000001</v>
      </c>
    </row>
    <row r="143" spans="1:35" ht="14.25" x14ac:dyDescent="0.2">
      <c r="A143" s="37"/>
      <c r="B143" s="37"/>
      <c r="C143" s="37" t="s">
        <v>555</v>
      </c>
      <c r="D143" s="39" t="s">
        <v>554</v>
      </c>
      <c r="E143" s="38">
        <f>Source!CA132</f>
        <v>44</v>
      </c>
      <c r="F143" s="41"/>
      <c r="G143" s="40"/>
      <c r="H143" s="38"/>
      <c r="I143" s="41">
        <f>SUM(S138:S142)</f>
        <v>159.24</v>
      </c>
      <c r="J143" s="38">
        <f>Source!AU132</f>
        <v>44</v>
      </c>
      <c r="K143" s="41">
        <f>SUM(T138:T142)</f>
        <v>9084.92</v>
      </c>
    </row>
    <row r="144" spans="1:35" ht="14.25" x14ac:dyDescent="0.2">
      <c r="A144" s="44"/>
      <c r="B144" s="44"/>
      <c r="C144" s="44" t="s">
        <v>556</v>
      </c>
      <c r="D144" s="45" t="s">
        <v>557</v>
      </c>
      <c r="E144" s="46">
        <f>Source!AQ132</f>
        <v>174.1</v>
      </c>
      <c r="F144" s="47"/>
      <c r="G144" s="48"/>
      <c r="H144" s="46">
        <f>Source!AV132</f>
        <v>1</v>
      </c>
      <c r="I144" s="47">
        <f>Source!U132</f>
        <v>30.084479999999999</v>
      </c>
      <c r="J144" s="46"/>
      <c r="K144" s="47"/>
      <c r="AB144" s="43">
        <f>I144</f>
        <v>30.084479999999999</v>
      </c>
    </row>
    <row r="145" spans="1:35" ht="15" x14ac:dyDescent="0.2">
      <c r="C145" s="49" t="s">
        <v>558</v>
      </c>
      <c r="H145" s="50">
        <f>I140+I142+I143+SUM(I141:I141)-SUMIF(AI141:AI141, 5, I141:I141)-SUMIF(AI141:AI141, 6, I141:I141)</f>
        <v>1044.53</v>
      </c>
      <c r="I145" s="50"/>
      <c r="J145" s="50">
        <f>K140+K142+K143+SUM(K141:K141)-SUMIF(AI141:AI141, 5, K141:K141)-SUMIF(AI141:AI141, 6, K141:K141)</f>
        <v>49616.210000000006</v>
      </c>
      <c r="K145" s="50"/>
    </row>
    <row r="146" spans="1:35" ht="15" hidden="1" x14ac:dyDescent="0.2">
      <c r="C146" s="49" t="s">
        <v>559</v>
      </c>
      <c r="H146" s="52">
        <f>SUMIF(AI141:AI141, 5, I141:I141)+SUMIF(AI141:AI141, 6, I141:I141)</f>
        <v>0</v>
      </c>
      <c r="I146" s="52"/>
      <c r="J146" s="52">
        <f>SUMIF(AI141:AI141, 5, K141:K141)+SUMIF(AI141:AI141, 6, K141:K141)</f>
        <v>0</v>
      </c>
      <c r="K146" s="52"/>
    </row>
    <row r="147" spans="1:35" ht="15" x14ac:dyDescent="0.2">
      <c r="H147" s="52"/>
      <c r="I147" s="52"/>
      <c r="J147" s="52"/>
      <c r="K147" s="52"/>
      <c r="O147" s="43">
        <f>I140+I142+I143+SUM(I141:I141)</f>
        <v>1044.53</v>
      </c>
      <c r="P147" s="43">
        <f>K140+K142+K143+SUM(K141:K141)</f>
        <v>49616.210000000006</v>
      </c>
      <c r="X147">
        <f>IF(Source!BI132&lt;=1,I140+I142+I143-0, 0)</f>
        <v>843.27</v>
      </c>
      <c r="Y147">
        <f>IF(Source!BI132=2,I140+I142+I143-0, 0)</f>
        <v>0</v>
      </c>
      <c r="Z147">
        <f>IF(Source!BI132=3,I140+I142+I143-0, 0)</f>
        <v>0</v>
      </c>
      <c r="AA147">
        <f>IF(Source!BI132=4,I140+I142+I143,0)</f>
        <v>0</v>
      </c>
    </row>
    <row r="149" spans="1:35" ht="71.25" x14ac:dyDescent="0.2">
      <c r="A149" s="37">
        <v>14</v>
      </c>
      <c r="B149" s="37" t="str">
        <f>Source!F134</f>
        <v>3.15-176-11</v>
      </c>
      <c r="C149" s="37" t="s">
        <v>232</v>
      </c>
      <c r="D149" s="39" t="str">
        <f>Source!H134</f>
        <v>100 м2</v>
      </c>
      <c r="E149" s="38">
        <f>Source!I134</f>
        <v>0.432</v>
      </c>
      <c r="F149" s="41"/>
      <c r="G149" s="40"/>
      <c r="H149" s="38"/>
      <c r="I149" s="41"/>
      <c r="J149" s="38"/>
      <c r="K149" s="41"/>
      <c r="Q149">
        <f>ROUND((Source!BZ134/100)*(ROUND((ROUND((Source!AF134*Source!AV134*Source!I134),2)),2)+(ROUND((ROUND((((Source!EU134*1.15))*Source!AV134*Source!I134),2)),2)+ROUND((ROUND(((Source!AE134-((Source!EU134*1.15)))*Source!AV134*Source!I134),2)),2))), 2)</f>
        <v>195.75</v>
      </c>
      <c r="R149">
        <f>Source!X134</f>
        <v>11167.53</v>
      </c>
      <c r="S149">
        <f>ROUND((Source!CA134/100)*(ROUND((ROUND((Source!AF134*Source!AV134*Source!I134),2)),2)+(ROUND((ROUND((((Source!EU134*1.15))*Source!AV134*Source!I134),2)),2)+ROUND((ROUND(((Source!AE134-((Source!EU134*1.15)))*Source!AV134*Source!I134),2)),2))), 2)</f>
        <v>91.35</v>
      </c>
      <c r="T149">
        <f>Source!Y134</f>
        <v>5211.5200000000004</v>
      </c>
      <c r="U149">
        <f>ROUND((175/100)*((ROUND((ROUND((((Source!EU134*1.15))*Source!AV134*Source!I134),2)),2)+ROUND((ROUND(((Source!AE134-((Source!EU134*1.15)))*Source!AV134*Source!I134),2)),2))), 2)</f>
        <v>1.1000000000000001</v>
      </c>
      <c r="V149">
        <f>ROUND((0/100)*((ROUND((ROUND((((Source!EU134*1.15))*Source!AV134*Source!I134),2)*Source!BS134),2)+ROUND((ROUND(((Source!AE134-((Source!EU134*1.15)))*Source!AV134*Source!I134),2)*Source!BS134),2))), 2)</f>
        <v>0</v>
      </c>
      <c r="AI149">
        <v>0</v>
      </c>
    </row>
    <row r="150" spans="1:35" x14ac:dyDescent="0.2">
      <c r="C150" s="42" t="str">
        <f>"Объем: "&amp;Source!I134&amp;"=43,2/"&amp;"100"</f>
        <v>Объем: 0,432=43,2/100</v>
      </c>
    </row>
    <row r="151" spans="1:35" ht="14.25" x14ac:dyDescent="0.2">
      <c r="A151" s="37"/>
      <c r="B151" s="37"/>
      <c r="C151" s="37" t="s">
        <v>552</v>
      </c>
      <c r="D151" s="39"/>
      <c r="E151" s="38"/>
      <c r="F151" s="41">
        <f>Source!AO134</f>
        <v>436.54</v>
      </c>
      <c r="G151" s="40" t="s">
        <v>560</v>
      </c>
      <c r="H151" s="38">
        <f>Source!AV134</f>
        <v>1</v>
      </c>
      <c r="I151" s="41">
        <f>ROUND((ROUND((Source!AF134*Source!AV134*Source!I134),2)),2)</f>
        <v>216.87</v>
      </c>
      <c r="J151" s="38">
        <f>IF(Source!BA134&lt;&gt; 0, Source!BA134, 1)</f>
        <v>57.05</v>
      </c>
      <c r="K151" s="41">
        <f>Source!S134</f>
        <v>12372.43</v>
      </c>
      <c r="W151">
        <f>I151</f>
        <v>216.87</v>
      </c>
    </row>
    <row r="152" spans="1:35" ht="14.25" x14ac:dyDescent="0.2">
      <c r="A152" s="37"/>
      <c r="B152" s="37"/>
      <c r="C152" s="37" t="s">
        <v>561</v>
      </c>
      <c r="D152" s="39"/>
      <c r="E152" s="38"/>
      <c r="F152" s="41">
        <f>Source!AM134</f>
        <v>8.73</v>
      </c>
      <c r="G152" s="40" t="s">
        <v>560</v>
      </c>
      <c r="H152" s="38">
        <f>Source!AV134</f>
        <v>1</v>
      </c>
      <c r="I152" s="41">
        <f>(ROUND((ROUND((((Source!ET134*1.15))*Source!AV134*Source!I134),2)),2)+ROUND((ROUND(((Source!AE134-((Source!EU134*1.15)))*Source!AV134*Source!I134),2)),2))</f>
        <v>4.34</v>
      </c>
      <c r="J152" s="38">
        <f>IF(Source!BB134&lt;&gt; 0, Source!BB134, 1)</f>
        <v>17.27</v>
      </c>
      <c r="K152" s="41">
        <f>Source!Q134</f>
        <v>74.95</v>
      </c>
    </row>
    <row r="153" spans="1:35" ht="14.25" x14ac:dyDescent="0.2">
      <c r="A153" s="37"/>
      <c r="B153" s="37"/>
      <c r="C153" s="37" t="s">
        <v>562</v>
      </c>
      <c r="D153" s="39"/>
      <c r="E153" s="38"/>
      <c r="F153" s="41">
        <f>Source!AN134</f>
        <v>1.26</v>
      </c>
      <c r="G153" s="40" t="s">
        <v>560</v>
      </c>
      <c r="H153" s="38">
        <f>Source!AV134</f>
        <v>1</v>
      </c>
      <c r="I153" s="53">
        <f>(ROUND((ROUND((((Source!EU134*1.15))*Source!AV134*Source!I134),2)),2)+ROUND((ROUND(((Source!AE134-((Source!EU134*1.15)))*Source!AV134*Source!I134),2)),2))</f>
        <v>0.63</v>
      </c>
      <c r="J153" s="38">
        <f>IF(Source!BS134&lt;&gt; 0, Source!BS134, 1)</f>
        <v>57.05</v>
      </c>
      <c r="K153" s="53">
        <f>Source!R134</f>
        <v>35.94</v>
      </c>
      <c r="W153">
        <f>I153</f>
        <v>0.63</v>
      </c>
    </row>
    <row r="154" spans="1:35" ht="14.25" x14ac:dyDescent="0.2">
      <c r="A154" s="37"/>
      <c r="B154" s="37"/>
      <c r="C154" s="37" t="s">
        <v>563</v>
      </c>
      <c r="D154" s="39"/>
      <c r="E154" s="38"/>
      <c r="F154" s="41">
        <f>Source!AL134</f>
        <v>83.69</v>
      </c>
      <c r="G154" s="40"/>
      <c r="H154" s="38">
        <f>Source!AW134</f>
        <v>1</v>
      </c>
      <c r="I154" s="41">
        <f>ROUND((ROUND((Source!AC134*Source!AW134*Source!I134),2)),2)</f>
        <v>36.15</v>
      </c>
      <c r="J154" s="38">
        <f>IF(Source!BC134&lt;&gt; 0, Source!BC134, 1)</f>
        <v>2.06</v>
      </c>
      <c r="K154" s="41">
        <f>Source!P134</f>
        <v>74.47</v>
      </c>
    </row>
    <row r="155" spans="1:35" ht="28.5" x14ac:dyDescent="0.2">
      <c r="A155" s="37" t="s">
        <v>236</v>
      </c>
      <c r="B155" s="37" t="str">
        <f>Source!F135</f>
        <v>1.1-1-441</v>
      </c>
      <c r="C155" s="37" t="s">
        <v>238</v>
      </c>
      <c r="D155" s="39" t="str">
        <f>Source!H135</f>
        <v>т</v>
      </c>
      <c r="E155" s="38">
        <f>Source!I135</f>
        <v>9.6849999999999992E-3</v>
      </c>
      <c r="F155" s="41">
        <f>Source!AK135</f>
        <v>20922.849999999999</v>
      </c>
      <c r="G155" s="54" t="s">
        <v>3</v>
      </c>
      <c r="H155" s="38">
        <f>Source!AW135</f>
        <v>1</v>
      </c>
      <c r="I155" s="41">
        <f>ROUND((ROUND((Source!AC135*Source!AW135*Source!I135),2)),2)+(ROUND((ROUND(((Source!ET135)*Source!AV135*Source!I135),2)),2)+ROUND((ROUND(((Source!AE135-(Source!EU135))*Source!AV135*Source!I135),2)),2))+ROUND((ROUND((Source!AF135*Source!AV135*Source!I135),2)),2)</f>
        <v>202.64</v>
      </c>
      <c r="J155" s="38">
        <f>IF(Source!BC135&lt;&gt; 0, Source!BC135, 1)</f>
        <v>3.42</v>
      </c>
      <c r="K155" s="41">
        <f>Source!O135</f>
        <v>693.03</v>
      </c>
      <c r="Q155">
        <f>ROUND((Source!BZ135/100)*(ROUND((ROUND((Source!AF135*Source!AV135*Source!I135),2)),2)+(ROUND((ROUND(((Source!EU135)*Source!AV135*Source!I135),2)),2)+ROUND((ROUND(((Source!AE135-(Source!EU135))*Source!AV135*Source!I135),2)),2))), 2)</f>
        <v>0</v>
      </c>
      <c r="R155">
        <f>Source!X135</f>
        <v>0</v>
      </c>
      <c r="S155">
        <f>ROUND((Source!CA135/100)*(ROUND((ROUND((Source!AF135*Source!AV135*Source!I135),2)),2)+(ROUND((ROUND(((Source!EU135)*Source!AV135*Source!I135),2)),2)+ROUND((ROUND(((Source!AE135-(Source!EU135))*Source!AV135*Source!I135),2)),2))), 2)</f>
        <v>0</v>
      </c>
      <c r="T155">
        <f>Source!Y135</f>
        <v>0</v>
      </c>
      <c r="U155">
        <f>ROUND((175/100)*((ROUND((ROUND(((Source!EU135)*Source!AV135*Source!I135),2)),2)+ROUND((ROUND(((Source!AE135-(Source!EU135))*Source!AV135*Source!I135),2)),2))), 2)</f>
        <v>0</v>
      </c>
      <c r="V155">
        <f>ROUND((0/100)*((ROUND((ROUND(((Source!EU135)*Source!AV135*Source!I135),2)*Source!BS135),2)+ROUND((ROUND(((Source!AE135-(Source!EU135))*Source!AV135*Source!I135),2)*Source!BS135),2))), 2)</f>
        <v>0</v>
      </c>
      <c r="X155">
        <f>IF(Source!BI135&lt;=1,I155, 0)</f>
        <v>202.64</v>
      </c>
      <c r="Y155">
        <f>IF(Source!BI135=2,I155, 0)</f>
        <v>0</v>
      </c>
      <c r="Z155">
        <f>IF(Source!BI135=3,I155, 0)</f>
        <v>0</v>
      </c>
      <c r="AA155">
        <f>IF(Source!BI135=4,I155, 0)</f>
        <v>0</v>
      </c>
      <c r="AI155">
        <v>3</v>
      </c>
    </row>
    <row r="156" spans="1:35" ht="42.75" x14ac:dyDescent="0.2">
      <c r="A156" s="37" t="s">
        <v>241</v>
      </c>
      <c r="B156" s="37" t="str">
        <f>Source!F136</f>
        <v>1.1-1-3257</v>
      </c>
      <c r="C156" s="37" t="s">
        <v>161</v>
      </c>
      <c r="D156" s="39" t="str">
        <f>Source!H136</f>
        <v>кг</v>
      </c>
      <c r="E156" s="38">
        <f>Source!I136</f>
        <v>18.36</v>
      </c>
      <c r="F156" s="41">
        <f>Source!AK136</f>
        <v>17.3</v>
      </c>
      <c r="G156" s="54" t="s">
        <v>3</v>
      </c>
      <c r="H156" s="38">
        <f>Source!AW136</f>
        <v>1</v>
      </c>
      <c r="I156" s="41">
        <f>ROUND((ROUND((Source!AC136*Source!AW136*Source!I136),2)),2)+(ROUND((ROUND(((Source!ET136)*Source!AV136*Source!I136),2)),2)+ROUND((ROUND(((Source!AE136-(Source!EU136))*Source!AV136*Source!I136),2)),2))+ROUND((ROUND((Source!AF136*Source!AV136*Source!I136),2)),2)</f>
        <v>317.63</v>
      </c>
      <c r="J156" s="38">
        <f>IF(Source!BC136&lt;&gt; 0, Source!BC136, 1)</f>
        <v>6.6</v>
      </c>
      <c r="K156" s="41">
        <f>Source!O136</f>
        <v>2096.36</v>
      </c>
      <c r="Q156">
        <f>ROUND((Source!BZ136/100)*(ROUND((ROUND((Source!AF136*Source!AV136*Source!I136),2)),2)+(ROUND((ROUND(((Source!EU136)*Source!AV136*Source!I136),2)),2)+ROUND((ROUND(((Source!AE136-(Source!EU136))*Source!AV136*Source!I136),2)),2))), 2)</f>
        <v>0</v>
      </c>
      <c r="R156">
        <f>Source!X136</f>
        <v>0</v>
      </c>
      <c r="S156">
        <f>ROUND((Source!CA136/100)*(ROUND((ROUND((Source!AF136*Source!AV136*Source!I136),2)),2)+(ROUND((ROUND(((Source!EU136)*Source!AV136*Source!I136),2)),2)+ROUND((ROUND(((Source!AE136-(Source!EU136))*Source!AV136*Source!I136),2)),2))), 2)</f>
        <v>0</v>
      </c>
      <c r="T156">
        <f>Source!Y136</f>
        <v>0</v>
      </c>
      <c r="U156">
        <f>ROUND((175/100)*((ROUND((ROUND(((Source!EU136)*Source!AV136*Source!I136),2)),2)+ROUND((ROUND(((Source!AE136-(Source!EU136))*Source!AV136*Source!I136),2)),2))), 2)</f>
        <v>0</v>
      </c>
      <c r="V156">
        <f>ROUND((0/100)*((ROUND((ROUND(((Source!EU136)*Source!AV136*Source!I136),2)*Source!BS136),2)+ROUND((ROUND(((Source!AE136-(Source!EU136))*Source!AV136*Source!I136),2)*Source!BS136),2))), 2)</f>
        <v>0</v>
      </c>
      <c r="X156">
        <f>IF(Source!BI136&lt;=1,I156, 0)</f>
        <v>317.63</v>
      </c>
      <c r="Y156">
        <f>IF(Source!BI136=2,I156, 0)</f>
        <v>0</v>
      </c>
      <c r="Z156">
        <f>IF(Source!BI136=3,I156, 0)</f>
        <v>0</v>
      </c>
      <c r="AA156">
        <f>IF(Source!BI136=4,I156, 0)</f>
        <v>0</v>
      </c>
      <c r="AI156">
        <v>3</v>
      </c>
    </row>
    <row r="157" spans="1:35" ht="185.25" x14ac:dyDescent="0.2">
      <c r="A157" s="37" t="s">
        <v>242</v>
      </c>
      <c r="B157" s="37" t="str">
        <f>Source!F137</f>
        <v>1.3-2-205</v>
      </c>
      <c r="C157" s="37" t="s">
        <v>522</v>
      </c>
      <c r="D157" s="39" t="str">
        <f>Source!H137</f>
        <v>кг</v>
      </c>
      <c r="E157" s="38">
        <f>Source!I137</f>
        <v>50.232959999999999</v>
      </c>
      <c r="F157" s="41">
        <f>Source!AK137</f>
        <v>5.94</v>
      </c>
      <c r="G157" s="54" t="s">
        <v>3</v>
      </c>
      <c r="H157" s="38">
        <f>Source!AW137</f>
        <v>1</v>
      </c>
      <c r="I157" s="41">
        <f>ROUND((ROUND((Source!AC137*Source!AW137*Source!I137),2)),2)+(ROUND((ROUND(((Source!ET137)*Source!AV137*Source!I137),2)),2)+ROUND((ROUND(((Source!AE137-(Source!EU137))*Source!AV137*Source!I137),2)),2))+ROUND((ROUND((Source!AF137*Source!AV137*Source!I137),2)),2)</f>
        <v>298.38</v>
      </c>
      <c r="J157" s="38">
        <f>IF(Source!BC137&lt;&gt; 0, Source!BC137, 1)</f>
        <v>4.1100000000000003</v>
      </c>
      <c r="K157" s="41">
        <f>Source!O137</f>
        <v>1226.3399999999999</v>
      </c>
      <c r="Q157">
        <f>ROUND((Source!BZ137/100)*(ROUND((ROUND((Source!AF137*Source!AV137*Source!I137),2)),2)+(ROUND((ROUND(((Source!EU137)*Source!AV137*Source!I137),2)),2)+ROUND((ROUND(((Source!AE137-(Source!EU137))*Source!AV137*Source!I137),2)),2))), 2)</f>
        <v>0</v>
      </c>
      <c r="R157">
        <f>Source!X137</f>
        <v>0</v>
      </c>
      <c r="S157">
        <f>ROUND((Source!CA137/100)*(ROUND((ROUND((Source!AF137*Source!AV137*Source!I137),2)),2)+(ROUND((ROUND(((Source!EU137)*Source!AV137*Source!I137),2)),2)+ROUND((ROUND(((Source!AE137-(Source!EU137))*Source!AV137*Source!I137),2)),2))), 2)</f>
        <v>0</v>
      </c>
      <c r="T157">
        <f>Source!Y137</f>
        <v>0</v>
      </c>
      <c r="U157">
        <f>ROUND((175/100)*((ROUND((ROUND(((Source!EU137)*Source!AV137*Source!I137),2)),2)+ROUND((ROUND(((Source!AE137-(Source!EU137))*Source!AV137*Source!I137),2)),2))), 2)</f>
        <v>0</v>
      </c>
      <c r="V157">
        <f>ROUND((0/100)*((ROUND((ROUND(((Source!EU137)*Source!AV137*Source!I137),2)*Source!BS137),2)+ROUND((ROUND(((Source!AE137-(Source!EU137))*Source!AV137*Source!I137),2)*Source!BS137),2))), 2)</f>
        <v>0</v>
      </c>
      <c r="X157">
        <f>IF(Source!BI137&lt;=1,I157, 0)</f>
        <v>298.38</v>
      </c>
      <c r="Y157">
        <f>IF(Source!BI137=2,I157, 0)</f>
        <v>0</v>
      </c>
      <c r="Z157">
        <f>IF(Source!BI137=3,I157, 0)</f>
        <v>0</v>
      </c>
      <c r="AA157">
        <f>IF(Source!BI137=4,I157, 0)</f>
        <v>0</v>
      </c>
      <c r="AI157">
        <v>3</v>
      </c>
    </row>
    <row r="158" spans="1:35" ht="14.25" x14ac:dyDescent="0.2">
      <c r="A158" s="37"/>
      <c r="B158" s="37"/>
      <c r="C158" s="37" t="s">
        <v>553</v>
      </c>
      <c r="D158" s="39" t="s">
        <v>554</v>
      </c>
      <c r="E158" s="38">
        <f>Source!BZ134</f>
        <v>90</v>
      </c>
      <c r="F158" s="41"/>
      <c r="G158" s="40"/>
      <c r="H158" s="38"/>
      <c r="I158" s="41">
        <f>SUM(Q149:Q157)</f>
        <v>195.75</v>
      </c>
      <c r="J158" s="38">
        <f>Source!AT134</f>
        <v>90</v>
      </c>
      <c r="K158" s="41">
        <f>SUM(R149:R157)</f>
        <v>11167.53</v>
      </c>
    </row>
    <row r="159" spans="1:35" ht="14.25" x14ac:dyDescent="0.2">
      <c r="A159" s="37"/>
      <c r="B159" s="37"/>
      <c r="C159" s="37" t="s">
        <v>555</v>
      </c>
      <c r="D159" s="39" t="s">
        <v>554</v>
      </c>
      <c r="E159" s="38">
        <f>Source!CA134</f>
        <v>42</v>
      </c>
      <c r="F159" s="41"/>
      <c r="G159" s="40"/>
      <c r="H159" s="38"/>
      <c r="I159" s="41">
        <f>SUM(S149:S158)</f>
        <v>91.35</v>
      </c>
      <c r="J159" s="38">
        <f>Source!AU134</f>
        <v>42</v>
      </c>
      <c r="K159" s="41">
        <f>SUM(T149:T158)</f>
        <v>5211.5200000000004</v>
      </c>
    </row>
    <row r="160" spans="1:35" ht="14.25" x14ac:dyDescent="0.2">
      <c r="A160" s="44"/>
      <c r="B160" s="44"/>
      <c r="C160" s="44" t="s">
        <v>556</v>
      </c>
      <c r="D160" s="45" t="s">
        <v>557</v>
      </c>
      <c r="E160" s="46">
        <f>Source!AQ134</f>
        <v>38.31</v>
      </c>
      <c r="F160" s="47"/>
      <c r="G160" s="48" t="s">
        <v>560</v>
      </c>
      <c r="H160" s="46">
        <f>Source!AV134</f>
        <v>1</v>
      </c>
      <c r="I160" s="47">
        <f>Source!U134</f>
        <v>19.032408</v>
      </c>
      <c r="J160" s="46"/>
      <c r="K160" s="47"/>
      <c r="AB160" s="43">
        <f>I160</f>
        <v>19.032408</v>
      </c>
    </row>
    <row r="161" spans="1:35" ht="15" x14ac:dyDescent="0.2">
      <c r="C161" s="49" t="s">
        <v>558</v>
      </c>
      <c r="H161" s="50">
        <f>I151+I152+I154+I158+I159+SUM(I155:I157)-SUMIF(AI155:AI157, 5, I155:I157)-SUMIF(AI155:AI157, 6, I155:I157)</f>
        <v>1363.1100000000001</v>
      </c>
      <c r="I161" s="50"/>
      <c r="J161" s="50">
        <f>K151+K152+K154+K158+K159+SUM(K155:K157)-SUMIF(AI155:AI157, 5, K155:K157)-SUMIF(AI155:AI157, 6, K155:K157)</f>
        <v>32916.630000000005</v>
      </c>
      <c r="K161" s="50"/>
    </row>
    <row r="162" spans="1:35" ht="15" hidden="1" x14ac:dyDescent="0.2">
      <c r="C162" s="49" t="s">
        <v>559</v>
      </c>
      <c r="H162" s="52">
        <f>SUMIF(AI155:AI157, 5, I155:I157)+SUMIF(AI155:AI157, 6, I155:I157)</f>
        <v>0</v>
      </c>
      <c r="I162" s="52"/>
      <c r="J162" s="52">
        <f>SUMIF(AI155:AI157, 5, K155:K157)+SUMIF(AI155:AI157, 6, K155:K157)</f>
        <v>0</v>
      </c>
      <c r="K162" s="52"/>
    </row>
    <row r="163" spans="1:35" ht="15" x14ac:dyDescent="0.2">
      <c r="H163" s="52"/>
      <c r="I163" s="52"/>
      <c r="J163" s="52"/>
      <c r="K163" s="52"/>
      <c r="O163" s="43">
        <f>I151+I152+I154+I158+I159+SUM(I155:I157)</f>
        <v>1363.1100000000001</v>
      </c>
      <c r="P163" s="43">
        <f>K151+K152+K154+K158+K159+SUM(K155:K157)</f>
        <v>32916.630000000005</v>
      </c>
      <c r="X163">
        <f>IF(Source!BI134&lt;=1,I151+I152+I154+I158+I159-0, 0)</f>
        <v>544.46</v>
      </c>
      <c r="Y163">
        <f>IF(Source!BI134=2,I151+I152+I154+I158+I159-0, 0)</f>
        <v>0</v>
      </c>
      <c r="Z163">
        <f>IF(Source!BI134=3,I151+I152+I154+I158+I159-0, 0)</f>
        <v>0</v>
      </c>
      <c r="AA163">
        <f>IF(Source!BI134=4,I151+I152+I154+I158+I159,0)</f>
        <v>0</v>
      </c>
    </row>
    <row r="165" spans="1:35" ht="71.25" x14ac:dyDescent="0.2">
      <c r="A165" s="37">
        <v>15</v>
      </c>
      <c r="B165" s="37" t="str">
        <f>Source!F138</f>
        <v>3.15-107-4</v>
      </c>
      <c r="C165" s="37" t="s">
        <v>247</v>
      </c>
      <c r="D165" s="39" t="str">
        <f>Source!H138</f>
        <v>100 м2 окрашиваемой поверхности</v>
      </c>
      <c r="E165" s="38">
        <f>Source!I138</f>
        <v>5.0000000000000001E-3</v>
      </c>
      <c r="F165" s="41"/>
      <c r="G165" s="40"/>
      <c r="H165" s="38"/>
      <c r="I165" s="41"/>
      <c r="J165" s="38"/>
      <c r="K165" s="41"/>
      <c r="Q165">
        <f>ROUND((Source!BZ138/100)*(ROUND((ROUND((Source!AF138*Source!AV138*Source!I138),2)),2)+(ROUND((ROUND((((Source!EU138*1.15))*Source!AV138*Source!I138),2)),2)+ROUND((ROUND(((Source!AE138-((Source!EU138*1.15)))*Source!AV138*Source!I138),2)),2))), 2)</f>
        <v>3.93</v>
      </c>
      <c r="R165">
        <f>Source!X138</f>
        <v>224.38</v>
      </c>
      <c r="S165">
        <f>ROUND((Source!CA138/100)*(ROUND((ROUND((Source!AF138*Source!AV138*Source!I138),2)),2)+(ROUND((ROUND((((Source!EU138*1.15))*Source!AV138*Source!I138),2)),2)+ROUND((ROUND(((Source!AE138-((Source!EU138*1.15)))*Source!AV138*Source!I138),2)),2))), 2)</f>
        <v>1.84</v>
      </c>
      <c r="T165">
        <f>Source!Y138</f>
        <v>104.71</v>
      </c>
      <c r="U165">
        <f>ROUND((175/100)*((ROUND((ROUND((((Source!EU138*1.15))*Source!AV138*Source!I138),2)),2)+ROUND((ROUND(((Source!AE138-((Source!EU138*1.15)))*Source!AV138*Source!I138),2)),2))), 2)</f>
        <v>0</v>
      </c>
      <c r="V165">
        <f>ROUND((0/100)*((ROUND((ROUND((((Source!EU138*1.15))*Source!AV138*Source!I138),2)*Source!BS138),2)+ROUND((ROUND(((Source!AE138-((Source!EU138*1.15)))*Source!AV138*Source!I138),2)*Source!BS138),2))), 2)</f>
        <v>0</v>
      </c>
      <c r="AI165">
        <v>0</v>
      </c>
    </row>
    <row r="166" spans="1:35" x14ac:dyDescent="0.2">
      <c r="C166" s="42" t="str">
        <f>"Объем: "&amp;Source!I138&amp;"=0,5/"&amp;"100"</f>
        <v>Объем: 0,005=0,5/100</v>
      </c>
    </row>
    <row r="167" spans="1:35" ht="14.25" x14ac:dyDescent="0.2">
      <c r="A167" s="37"/>
      <c r="B167" s="37"/>
      <c r="C167" s="37" t="s">
        <v>552</v>
      </c>
      <c r="D167" s="39"/>
      <c r="E167" s="38"/>
      <c r="F167" s="41">
        <f>Source!AO138</f>
        <v>759.7</v>
      </c>
      <c r="G167" s="40" t="s">
        <v>560</v>
      </c>
      <c r="H167" s="38">
        <f>Source!AV138</f>
        <v>1</v>
      </c>
      <c r="I167" s="41">
        <f>ROUND((ROUND((Source!AF138*Source!AV138*Source!I138),2)),2)</f>
        <v>4.37</v>
      </c>
      <c r="J167" s="38">
        <f>IF(Source!BA138&lt;&gt; 0, Source!BA138, 1)</f>
        <v>57.05</v>
      </c>
      <c r="K167" s="41">
        <f>Source!S138</f>
        <v>249.31</v>
      </c>
      <c r="W167">
        <f>I167</f>
        <v>4.37</v>
      </c>
    </row>
    <row r="168" spans="1:35" ht="14.25" x14ac:dyDescent="0.2">
      <c r="A168" s="37"/>
      <c r="B168" s="37"/>
      <c r="C168" s="37" t="s">
        <v>561</v>
      </c>
      <c r="D168" s="39"/>
      <c r="E168" s="38"/>
      <c r="F168" s="41">
        <f>Source!AM138</f>
        <v>2.4900000000000002</v>
      </c>
      <c r="G168" s="40" t="s">
        <v>560</v>
      </c>
      <c r="H168" s="38">
        <f>Source!AV138</f>
        <v>1</v>
      </c>
      <c r="I168" s="41">
        <f>(ROUND((ROUND((((Source!ET138*1.15))*Source!AV138*Source!I138),2)),2)+ROUND((ROUND(((Source!AE138-((Source!EU138*1.15)))*Source!AV138*Source!I138),2)),2))</f>
        <v>0.01</v>
      </c>
      <c r="J168" s="38">
        <f>IF(Source!BB138&lt;&gt; 0, Source!BB138, 1)</f>
        <v>17.47</v>
      </c>
      <c r="K168" s="41">
        <f>Source!Q138</f>
        <v>0.17</v>
      </c>
    </row>
    <row r="169" spans="1:35" ht="57" x14ac:dyDescent="0.2">
      <c r="A169" s="37" t="s">
        <v>250</v>
      </c>
      <c r="B169" s="37" t="str">
        <f>Source!F139</f>
        <v>1.1-1-462</v>
      </c>
      <c r="C169" s="37" t="s">
        <v>252</v>
      </c>
      <c r="D169" s="39" t="str">
        <f>Source!H139</f>
        <v>т</v>
      </c>
      <c r="E169" s="38">
        <f>Source!I139</f>
        <v>1.2300000000000001E-4</v>
      </c>
      <c r="F169" s="41">
        <f>Source!AK139</f>
        <v>15250.71</v>
      </c>
      <c r="G169" s="54" t="s">
        <v>3</v>
      </c>
      <c r="H169" s="38">
        <f>Source!AW139</f>
        <v>1</v>
      </c>
      <c r="I169" s="41">
        <f>ROUND((ROUND((Source!AC139*Source!AW139*Source!I139),2)),2)+(ROUND((ROUND(((Source!ET139)*Source!AV139*Source!I139),2)),2)+ROUND((ROUND(((Source!AE139-(Source!EU139))*Source!AV139*Source!I139),2)),2))+ROUND((ROUND((Source!AF139*Source!AV139*Source!I139),2)),2)</f>
        <v>1.88</v>
      </c>
      <c r="J169" s="38">
        <f>IF(Source!BC139&lt;&gt; 0, Source!BC139, 1)</f>
        <v>3.92</v>
      </c>
      <c r="K169" s="41">
        <f>Source!O139</f>
        <v>7.37</v>
      </c>
      <c r="Q169">
        <f>ROUND((Source!BZ139/100)*(ROUND((ROUND((Source!AF139*Source!AV139*Source!I139),2)),2)+(ROUND((ROUND(((Source!EU139)*Source!AV139*Source!I139),2)),2)+ROUND((ROUND(((Source!AE139-(Source!EU139))*Source!AV139*Source!I139),2)),2))), 2)</f>
        <v>0</v>
      </c>
      <c r="R169">
        <f>Source!X139</f>
        <v>0</v>
      </c>
      <c r="S169">
        <f>ROUND((Source!CA139/100)*(ROUND((ROUND((Source!AF139*Source!AV139*Source!I139),2)),2)+(ROUND((ROUND(((Source!EU139)*Source!AV139*Source!I139),2)),2)+ROUND((ROUND(((Source!AE139-(Source!EU139))*Source!AV139*Source!I139),2)),2))), 2)</f>
        <v>0</v>
      </c>
      <c r="T169">
        <f>Source!Y139</f>
        <v>0</v>
      </c>
      <c r="U169">
        <f>ROUND((175/100)*((ROUND((ROUND(((Source!EU139)*Source!AV139*Source!I139),2)),2)+ROUND((ROUND(((Source!AE139-(Source!EU139))*Source!AV139*Source!I139),2)),2))), 2)</f>
        <v>0</v>
      </c>
      <c r="V169">
        <f>ROUND((0/100)*((ROUND((ROUND(((Source!EU139)*Source!AV139*Source!I139),2)*Source!BS139),2)+ROUND((ROUND(((Source!AE139-(Source!EU139))*Source!AV139*Source!I139),2)*Source!BS139),2))), 2)</f>
        <v>0</v>
      </c>
      <c r="X169">
        <f>IF(Source!BI139&lt;=1,I169, 0)</f>
        <v>1.88</v>
      </c>
      <c r="Y169">
        <f>IF(Source!BI139=2,I169, 0)</f>
        <v>0</v>
      </c>
      <c r="Z169">
        <f>IF(Source!BI139=3,I169, 0)</f>
        <v>0</v>
      </c>
      <c r="AA169">
        <f>IF(Source!BI139=4,I169, 0)</f>
        <v>0</v>
      </c>
      <c r="AI169">
        <v>3</v>
      </c>
    </row>
    <row r="170" spans="1:35" ht="28.5" x14ac:dyDescent="0.2">
      <c r="A170" s="37" t="s">
        <v>254</v>
      </c>
      <c r="B170" s="37" t="str">
        <f>Source!F140</f>
        <v>1.1-1-732</v>
      </c>
      <c r="C170" s="37" t="s">
        <v>256</v>
      </c>
      <c r="D170" s="39" t="str">
        <f>Source!H140</f>
        <v>кг</v>
      </c>
      <c r="E170" s="38">
        <f>Source!I140</f>
        <v>1.3499999999999998E-2</v>
      </c>
      <c r="F170" s="41">
        <f>Source!AK140</f>
        <v>20.190000000000001</v>
      </c>
      <c r="G170" s="54" t="s">
        <v>3</v>
      </c>
      <c r="H170" s="38">
        <f>Source!AW140</f>
        <v>1</v>
      </c>
      <c r="I170" s="41">
        <f>ROUND((ROUND((Source!AC140*Source!AW140*Source!I140),2)),2)+(ROUND((ROUND(((Source!ET140)*Source!AV140*Source!I140),2)),2)+ROUND((ROUND(((Source!AE140-(Source!EU140))*Source!AV140*Source!I140),2)),2))+ROUND((ROUND((Source!AF140*Source!AV140*Source!I140),2)),2)</f>
        <v>0.27</v>
      </c>
      <c r="J170" s="38">
        <f>IF(Source!BC140&lt;&gt; 0, Source!BC140, 1)</f>
        <v>4.25</v>
      </c>
      <c r="K170" s="41">
        <f>Source!O140</f>
        <v>1.1499999999999999</v>
      </c>
      <c r="Q170">
        <f>ROUND((Source!BZ140/100)*(ROUND((ROUND((Source!AF140*Source!AV140*Source!I140),2)),2)+(ROUND((ROUND(((Source!EU140)*Source!AV140*Source!I140),2)),2)+ROUND((ROUND(((Source!AE140-(Source!EU140))*Source!AV140*Source!I140),2)),2))), 2)</f>
        <v>0</v>
      </c>
      <c r="R170">
        <f>Source!X140</f>
        <v>0</v>
      </c>
      <c r="S170">
        <f>ROUND((Source!CA140/100)*(ROUND((ROUND((Source!AF140*Source!AV140*Source!I140),2)),2)+(ROUND((ROUND(((Source!EU140)*Source!AV140*Source!I140),2)),2)+ROUND((ROUND(((Source!AE140-(Source!EU140))*Source!AV140*Source!I140),2)),2))), 2)</f>
        <v>0</v>
      </c>
      <c r="T170">
        <f>Source!Y140</f>
        <v>0</v>
      </c>
      <c r="U170">
        <f>ROUND((175/100)*((ROUND((ROUND(((Source!EU140)*Source!AV140*Source!I140),2)),2)+ROUND((ROUND(((Source!AE140-(Source!EU140))*Source!AV140*Source!I140),2)),2))), 2)</f>
        <v>0</v>
      </c>
      <c r="V170">
        <f>ROUND((0/100)*((ROUND((ROUND(((Source!EU140)*Source!AV140*Source!I140),2)*Source!BS140),2)+ROUND((ROUND(((Source!AE140-(Source!EU140))*Source!AV140*Source!I140),2)*Source!BS140),2))), 2)</f>
        <v>0</v>
      </c>
      <c r="X170">
        <f>IF(Source!BI140&lt;=1,I170, 0)</f>
        <v>0.27</v>
      </c>
      <c r="Y170">
        <f>IF(Source!BI140=2,I170, 0)</f>
        <v>0</v>
      </c>
      <c r="Z170">
        <f>IF(Source!BI140=3,I170, 0)</f>
        <v>0</v>
      </c>
      <c r="AA170">
        <f>IF(Source!BI140=4,I170, 0)</f>
        <v>0</v>
      </c>
      <c r="AI170">
        <v>3</v>
      </c>
    </row>
    <row r="171" spans="1:35" ht="14.25" x14ac:dyDescent="0.2">
      <c r="A171" s="37"/>
      <c r="B171" s="37"/>
      <c r="C171" s="37" t="s">
        <v>553</v>
      </c>
      <c r="D171" s="39" t="s">
        <v>554</v>
      </c>
      <c r="E171" s="38">
        <f>Source!BZ138</f>
        <v>90</v>
      </c>
      <c r="F171" s="41"/>
      <c r="G171" s="40"/>
      <c r="H171" s="38"/>
      <c r="I171" s="41">
        <f>SUM(Q165:Q170)</f>
        <v>3.93</v>
      </c>
      <c r="J171" s="38">
        <f>Source!AT138</f>
        <v>90</v>
      </c>
      <c r="K171" s="41">
        <f>SUM(R165:R170)</f>
        <v>224.38</v>
      </c>
    </row>
    <row r="172" spans="1:35" ht="14.25" x14ac:dyDescent="0.2">
      <c r="A172" s="37"/>
      <c r="B172" s="37"/>
      <c r="C172" s="37" t="s">
        <v>555</v>
      </c>
      <c r="D172" s="39" t="s">
        <v>554</v>
      </c>
      <c r="E172" s="38">
        <f>Source!CA138</f>
        <v>42</v>
      </c>
      <c r="F172" s="41"/>
      <c r="G172" s="40"/>
      <c r="H172" s="38"/>
      <c r="I172" s="41">
        <f>SUM(S165:S171)</f>
        <v>1.84</v>
      </c>
      <c r="J172" s="38">
        <f>Source!AU138</f>
        <v>42</v>
      </c>
      <c r="K172" s="41">
        <f>SUM(T165:T171)</f>
        <v>104.71</v>
      </c>
    </row>
    <row r="173" spans="1:35" ht="14.25" x14ac:dyDescent="0.2">
      <c r="A173" s="44"/>
      <c r="B173" s="44"/>
      <c r="C173" s="44" t="s">
        <v>556</v>
      </c>
      <c r="D173" s="45" t="s">
        <v>557</v>
      </c>
      <c r="E173" s="46">
        <f>Source!AQ138</f>
        <v>64.599999999999994</v>
      </c>
      <c r="F173" s="47"/>
      <c r="G173" s="48" t="s">
        <v>560</v>
      </c>
      <c r="H173" s="46">
        <f>Source!AV138</f>
        <v>1</v>
      </c>
      <c r="I173" s="47">
        <f>Source!U138</f>
        <v>0.37144999999999995</v>
      </c>
      <c r="J173" s="46"/>
      <c r="K173" s="47"/>
      <c r="AB173" s="43">
        <f>I173</f>
        <v>0.37144999999999995</v>
      </c>
    </row>
    <row r="174" spans="1:35" ht="15" x14ac:dyDescent="0.2">
      <c r="C174" s="49" t="s">
        <v>558</v>
      </c>
      <c r="H174" s="50">
        <f>I167+I168+I171+I172+SUM(I169:I170)-SUMIF(AI169:AI170, 5, I169:I170)-SUMIF(AI169:AI170, 6, I169:I170)</f>
        <v>12.3</v>
      </c>
      <c r="I174" s="50"/>
      <c r="J174" s="50">
        <f>K167+K168+K171+K172+SUM(K169:K170)-SUMIF(AI169:AI170, 5, K169:K170)-SUMIF(AI169:AI170, 6, K169:K170)</f>
        <v>587.09</v>
      </c>
      <c r="K174" s="50"/>
    </row>
    <row r="175" spans="1:35" ht="15" hidden="1" x14ac:dyDescent="0.2">
      <c r="C175" s="49" t="s">
        <v>559</v>
      </c>
      <c r="H175" s="52">
        <f>SUMIF(AI169:AI170, 5, I169:I170)+SUMIF(AI169:AI170, 6, I169:I170)</f>
        <v>0</v>
      </c>
      <c r="I175" s="52"/>
      <c r="J175" s="52">
        <f>SUMIF(AI169:AI170, 5, K169:K170)+SUMIF(AI169:AI170, 6, K169:K170)</f>
        <v>0</v>
      </c>
      <c r="K175" s="52"/>
    </row>
    <row r="176" spans="1:35" ht="15" x14ac:dyDescent="0.2">
      <c r="H176" s="52"/>
      <c r="I176" s="52"/>
      <c r="J176" s="52"/>
      <c r="K176" s="52"/>
      <c r="O176" s="43">
        <f>I167+I168+I171+I172+SUM(I169:I170)</f>
        <v>12.3</v>
      </c>
      <c r="P176" s="43">
        <f>K167+K168+K171+K172+SUM(K169:K170)</f>
        <v>587.09</v>
      </c>
      <c r="X176">
        <f>IF(Source!BI138&lt;=1,I167+I168+I171+I172-0, 0)</f>
        <v>10.15</v>
      </c>
      <c r="Y176">
        <f>IF(Source!BI138=2,I167+I168+I171+I172-0, 0)</f>
        <v>0</v>
      </c>
      <c r="Z176">
        <f>IF(Source!BI138=3,I167+I168+I171+I172-0, 0)</f>
        <v>0</v>
      </c>
      <c r="AA176">
        <f>IF(Source!BI138=4,I167+I168+I171+I172,0)</f>
        <v>0</v>
      </c>
    </row>
    <row r="178" spans="1:35" ht="14.25" x14ac:dyDescent="0.2">
      <c r="A178" s="37">
        <v>16</v>
      </c>
      <c r="B178" s="37" t="str">
        <f>Source!F141</f>
        <v>6.65-25-1</v>
      </c>
      <c r="C178" s="37" t="s">
        <v>260</v>
      </c>
      <c r="D178" s="39" t="str">
        <f>Source!H141</f>
        <v>100 шт.</v>
      </c>
      <c r="E178" s="38">
        <f>Source!I141</f>
        <v>0.01</v>
      </c>
      <c r="F178" s="41"/>
      <c r="G178" s="40"/>
      <c r="H178" s="38"/>
      <c r="I178" s="41"/>
      <c r="J178" s="38"/>
      <c r="K178" s="41"/>
      <c r="Q178">
        <f>ROUND((Source!BZ141/100)*(ROUND((ROUND((Source!AF141*Source!AV141*Source!I141),2)),2)+(ROUND((ROUND(((Source!EU141)*Source!AV141*Source!I141),2)),2)+ROUND((ROUND(((Source!AE141-(Source!EU141))*Source!AV141*Source!I141),2)),2))), 2)</f>
        <v>5.31</v>
      </c>
      <c r="R178">
        <f>Source!X141</f>
        <v>303.20999999999998</v>
      </c>
      <c r="S178">
        <f>ROUND((Source!CA141/100)*(ROUND((ROUND((Source!AF141*Source!AV141*Source!I141),2)),2)+(ROUND((ROUND(((Source!EU141)*Source!AV141*Source!I141),2)),2)+ROUND((ROUND(((Source!AE141-(Source!EU141))*Source!AV141*Source!I141),2)),2))), 2)</f>
        <v>2.68</v>
      </c>
      <c r="T178">
        <f>Source!Y141</f>
        <v>153.08000000000001</v>
      </c>
      <c r="U178">
        <f>ROUND((175/100)*((ROUND((ROUND(((Source!EU141)*Source!AV141*Source!I141),2)),2)+ROUND((ROUND(((Source!AE141-(Source!EU141))*Source!AV141*Source!I141),2)),2))), 2)</f>
        <v>0</v>
      </c>
      <c r="V178">
        <f>ROUND((0/100)*((ROUND((ROUND(((Source!EU141)*Source!AV141*Source!I141),2)*Source!BS141),2)+ROUND((ROUND(((Source!AE141-(Source!EU141))*Source!AV141*Source!I141),2)*Source!BS141),2))), 2)</f>
        <v>0</v>
      </c>
      <c r="AI178">
        <v>0</v>
      </c>
    </row>
    <row r="179" spans="1:35" x14ac:dyDescent="0.2">
      <c r="C179" s="42" t="str">
        <f>"Объем: "&amp;Source!I141&amp;"=1/"&amp;"100"</f>
        <v>Объем: 0,01=1/100</v>
      </c>
    </row>
    <row r="180" spans="1:35" ht="14.25" x14ac:dyDescent="0.2">
      <c r="A180" s="37"/>
      <c r="B180" s="37"/>
      <c r="C180" s="37" t="s">
        <v>552</v>
      </c>
      <c r="D180" s="39"/>
      <c r="E180" s="38"/>
      <c r="F180" s="41">
        <f>Source!AO141</f>
        <v>516.4</v>
      </c>
      <c r="G180" s="40"/>
      <c r="H180" s="38">
        <f>Source!AV141</f>
        <v>1</v>
      </c>
      <c r="I180" s="41">
        <f>ROUND((ROUND((Source!AF141*Source!AV141*Source!I141),2)),2)</f>
        <v>5.16</v>
      </c>
      <c r="J180" s="38">
        <f>IF(Source!BA141&lt;&gt; 0, Source!BA141, 1)</f>
        <v>57.05</v>
      </c>
      <c r="K180" s="41">
        <f>Source!S141</f>
        <v>294.38</v>
      </c>
      <c r="W180">
        <f>I180</f>
        <v>5.16</v>
      </c>
    </row>
    <row r="181" spans="1:35" ht="14.25" x14ac:dyDescent="0.2">
      <c r="A181" s="37"/>
      <c r="B181" s="37"/>
      <c r="C181" s="37" t="s">
        <v>563</v>
      </c>
      <c r="D181" s="39"/>
      <c r="E181" s="38"/>
      <c r="F181" s="41">
        <f>Source!AL141</f>
        <v>60.98</v>
      </c>
      <c r="G181" s="40"/>
      <c r="H181" s="38">
        <f>Source!AW141</f>
        <v>1</v>
      </c>
      <c r="I181" s="41">
        <f>ROUND((ROUND((Source!AC141*Source!AW141*Source!I141),2)),2)</f>
        <v>0.61</v>
      </c>
      <c r="J181" s="38">
        <f>IF(Source!BC141&lt;&gt; 0, Source!BC141, 1)</f>
        <v>6</v>
      </c>
      <c r="K181" s="41">
        <f>Source!P141</f>
        <v>3.66</v>
      </c>
    </row>
    <row r="182" spans="1:35" ht="42.75" x14ac:dyDescent="0.2">
      <c r="A182" s="37" t="s">
        <v>264</v>
      </c>
      <c r="B182" s="37" t="str">
        <f>Source!F142</f>
        <v>1.19-11-174</v>
      </c>
      <c r="C182" s="37" t="s">
        <v>266</v>
      </c>
      <c r="D182" s="39" t="str">
        <f>Source!H142</f>
        <v>шт.</v>
      </c>
      <c r="E182" s="38">
        <f>Source!I142</f>
        <v>1</v>
      </c>
      <c r="F182" s="41">
        <f>Source!AK142</f>
        <v>92.24</v>
      </c>
      <c r="G182" s="54" t="s">
        <v>3</v>
      </c>
      <c r="H182" s="38">
        <f>Source!AW142</f>
        <v>1</v>
      </c>
      <c r="I182" s="41">
        <f>ROUND((ROUND((Source!AC142*Source!AW142*Source!I142),2)),2)+(ROUND((ROUND(((Source!ET142)*Source!AV142*Source!I142),2)),2)+ROUND((ROUND(((Source!AE142-(Source!EU142))*Source!AV142*Source!I142),2)),2))+ROUND((ROUND((Source!AF142*Source!AV142*Source!I142),2)),2)</f>
        <v>92.24</v>
      </c>
      <c r="J182" s="38">
        <f>IF(Source!BC142&lt;&gt; 0, Source!BC142, 1)</f>
        <v>4.2699999999999996</v>
      </c>
      <c r="K182" s="41">
        <f>Source!O142</f>
        <v>393.86</v>
      </c>
      <c r="Q182">
        <f>ROUND((Source!BZ142/100)*(ROUND((ROUND((Source!AF142*Source!AV142*Source!I142),2)),2)+(ROUND((ROUND(((Source!EU142)*Source!AV142*Source!I142),2)),2)+ROUND((ROUND(((Source!AE142-(Source!EU142))*Source!AV142*Source!I142),2)),2))), 2)</f>
        <v>0</v>
      </c>
      <c r="R182">
        <f>Source!X142</f>
        <v>0</v>
      </c>
      <c r="S182">
        <f>ROUND((Source!CA142/100)*(ROUND((ROUND((Source!AF142*Source!AV142*Source!I142),2)),2)+(ROUND((ROUND(((Source!EU142)*Source!AV142*Source!I142),2)),2)+ROUND((ROUND(((Source!AE142-(Source!EU142))*Source!AV142*Source!I142),2)),2))), 2)</f>
        <v>0</v>
      </c>
      <c r="T182">
        <f>Source!Y142</f>
        <v>0</v>
      </c>
      <c r="U182">
        <f>ROUND((175/100)*((ROUND((ROUND(((Source!EU142)*Source!AV142*Source!I142),2)),2)+ROUND((ROUND(((Source!AE142-(Source!EU142))*Source!AV142*Source!I142),2)),2))), 2)</f>
        <v>0</v>
      </c>
      <c r="V182">
        <f>ROUND((0/100)*((ROUND((ROUND(((Source!EU142)*Source!AV142*Source!I142),2)*Source!BS142),2)+ROUND((ROUND(((Source!AE142-(Source!EU142))*Source!AV142*Source!I142),2)*Source!BS142),2))), 2)</f>
        <v>0</v>
      </c>
      <c r="X182">
        <f>IF(Source!BI142&lt;=1,I182, 0)</f>
        <v>92.24</v>
      </c>
      <c r="Y182">
        <f>IF(Source!BI142=2,I182, 0)</f>
        <v>0</v>
      </c>
      <c r="Z182">
        <f>IF(Source!BI142=3,I182, 0)</f>
        <v>0</v>
      </c>
      <c r="AA182">
        <f>IF(Source!BI142=4,I182, 0)</f>
        <v>0</v>
      </c>
      <c r="AI182">
        <v>3</v>
      </c>
    </row>
    <row r="183" spans="1:35" ht="14.25" x14ac:dyDescent="0.2">
      <c r="A183" s="37"/>
      <c r="B183" s="37"/>
      <c r="C183" s="37" t="s">
        <v>553</v>
      </c>
      <c r="D183" s="39" t="s">
        <v>554</v>
      </c>
      <c r="E183" s="38">
        <f>Source!BZ141</f>
        <v>103</v>
      </c>
      <c r="F183" s="41"/>
      <c r="G183" s="40"/>
      <c r="H183" s="38"/>
      <c r="I183" s="41">
        <f>SUM(Q178:Q182)</f>
        <v>5.31</v>
      </c>
      <c r="J183" s="38">
        <f>Source!AT141</f>
        <v>103</v>
      </c>
      <c r="K183" s="41">
        <f>SUM(R178:R182)</f>
        <v>303.20999999999998</v>
      </c>
    </row>
    <row r="184" spans="1:35" ht="14.25" x14ac:dyDescent="0.2">
      <c r="A184" s="37"/>
      <c r="B184" s="37"/>
      <c r="C184" s="37" t="s">
        <v>555</v>
      </c>
      <c r="D184" s="39" t="s">
        <v>554</v>
      </c>
      <c r="E184" s="38">
        <f>Source!CA141</f>
        <v>52</v>
      </c>
      <c r="F184" s="41"/>
      <c r="G184" s="40"/>
      <c r="H184" s="38"/>
      <c r="I184" s="41">
        <f>SUM(S178:S183)</f>
        <v>2.68</v>
      </c>
      <c r="J184" s="38">
        <f>Source!AU141</f>
        <v>52</v>
      </c>
      <c r="K184" s="41">
        <f>SUM(T178:T183)</f>
        <v>153.08000000000001</v>
      </c>
    </row>
    <row r="185" spans="1:35" ht="14.25" x14ac:dyDescent="0.2">
      <c r="A185" s="44"/>
      <c r="B185" s="44"/>
      <c r="C185" s="44" t="s">
        <v>556</v>
      </c>
      <c r="D185" s="45" t="s">
        <v>557</v>
      </c>
      <c r="E185" s="46">
        <f>Source!AQ141</f>
        <v>46.19</v>
      </c>
      <c r="F185" s="47"/>
      <c r="G185" s="48"/>
      <c r="H185" s="46">
        <f>Source!AV141</f>
        <v>1</v>
      </c>
      <c r="I185" s="47">
        <f>Source!U141</f>
        <v>0.46189999999999998</v>
      </c>
      <c r="J185" s="46"/>
      <c r="K185" s="47"/>
      <c r="AB185" s="43">
        <f>I185</f>
        <v>0.46189999999999998</v>
      </c>
    </row>
    <row r="186" spans="1:35" ht="15" x14ac:dyDescent="0.2">
      <c r="C186" s="49" t="s">
        <v>558</v>
      </c>
      <c r="H186" s="50">
        <f>I180+I181+I183+I184+SUM(I182:I182)-SUMIF(AI182:AI182, 5, I182:I182)-SUMIF(AI182:AI182, 6, I182:I182)</f>
        <v>106</v>
      </c>
      <c r="I186" s="50"/>
      <c r="J186" s="50">
        <f>K180+K181+K183+K184+SUM(K182:K182)-SUMIF(AI182:AI182, 5, K182:K182)-SUMIF(AI182:AI182, 6, K182:K182)</f>
        <v>1148.19</v>
      </c>
      <c r="K186" s="50"/>
    </row>
    <row r="187" spans="1:35" ht="15" hidden="1" x14ac:dyDescent="0.2">
      <c r="C187" s="49" t="s">
        <v>559</v>
      </c>
      <c r="H187" s="52">
        <f>SUMIF(AI182:AI182, 5, I182:I182)+SUMIF(AI182:AI182, 6, I182:I182)</f>
        <v>0</v>
      </c>
      <c r="I187" s="52"/>
      <c r="J187" s="52">
        <f>SUMIF(AI182:AI182, 5, K182:K182)+SUMIF(AI182:AI182, 6, K182:K182)</f>
        <v>0</v>
      </c>
      <c r="K187" s="52"/>
    </row>
    <row r="188" spans="1:35" ht="15" x14ac:dyDescent="0.2">
      <c r="H188" s="52"/>
      <c r="I188" s="52"/>
      <c r="J188" s="52"/>
      <c r="K188" s="52"/>
      <c r="O188" s="43">
        <f>I180+I181+I183+I184+SUM(I182:I182)</f>
        <v>106</v>
      </c>
      <c r="P188" s="43">
        <f>K180+K181+K183+K184+SUM(K182:K182)</f>
        <v>1148.19</v>
      </c>
      <c r="X188">
        <f>IF(Source!BI141&lt;=1,I180+I181+I183+I184-0, 0)</f>
        <v>13.76</v>
      </c>
      <c r="Y188">
        <f>IF(Source!BI141=2,I180+I181+I183+I184-0, 0)</f>
        <v>0</v>
      </c>
      <c r="Z188">
        <f>IF(Source!BI141=3,I180+I181+I183+I184-0, 0)</f>
        <v>0</v>
      </c>
      <c r="AA188">
        <f>IF(Source!BI141=4,I180+I181+I183+I184,0)</f>
        <v>0</v>
      </c>
    </row>
    <row r="190" spans="1:35" ht="42.75" x14ac:dyDescent="0.2">
      <c r="A190" s="37">
        <v>17</v>
      </c>
      <c r="B190" s="37" t="str">
        <f>Source!F143</f>
        <v>3.11-38-1</v>
      </c>
      <c r="C190" s="37" t="s">
        <v>270</v>
      </c>
      <c r="D190" s="39" t="str">
        <f>Source!H143</f>
        <v>100 м2</v>
      </c>
      <c r="E190" s="38">
        <f>Source!I143</f>
        <v>0.62</v>
      </c>
      <c r="F190" s="41"/>
      <c r="G190" s="40"/>
      <c r="H190" s="38"/>
      <c r="I190" s="41"/>
      <c r="J190" s="38"/>
      <c r="K190" s="41"/>
      <c r="Q190">
        <f>ROUND((Source!BZ143/100)*(ROUND((ROUND((Source!AF143*Source!AV143*Source!I143),2)),2)+(ROUND((ROUND((((Source!EU143*1.15))*Source!AV143*Source!I143),2)),2)+ROUND((ROUND(((Source!AE143-((Source!EU143*1.15)))*Source!AV143*Source!I143),2)),2))), 2)</f>
        <v>27.93</v>
      </c>
      <c r="R190">
        <f>Source!X143</f>
        <v>1593.2</v>
      </c>
      <c r="S190">
        <f>ROUND((Source!CA143/100)*(ROUND((ROUND((Source!AF143*Source!AV143*Source!I143),2)),2)+(ROUND((ROUND((((Source!EU143*1.15))*Source!AV143*Source!I143),2)),2)+ROUND((ROUND(((Source!AE143-((Source!EU143*1.15)))*Source!AV143*Source!I143),2)),2))), 2)</f>
        <v>15.21</v>
      </c>
      <c r="T190">
        <f>Source!Y143</f>
        <v>867.59</v>
      </c>
      <c r="U190">
        <f>ROUND((175/100)*((ROUND((ROUND((((Source!EU143*1.15))*Source!AV143*Source!I143),2)),2)+ROUND((ROUND(((Source!AE143-((Source!EU143*1.15)))*Source!AV143*Source!I143),2)),2))), 2)</f>
        <v>0.32</v>
      </c>
      <c r="V190">
        <f>ROUND((0/100)*((ROUND((ROUND((((Source!EU143*1.15))*Source!AV143*Source!I143),2)*Source!BS143),2)+ROUND((ROUND(((Source!AE143-((Source!EU143*1.15)))*Source!AV143*Source!I143),2)*Source!BS143),2))), 2)</f>
        <v>0</v>
      </c>
      <c r="AI190">
        <v>0</v>
      </c>
    </row>
    <row r="191" spans="1:35" x14ac:dyDescent="0.2">
      <c r="C191" s="42" t="str">
        <f>"Объем: "&amp;Source!I143&amp;"=62/"&amp;"100"</f>
        <v>Объем: 0,62=62/100</v>
      </c>
    </row>
    <row r="192" spans="1:35" ht="14.25" x14ac:dyDescent="0.2">
      <c r="A192" s="37"/>
      <c r="B192" s="37"/>
      <c r="C192" s="37" t="s">
        <v>552</v>
      </c>
      <c r="D192" s="39"/>
      <c r="E192" s="38"/>
      <c r="F192" s="41">
        <f>Source!AO143</f>
        <v>38.53</v>
      </c>
      <c r="G192" s="40" t="s">
        <v>560</v>
      </c>
      <c r="H192" s="38">
        <f>Source!AV143</f>
        <v>1</v>
      </c>
      <c r="I192" s="41">
        <f>ROUND((ROUND((Source!AF143*Source!AV143*Source!I143),2)),2)</f>
        <v>27.47</v>
      </c>
      <c r="J192" s="38">
        <f>IF(Source!BA143&lt;&gt; 0, Source!BA143, 1)</f>
        <v>57.05</v>
      </c>
      <c r="K192" s="41">
        <f>Source!S143</f>
        <v>1567.16</v>
      </c>
      <c r="W192">
        <f>I192</f>
        <v>27.47</v>
      </c>
    </row>
    <row r="193" spans="1:35" ht="14.25" x14ac:dyDescent="0.2">
      <c r="A193" s="37"/>
      <c r="B193" s="37"/>
      <c r="C193" s="37" t="s">
        <v>561</v>
      </c>
      <c r="D193" s="39"/>
      <c r="E193" s="38"/>
      <c r="F193" s="41">
        <f>Source!AM143</f>
        <v>1.66</v>
      </c>
      <c r="G193" s="40" t="s">
        <v>560</v>
      </c>
      <c r="H193" s="38">
        <f>Source!AV143</f>
        <v>1</v>
      </c>
      <c r="I193" s="41">
        <f>(ROUND((ROUND((((Source!ET143*1.15))*Source!AV143*Source!I143),2)),2)+ROUND((ROUND(((Source!AE143-((Source!EU143*1.15)))*Source!AV143*Source!I143),2)),2))</f>
        <v>1.18</v>
      </c>
      <c r="J193" s="38">
        <f>IF(Source!BB143&lt;&gt; 0, Source!BB143, 1)</f>
        <v>17.47</v>
      </c>
      <c r="K193" s="41">
        <f>Source!Q143</f>
        <v>20.61</v>
      </c>
    </row>
    <row r="194" spans="1:35" ht="14.25" x14ac:dyDescent="0.2">
      <c r="A194" s="37"/>
      <c r="B194" s="37"/>
      <c r="C194" s="37" t="s">
        <v>562</v>
      </c>
      <c r="D194" s="39"/>
      <c r="E194" s="38"/>
      <c r="F194" s="41">
        <f>Source!AN143</f>
        <v>0.25</v>
      </c>
      <c r="G194" s="40" t="s">
        <v>560</v>
      </c>
      <c r="H194" s="38">
        <f>Source!AV143</f>
        <v>1</v>
      </c>
      <c r="I194" s="53">
        <f>(ROUND((ROUND((((Source!EU143*1.15))*Source!AV143*Source!I143),2)),2)+ROUND((ROUND(((Source!AE143-((Source!EU143*1.15)))*Source!AV143*Source!I143),2)),2))</f>
        <v>0.18</v>
      </c>
      <c r="J194" s="38">
        <f>IF(Source!BS143&lt;&gt; 0, Source!BS143, 1)</f>
        <v>57.05</v>
      </c>
      <c r="K194" s="53">
        <f>Source!R143</f>
        <v>10.27</v>
      </c>
      <c r="W194">
        <f>I194</f>
        <v>0.18</v>
      </c>
    </row>
    <row r="195" spans="1:35" ht="28.5" x14ac:dyDescent="0.2">
      <c r="A195" s="37" t="s">
        <v>272</v>
      </c>
      <c r="B195" s="37" t="str">
        <f>Source!F144</f>
        <v>1.1-1-2493</v>
      </c>
      <c r="C195" s="37" t="s">
        <v>274</v>
      </c>
      <c r="D195" s="39" t="str">
        <f>Source!H144</f>
        <v>м2</v>
      </c>
      <c r="E195" s="38">
        <f>Source!I144</f>
        <v>75.888000000000005</v>
      </c>
      <c r="F195" s="41">
        <f>Source!AK144</f>
        <v>8.1300000000000008</v>
      </c>
      <c r="G195" s="54" t="s">
        <v>3</v>
      </c>
      <c r="H195" s="38">
        <f>Source!AW144</f>
        <v>1</v>
      </c>
      <c r="I195" s="41">
        <f>ROUND((ROUND((Source!AC144*Source!AW144*Source!I144),2)),2)+(ROUND((ROUND(((Source!ET144)*Source!AV144*Source!I144),2)),2)+ROUND((ROUND(((Source!AE144-(Source!EU144))*Source!AV144*Source!I144),2)),2))+ROUND((ROUND((Source!AF144*Source!AV144*Source!I144),2)),2)</f>
        <v>616.97</v>
      </c>
      <c r="J195" s="38">
        <f>IF(Source!BC144&lt;&gt; 0, Source!BC144, 1)</f>
        <v>1.1399999999999999</v>
      </c>
      <c r="K195" s="41">
        <f>Source!O144</f>
        <v>703.35</v>
      </c>
      <c r="Q195">
        <f>ROUND((Source!BZ144/100)*(ROUND((ROUND((Source!AF144*Source!AV144*Source!I144),2)),2)+(ROUND((ROUND(((Source!EU144)*Source!AV144*Source!I144),2)),2)+ROUND((ROUND(((Source!AE144-(Source!EU144))*Source!AV144*Source!I144),2)),2))), 2)</f>
        <v>0</v>
      </c>
      <c r="R195">
        <f>Source!X144</f>
        <v>0</v>
      </c>
      <c r="S195">
        <f>ROUND((Source!CA144/100)*(ROUND((ROUND((Source!AF144*Source!AV144*Source!I144),2)),2)+(ROUND((ROUND(((Source!EU144)*Source!AV144*Source!I144),2)),2)+ROUND((ROUND(((Source!AE144-(Source!EU144))*Source!AV144*Source!I144),2)),2))), 2)</f>
        <v>0</v>
      </c>
      <c r="T195">
        <f>Source!Y144</f>
        <v>0</v>
      </c>
      <c r="U195">
        <f>ROUND((175/100)*((ROUND((ROUND(((Source!EU144)*Source!AV144*Source!I144),2)),2)+ROUND((ROUND(((Source!AE144-(Source!EU144))*Source!AV144*Source!I144),2)),2))), 2)</f>
        <v>0</v>
      </c>
      <c r="V195">
        <f>ROUND((0/100)*((ROUND((ROUND(((Source!EU144)*Source!AV144*Source!I144),2)*Source!BS144),2)+ROUND((ROUND(((Source!AE144-(Source!EU144))*Source!AV144*Source!I144),2)*Source!BS144),2))), 2)</f>
        <v>0</v>
      </c>
      <c r="X195">
        <f>IF(Source!BI144&lt;=1,I195, 0)</f>
        <v>616.97</v>
      </c>
      <c r="Y195">
        <f>IF(Source!BI144=2,I195, 0)</f>
        <v>0</v>
      </c>
      <c r="Z195">
        <f>IF(Source!BI144=3,I195, 0)</f>
        <v>0</v>
      </c>
      <c r="AA195">
        <f>IF(Source!BI144=4,I195, 0)</f>
        <v>0</v>
      </c>
      <c r="AI195">
        <v>3</v>
      </c>
    </row>
    <row r="196" spans="1:35" ht="14.25" x14ac:dyDescent="0.2">
      <c r="A196" s="37"/>
      <c r="B196" s="37"/>
      <c r="C196" s="37" t="s">
        <v>553</v>
      </c>
      <c r="D196" s="39" t="s">
        <v>554</v>
      </c>
      <c r="E196" s="38">
        <f>Source!BZ143</f>
        <v>101</v>
      </c>
      <c r="F196" s="41"/>
      <c r="G196" s="40"/>
      <c r="H196" s="38"/>
      <c r="I196" s="41">
        <f>SUM(Q190:Q195)</f>
        <v>27.93</v>
      </c>
      <c r="J196" s="38">
        <f>Source!AT143</f>
        <v>101</v>
      </c>
      <c r="K196" s="41">
        <f>SUM(R190:R195)</f>
        <v>1593.2</v>
      </c>
    </row>
    <row r="197" spans="1:35" ht="14.25" x14ac:dyDescent="0.2">
      <c r="A197" s="37"/>
      <c r="B197" s="37"/>
      <c r="C197" s="37" t="s">
        <v>555</v>
      </c>
      <c r="D197" s="39" t="s">
        <v>554</v>
      </c>
      <c r="E197" s="38">
        <f>Source!CA143</f>
        <v>55</v>
      </c>
      <c r="F197" s="41"/>
      <c r="G197" s="40"/>
      <c r="H197" s="38"/>
      <c r="I197" s="41">
        <f>SUM(S190:S196)</f>
        <v>15.21</v>
      </c>
      <c r="J197" s="38">
        <f>Source!AU143</f>
        <v>55</v>
      </c>
      <c r="K197" s="41">
        <f>SUM(T190:T196)</f>
        <v>867.59</v>
      </c>
    </row>
    <row r="198" spans="1:35" ht="14.25" x14ac:dyDescent="0.2">
      <c r="A198" s="44"/>
      <c r="B198" s="44"/>
      <c r="C198" s="44" t="s">
        <v>556</v>
      </c>
      <c r="D198" s="45" t="s">
        <v>557</v>
      </c>
      <c r="E198" s="46">
        <f>Source!AQ143</f>
        <v>3.45</v>
      </c>
      <c r="F198" s="47"/>
      <c r="G198" s="48" t="s">
        <v>560</v>
      </c>
      <c r="H198" s="46">
        <f>Source!AV143</f>
        <v>1</v>
      </c>
      <c r="I198" s="47">
        <f>Source!U143</f>
        <v>2.4598499999999999</v>
      </c>
      <c r="J198" s="46"/>
      <c r="K198" s="47"/>
      <c r="AB198" s="43">
        <f>I198</f>
        <v>2.4598499999999999</v>
      </c>
    </row>
    <row r="199" spans="1:35" ht="15" x14ac:dyDescent="0.2">
      <c r="C199" s="49" t="s">
        <v>558</v>
      </c>
      <c r="H199" s="50">
        <f>I192+I193+I196+I197+SUM(I195:I195)-SUMIF(AI195:AI195, 5, I195:I195)-SUMIF(AI195:AI195, 6, I195:I195)</f>
        <v>688.76</v>
      </c>
      <c r="I199" s="50"/>
      <c r="J199" s="50">
        <f>K192+K193+K196+K197+SUM(K195:K195)-SUMIF(AI195:AI195, 5, K195:K195)-SUMIF(AI195:AI195, 6, K195:K195)</f>
        <v>4751.9100000000008</v>
      </c>
      <c r="K199" s="50"/>
    </row>
    <row r="200" spans="1:35" ht="15" hidden="1" x14ac:dyDescent="0.2">
      <c r="C200" s="49" t="s">
        <v>559</v>
      </c>
      <c r="H200" s="52">
        <f>SUMIF(AI195:AI195, 5, I195:I195)+SUMIF(AI195:AI195, 6, I195:I195)</f>
        <v>0</v>
      </c>
      <c r="I200" s="52"/>
      <c r="J200" s="52">
        <f>SUMIF(AI195:AI195, 5, K195:K195)+SUMIF(AI195:AI195, 6, K195:K195)</f>
        <v>0</v>
      </c>
      <c r="K200" s="52"/>
    </row>
    <row r="201" spans="1:35" ht="15" x14ac:dyDescent="0.2">
      <c r="H201" s="52"/>
      <c r="I201" s="52"/>
      <c r="J201" s="52"/>
      <c r="K201" s="52"/>
      <c r="O201" s="43">
        <f>I192+I193+I196+I197+SUM(I195:I195)</f>
        <v>688.76</v>
      </c>
      <c r="P201" s="43">
        <f>K192+K193+K196+K197+SUM(K195:K195)</f>
        <v>4751.9100000000008</v>
      </c>
      <c r="X201">
        <f>IF(Source!BI143&lt;=1,I192+I193+I196+I197-0, 0)</f>
        <v>71.789999999999992</v>
      </c>
      <c r="Y201">
        <f>IF(Source!BI143=2,I192+I193+I196+I197-0, 0)</f>
        <v>0</v>
      </c>
      <c r="Z201">
        <f>IF(Source!BI143=3,I192+I193+I196+I197-0, 0)</f>
        <v>0</v>
      </c>
      <c r="AA201">
        <f>IF(Source!BI143=4,I192+I193+I196+I197,0)</f>
        <v>0</v>
      </c>
    </row>
    <row r="203" spans="1:35" ht="42.75" x14ac:dyDescent="0.2">
      <c r="A203" s="37">
        <v>18</v>
      </c>
      <c r="B203" s="37" t="str">
        <f>Source!F145</f>
        <v>3.11-38-1</v>
      </c>
      <c r="C203" s="37" t="s">
        <v>277</v>
      </c>
      <c r="D203" s="39" t="str">
        <f>Source!H145</f>
        <v>100 м2</v>
      </c>
      <c r="E203" s="38">
        <f>Source!I145</f>
        <v>0.62</v>
      </c>
      <c r="F203" s="41"/>
      <c r="G203" s="40"/>
      <c r="H203" s="38"/>
      <c r="I203" s="41"/>
      <c r="J203" s="38"/>
      <c r="K203" s="41"/>
      <c r="Q203">
        <f>ROUND((Source!BZ145/100)*(ROUND((ROUND((Source!AF145*Source!AV145*Source!I145),2)),2)+(ROUND((ROUND((((Source!EU145*0.8))*Source!AV145*Source!I145),2)),2)+ROUND((ROUND(((Source!AE145-((Source!EU145*0.8)))*Source!AV145*Source!I145),2)),2))), 2)</f>
        <v>19.420000000000002</v>
      </c>
      <c r="R203">
        <f>Source!X145</f>
        <v>1108.05</v>
      </c>
      <c r="S203">
        <f>ROUND((Source!CA145/100)*(ROUND((ROUND((Source!AF145*Source!AV145*Source!I145),2)),2)+(ROUND((ROUND((((Source!EU145*0.8))*Source!AV145*Source!I145),2)),2)+ROUND((ROUND(((Source!AE145-((Source!EU145*0.8)))*Source!AV145*Source!I145),2)),2))), 2)</f>
        <v>10.58</v>
      </c>
      <c r="T203">
        <f>Source!Y145</f>
        <v>603.39</v>
      </c>
      <c r="U203">
        <f>ROUND((175/100)*((ROUND((ROUND((((Source!EU145*0.8))*Source!AV145*Source!I145),2)),2)+ROUND((ROUND(((Source!AE145-((Source!EU145*0.8)))*Source!AV145*Source!I145),2)),2))), 2)</f>
        <v>0.21</v>
      </c>
      <c r="V203">
        <f>ROUND((0/100)*((ROUND((ROUND((((Source!EU145*0.8))*Source!AV145*Source!I145),2)*Source!BS145),2)+ROUND((ROUND(((Source!AE145-((Source!EU145*0.8)))*Source!AV145*Source!I145),2)*Source!BS145),2))), 2)</f>
        <v>0</v>
      </c>
      <c r="AI203">
        <v>0</v>
      </c>
    </row>
    <row r="204" spans="1:35" x14ac:dyDescent="0.2">
      <c r="C204" s="42" t="str">
        <f>"Объем: "&amp;Source!I145&amp;"=62/"&amp;"100"</f>
        <v>Объем: 0,62=62/100</v>
      </c>
    </row>
    <row r="205" spans="1:35" ht="14.25" x14ac:dyDescent="0.2">
      <c r="A205" s="37"/>
      <c r="B205" s="37"/>
      <c r="C205" s="37" t="s">
        <v>552</v>
      </c>
      <c r="D205" s="39"/>
      <c r="E205" s="38"/>
      <c r="F205" s="41">
        <f>Source!AO145</f>
        <v>38.53</v>
      </c>
      <c r="G205" s="40" t="s">
        <v>566</v>
      </c>
      <c r="H205" s="38">
        <f>Source!AV145</f>
        <v>1</v>
      </c>
      <c r="I205" s="41">
        <f>ROUND((ROUND((Source!AF145*Source!AV145*Source!I145),2)),2)</f>
        <v>19.11</v>
      </c>
      <c r="J205" s="38">
        <f>IF(Source!BA145&lt;&gt; 0, Source!BA145, 1)</f>
        <v>57.05</v>
      </c>
      <c r="K205" s="41">
        <f>Source!S145</f>
        <v>1090.23</v>
      </c>
      <c r="W205">
        <f>I205</f>
        <v>19.11</v>
      </c>
    </row>
    <row r="206" spans="1:35" ht="14.25" x14ac:dyDescent="0.2">
      <c r="A206" s="37"/>
      <c r="B206" s="37"/>
      <c r="C206" s="37" t="s">
        <v>561</v>
      </c>
      <c r="D206" s="39"/>
      <c r="E206" s="38"/>
      <c r="F206" s="41">
        <f>Source!AM145</f>
        <v>1.66</v>
      </c>
      <c r="G206" s="40" t="s">
        <v>566</v>
      </c>
      <c r="H206" s="38">
        <f>Source!AV145</f>
        <v>1</v>
      </c>
      <c r="I206" s="41">
        <f>(ROUND((ROUND((((Source!ET145*0.8))*Source!AV145*Source!I145),2)),2)+ROUND((ROUND(((Source!AE145-((Source!EU145*0.8)))*Source!AV145*Source!I145),2)),2))</f>
        <v>0.82</v>
      </c>
      <c r="J206" s="38">
        <f>IF(Source!BB145&lt;&gt; 0, Source!BB145, 1)</f>
        <v>17.47</v>
      </c>
      <c r="K206" s="41">
        <f>Source!Q145</f>
        <v>14.33</v>
      </c>
    </row>
    <row r="207" spans="1:35" ht="14.25" x14ac:dyDescent="0.2">
      <c r="A207" s="37"/>
      <c r="B207" s="37"/>
      <c r="C207" s="37" t="s">
        <v>562</v>
      </c>
      <c r="D207" s="39"/>
      <c r="E207" s="38"/>
      <c r="F207" s="41">
        <f>Source!AN145</f>
        <v>0.25</v>
      </c>
      <c r="G207" s="40" t="s">
        <v>566</v>
      </c>
      <c r="H207" s="38">
        <f>Source!AV145</f>
        <v>1</v>
      </c>
      <c r="I207" s="53">
        <f>(ROUND((ROUND((((Source!EU145*0.8))*Source!AV145*Source!I145),2)),2)+ROUND((ROUND(((Source!AE145-((Source!EU145*0.8)))*Source!AV145*Source!I145),2)),2))</f>
        <v>0.12</v>
      </c>
      <c r="J207" s="38">
        <f>IF(Source!BS145&lt;&gt; 0, Source!BS145, 1)</f>
        <v>57.05</v>
      </c>
      <c r="K207" s="53">
        <f>Source!R145</f>
        <v>6.85</v>
      </c>
      <c r="W207">
        <f>I207</f>
        <v>0.12</v>
      </c>
    </row>
    <row r="208" spans="1:35" ht="14.25" x14ac:dyDescent="0.2">
      <c r="A208" s="37"/>
      <c r="B208" s="37"/>
      <c r="C208" s="37" t="s">
        <v>553</v>
      </c>
      <c r="D208" s="39" t="s">
        <v>554</v>
      </c>
      <c r="E208" s="38">
        <f>Source!BZ145</f>
        <v>101</v>
      </c>
      <c r="F208" s="41"/>
      <c r="G208" s="40"/>
      <c r="H208" s="38"/>
      <c r="I208" s="41">
        <f>SUM(Q203:Q207)</f>
        <v>19.420000000000002</v>
      </c>
      <c r="J208" s="38">
        <f>Source!AT145</f>
        <v>101</v>
      </c>
      <c r="K208" s="41">
        <f>SUM(R203:R207)</f>
        <v>1108.05</v>
      </c>
    </row>
    <row r="209" spans="1:35" ht="14.25" x14ac:dyDescent="0.2">
      <c r="A209" s="37"/>
      <c r="B209" s="37"/>
      <c r="C209" s="37" t="s">
        <v>555</v>
      </c>
      <c r="D209" s="39" t="s">
        <v>554</v>
      </c>
      <c r="E209" s="38">
        <f>Source!CA145</f>
        <v>55</v>
      </c>
      <c r="F209" s="41"/>
      <c r="G209" s="40"/>
      <c r="H209" s="38"/>
      <c r="I209" s="41">
        <f>SUM(S203:S208)</f>
        <v>10.58</v>
      </c>
      <c r="J209" s="38">
        <f>Source!AU145</f>
        <v>55</v>
      </c>
      <c r="K209" s="41">
        <f>SUM(T203:T208)</f>
        <v>603.39</v>
      </c>
    </row>
    <row r="210" spans="1:35" ht="14.25" x14ac:dyDescent="0.2">
      <c r="A210" s="44"/>
      <c r="B210" s="44"/>
      <c r="C210" s="44" t="s">
        <v>556</v>
      </c>
      <c r="D210" s="45" t="s">
        <v>557</v>
      </c>
      <c r="E210" s="46">
        <f>Source!AQ145</f>
        <v>3.45</v>
      </c>
      <c r="F210" s="47"/>
      <c r="G210" s="48" t="s">
        <v>566</v>
      </c>
      <c r="H210" s="46">
        <f>Source!AV145</f>
        <v>1</v>
      </c>
      <c r="I210" s="47">
        <f>Source!U145</f>
        <v>1.7112000000000001</v>
      </c>
      <c r="J210" s="46"/>
      <c r="K210" s="47"/>
      <c r="AB210" s="43">
        <f>I210</f>
        <v>1.7112000000000001</v>
      </c>
    </row>
    <row r="211" spans="1:35" ht="15" x14ac:dyDescent="0.2">
      <c r="C211" s="49" t="s">
        <v>558</v>
      </c>
      <c r="H211" s="50">
        <f>I205+I206+I208+I209+0-0-0</f>
        <v>49.93</v>
      </c>
      <c r="I211" s="50"/>
      <c r="J211" s="50">
        <f>K205+K206+K208+K209+0-0-0</f>
        <v>2815.9999999999995</v>
      </c>
      <c r="K211" s="50"/>
    </row>
    <row r="212" spans="1:35" ht="15" hidden="1" x14ac:dyDescent="0.2">
      <c r="C212" s="49" t="s">
        <v>559</v>
      </c>
      <c r="H212" s="52">
        <f>0+0</f>
        <v>0</v>
      </c>
      <c r="I212" s="52"/>
      <c r="J212" s="52">
        <f>0+0</f>
        <v>0</v>
      </c>
      <c r="K212" s="52"/>
    </row>
    <row r="213" spans="1:35" ht="15" x14ac:dyDescent="0.2">
      <c r="H213" s="52"/>
      <c r="I213" s="52"/>
      <c r="J213" s="52"/>
      <c r="K213" s="52"/>
      <c r="O213" s="43">
        <f>I205+I206+I208+I209+0</f>
        <v>49.93</v>
      </c>
      <c r="P213" s="43">
        <f>K205+K206+K208+K209+0</f>
        <v>2815.9999999999995</v>
      </c>
      <c r="X213">
        <f>IF(Source!BI145&lt;=1,I205+I206+I208+I209-0, 0)</f>
        <v>49.93</v>
      </c>
      <c r="Y213">
        <f>IF(Source!BI145=2,I205+I206+I208+I209-0, 0)</f>
        <v>0</v>
      </c>
      <c r="Z213">
        <f>IF(Source!BI145=3,I205+I206+I208+I209-0, 0)</f>
        <v>0</v>
      </c>
      <c r="AA213">
        <f>IF(Source!BI145=4,I205+I206+I208+I209,0)</f>
        <v>0</v>
      </c>
    </row>
    <row r="216" spans="1:35" ht="15" x14ac:dyDescent="0.25">
      <c r="A216" s="56" t="str">
        <f>CONCATENATE("Итого по подразделу: ",IF(Source!G147&lt;&gt;"Новый подраздел", Source!G147, ""))</f>
        <v>Итого по подразделу: Стены</v>
      </c>
      <c r="B216" s="56"/>
      <c r="C216" s="56"/>
      <c r="D216" s="56"/>
      <c r="E216" s="56"/>
      <c r="F216" s="56"/>
      <c r="G216" s="56"/>
      <c r="H216" s="52">
        <f>SUM(O128:O215)</f>
        <v>3889.61</v>
      </c>
      <c r="I216" s="51"/>
      <c r="J216" s="52">
        <f>SUM(P128:P215)</f>
        <v>127490.86000000002</v>
      </c>
      <c r="K216" s="51"/>
    </row>
    <row r="217" spans="1:35" hidden="1" x14ac:dyDescent="0.2">
      <c r="A217" t="s">
        <v>564</v>
      </c>
      <c r="H217">
        <f>SUM(AC128:AC216)</f>
        <v>0</v>
      </c>
      <c r="J217">
        <f>SUM(AD128:AD216)</f>
        <v>0</v>
      </c>
    </row>
    <row r="218" spans="1:35" hidden="1" x14ac:dyDescent="0.2">
      <c r="A218" t="s">
        <v>565</v>
      </c>
      <c r="H218">
        <f>SUM(AE128:AE217)</f>
        <v>0</v>
      </c>
      <c r="J218">
        <f>SUM(AF128:AF217)</f>
        <v>0</v>
      </c>
    </row>
    <row r="220" spans="1:35" ht="16.5" x14ac:dyDescent="0.2">
      <c r="A220" s="36" t="str">
        <f>CONCATENATE("Подраздел: ",IF(Source!G177&lt;&gt;"Новый подраздел", Source!G177, ""))</f>
        <v>Подраздел: Подраздел: Потолки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1:35" ht="71.25" x14ac:dyDescent="0.2">
      <c r="A221" s="37">
        <v>19</v>
      </c>
      <c r="B221" s="37" t="str">
        <f>Source!F181</f>
        <v>7.8-2-1</v>
      </c>
      <c r="C221" s="37" t="s">
        <v>283</v>
      </c>
      <c r="D221" s="39" t="str">
        <f>Source!H181</f>
        <v>1 М2 ОТБИТОЙ ШТУКАТУРКИ</v>
      </c>
      <c r="E221" s="38">
        <f>Source!I181</f>
        <v>16.8</v>
      </c>
      <c r="F221" s="41"/>
      <c r="G221" s="40"/>
      <c r="H221" s="38"/>
      <c r="I221" s="41"/>
      <c r="J221" s="38"/>
      <c r="K221" s="41"/>
      <c r="Q221">
        <f>ROUND((Source!BZ181/100)*(ROUND((ROUND((Source!AF181*Source!AV181*Source!I181),2)),2)+(ROUND((ROUND(((Source!EU181)*Source!AV181*Source!I181),2)),2)+ROUND((ROUND(((Source!AE181-(Source!EU181))*Source!AV181*Source!I181),2)),2))), 2)</f>
        <v>95.86</v>
      </c>
      <c r="R221">
        <f>Source!X181</f>
        <v>5468.76</v>
      </c>
      <c r="S221">
        <f>ROUND((Source!CA181/100)*(ROUND((ROUND((Source!AF181*Source!AV181*Source!I181),2)),2)+(ROUND((ROUND(((Source!EU181)*Source!AV181*Source!I181),2)),2)+ROUND((ROUND(((Source!AE181-(Source!EU181))*Source!AV181*Source!I181),2)),2))), 2)</f>
        <v>43.67</v>
      </c>
      <c r="T221">
        <f>Source!Y181</f>
        <v>2491.3200000000002</v>
      </c>
      <c r="U221">
        <f>ROUND((175/100)*((ROUND((ROUND(((Source!EU181)*Source!AV181*Source!I181),2)),2)+ROUND((ROUND(((Source!AE181-(Source!EU181))*Source!AV181*Source!I181),2)),2))), 2)</f>
        <v>0</v>
      </c>
      <c r="V221">
        <f>ROUND((0/100)*((ROUND((ROUND(((Source!EU181)*Source!AV181*Source!I181),2)*Source!BS181),2)+ROUND((ROUND(((Source!AE181-(Source!EU181))*Source!AV181*Source!I181),2)*Source!BS181),2))), 2)</f>
        <v>0</v>
      </c>
      <c r="AI221">
        <v>0</v>
      </c>
    </row>
    <row r="222" spans="1:35" ht="14.25" x14ac:dyDescent="0.2">
      <c r="A222" s="37"/>
      <c r="B222" s="37"/>
      <c r="C222" s="37" t="s">
        <v>552</v>
      </c>
      <c r="D222" s="39"/>
      <c r="E222" s="38"/>
      <c r="F222" s="41">
        <f>Source!AO181</f>
        <v>6.34</v>
      </c>
      <c r="G222" s="40"/>
      <c r="H222" s="38">
        <f>Source!AV181</f>
        <v>1</v>
      </c>
      <c r="I222" s="41">
        <f>ROUND((ROUND((Source!AF181*Source!AV181*Source!I181),2)),2)</f>
        <v>106.51</v>
      </c>
      <c r="J222" s="38">
        <f>IF(Source!BA181&lt;&gt; 0, Source!BA181, 1)</f>
        <v>57.05</v>
      </c>
      <c r="K222" s="41">
        <f>Source!S181</f>
        <v>6076.4</v>
      </c>
      <c r="W222">
        <f>I222</f>
        <v>106.51</v>
      </c>
    </row>
    <row r="223" spans="1:35" ht="156.75" x14ac:dyDescent="0.2">
      <c r="A223" s="37" t="s">
        <v>289</v>
      </c>
      <c r="B223" s="37" t="str">
        <f>Source!F182</f>
        <v>1.1-1-2003</v>
      </c>
      <c r="C223" s="37" t="s">
        <v>524</v>
      </c>
      <c r="D223" s="39" t="str">
        <f>Source!H182</f>
        <v>т</v>
      </c>
      <c r="E223" s="38">
        <f>Source!I182</f>
        <v>0.02</v>
      </c>
      <c r="F223" s="41">
        <f>Source!AK182</f>
        <v>9448.25</v>
      </c>
      <c r="G223" s="54" t="s">
        <v>3</v>
      </c>
      <c r="H223" s="38">
        <f>Source!AW182</f>
        <v>1</v>
      </c>
      <c r="I223" s="41">
        <f>ROUND((ROUND((Source!AC182*Source!AW182*Source!I182),2)),2)+(ROUND((ROUND(((Source!ET182)*Source!AV182*Source!I182),2)),2)+ROUND((ROUND(((Source!AE182-(Source!EU182))*Source!AV182*Source!I182),2)),2))+ROUND((ROUND((Source!AF182*Source!AV182*Source!I182),2)),2)</f>
        <v>188.97</v>
      </c>
      <c r="J223" s="38">
        <f>IF(Source!BC182&lt;&gt; 0, Source!BC182, 1)</f>
        <v>3.68</v>
      </c>
      <c r="K223" s="41">
        <f>Source!O182</f>
        <v>695.41</v>
      </c>
      <c r="Q223">
        <f>ROUND((Source!BZ182/100)*(ROUND((ROUND((Source!AF182*Source!AV182*Source!I182),2)),2)+(ROUND((ROUND(((Source!EU182)*Source!AV182*Source!I182),2)),2)+ROUND((ROUND(((Source!AE182-(Source!EU182))*Source!AV182*Source!I182),2)),2))), 2)</f>
        <v>0</v>
      </c>
      <c r="R223">
        <f>Source!X182</f>
        <v>0</v>
      </c>
      <c r="S223">
        <f>ROUND((Source!CA182/100)*(ROUND((ROUND((Source!AF182*Source!AV182*Source!I182),2)),2)+(ROUND((ROUND(((Source!EU182)*Source!AV182*Source!I182),2)),2)+ROUND((ROUND(((Source!AE182-(Source!EU182))*Source!AV182*Source!I182),2)),2))), 2)</f>
        <v>0</v>
      </c>
      <c r="T223">
        <f>Source!Y182</f>
        <v>0</v>
      </c>
      <c r="U223">
        <f>ROUND((175/100)*((ROUND((ROUND(((Source!EU182)*Source!AV182*Source!I182),2)),2)+ROUND((ROUND(((Source!AE182-(Source!EU182))*Source!AV182*Source!I182),2)),2))), 2)</f>
        <v>0</v>
      </c>
      <c r="V223">
        <f>ROUND((0/100)*((ROUND((ROUND(((Source!EU182)*Source!AV182*Source!I182),2)*Source!BS182),2)+ROUND((ROUND(((Source!AE182-(Source!EU182))*Source!AV182*Source!I182),2)*Source!BS182),2))), 2)</f>
        <v>0</v>
      </c>
      <c r="X223">
        <f>IF(Source!BI182&lt;=1,I223, 0)</f>
        <v>188.97</v>
      </c>
      <c r="Y223">
        <f>IF(Source!BI182=2,I223, 0)</f>
        <v>0</v>
      </c>
      <c r="Z223">
        <f>IF(Source!BI182=3,I223, 0)</f>
        <v>0</v>
      </c>
      <c r="AA223">
        <f>IF(Source!BI182=4,I223, 0)</f>
        <v>0</v>
      </c>
      <c r="AI223">
        <v>3</v>
      </c>
    </row>
    <row r="224" spans="1:35" ht="14.25" x14ac:dyDescent="0.2">
      <c r="A224" s="37"/>
      <c r="B224" s="37"/>
      <c r="C224" s="37" t="s">
        <v>553</v>
      </c>
      <c r="D224" s="39" t="s">
        <v>554</v>
      </c>
      <c r="E224" s="38">
        <f>Source!BZ181</f>
        <v>90</v>
      </c>
      <c r="F224" s="41"/>
      <c r="G224" s="40"/>
      <c r="H224" s="38"/>
      <c r="I224" s="41">
        <f>SUM(Q221:Q223)</f>
        <v>95.86</v>
      </c>
      <c r="J224" s="38">
        <f>Source!AT181</f>
        <v>90</v>
      </c>
      <c r="K224" s="41">
        <f>SUM(R221:R223)</f>
        <v>5468.76</v>
      </c>
    </row>
    <row r="225" spans="1:35" ht="14.25" x14ac:dyDescent="0.2">
      <c r="A225" s="37"/>
      <c r="B225" s="37"/>
      <c r="C225" s="37" t="s">
        <v>555</v>
      </c>
      <c r="D225" s="39" t="s">
        <v>554</v>
      </c>
      <c r="E225" s="38">
        <f>Source!CA181</f>
        <v>41</v>
      </c>
      <c r="F225" s="41"/>
      <c r="G225" s="40"/>
      <c r="H225" s="38"/>
      <c r="I225" s="41">
        <f>SUM(S221:S224)</f>
        <v>43.67</v>
      </c>
      <c r="J225" s="38">
        <f>Source!AU181</f>
        <v>41</v>
      </c>
      <c r="K225" s="41">
        <f>SUM(T221:T224)</f>
        <v>2491.3200000000002</v>
      </c>
    </row>
    <row r="226" spans="1:35" ht="14.25" x14ac:dyDescent="0.2">
      <c r="A226" s="44"/>
      <c r="B226" s="44"/>
      <c r="C226" s="44" t="s">
        <v>556</v>
      </c>
      <c r="D226" s="45" t="s">
        <v>557</v>
      </c>
      <c r="E226" s="46">
        <f>Source!AQ181</f>
        <v>0.53</v>
      </c>
      <c r="F226" s="47"/>
      <c r="G226" s="48"/>
      <c r="H226" s="46">
        <f>Source!AV181</f>
        <v>1</v>
      </c>
      <c r="I226" s="47">
        <f>Source!U181</f>
        <v>8.9040000000000017</v>
      </c>
      <c r="J226" s="46"/>
      <c r="K226" s="47"/>
      <c r="AB226" s="43">
        <f>I226</f>
        <v>8.9040000000000017</v>
      </c>
    </row>
    <row r="227" spans="1:35" ht="15" x14ac:dyDescent="0.2">
      <c r="C227" s="49" t="s">
        <v>558</v>
      </c>
      <c r="H227" s="50">
        <f>I222+I224+I225+SUM(I223:I223)-SUMIF(AI223:AI223, 5, I223:I223)-SUMIF(AI223:AI223, 6, I223:I223)</f>
        <v>435.01</v>
      </c>
      <c r="I227" s="50"/>
      <c r="J227" s="50">
        <f>K222+K224+K225+SUM(K223:K223)-SUMIF(AI223:AI223, 5, K223:K223)-SUMIF(AI223:AI223, 6, K223:K223)</f>
        <v>14731.89</v>
      </c>
      <c r="K227" s="50"/>
    </row>
    <row r="228" spans="1:35" ht="15" hidden="1" x14ac:dyDescent="0.2">
      <c r="C228" s="49" t="s">
        <v>559</v>
      </c>
      <c r="H228" s="52">
        <f>SUMIF(AI223:AI223, 5, I223:I223)+SUMIF(AI223:AI223, 6, I223:I223)</f>
        <v>0</v>
      </c>
      <c r="I228" s="52"/>
      <c r="J228" s="52">
        <f>SUMIF(AI223:AI223, 5, K223:K223)+SUMIF(AI223:AI223, 6, K223:K223)</f>
        <v>0</v>
      </c>
      <c r="K228" s="52"/>
    </row>
    <row r="229" spans="1:35" ht="15" x14ac:dyDescent="0.2">
      <c r="H229" s="52"/>
      <c r="I229" s="52"/>
      <c r="J229" s="52"/>
      <c r="K229" s="52"/>
      <c r="O229" s="43">
        <f>I222+I224+I225+SUM(I223:I223)</f>
        <v>435.01</v>
      </c>
      <c r="P229" s="43">
        <f>K222+K224+K225+SUM(K223:K223)</f>
        <v>14731.89</v>
      </c>
      <c r="X229">
        <f>IF(Source!BI181&lt;=1,I222+I224+I225-0, 0)</f>
        <v>246.04000000000002</v>
      </c>
      <c r="Y229">
        <f>IF(Source!BI181=2,I222+I224+I225-0, 0)</f>
        <v>0</v>
      </c>
      <c r="Z229">
        <f>IF(Source!BI181=3,I222+I224+I225-0, 0)</f>
        <v>0</v>
      </c>
      <c r="AA229">
        <f>IF(Source!BI181=4,I222+I224+I225,0)</f>
        <v>0</v>
      </c>
    </row>
    <row r="231" spans="1:35" ht="57" x14ac:dyDescent="0.2">
      <c r="A231" s="37">
        <v>20</v>
      </c>
      <c r="B231" s="37" t="str">
        <f>Source!F183</f>
        <v>6.61-1-2</v>
      </c>
      <c r="C231" s="37" t="s">
        <v>294</v>
      </c>
      <c r="D231" s="39" t="str">
        <f>Source!H183</f>
        <v>100 м2</v>
      </c>
      <c r="E231" s="38">
        <f>Source!I183</f>
        <v>0.16800000000000001</v>
      </c>
      <c r="F231" s="41"/>
      <c r="G231" s="40"/>
      <c r="H231" s="38"/>
      <c r="I231" s="41"/>
      <c r="J231" s="38"/>
      <c r="K231" s="41"/>
      <c r="Q231">
        <f>ROUND((Source!BZ183/100)*(ROUND((ROUND((Source!AF183*Source!AV183*Source!I183),2)),2)+(ROUND((ROUND(((Source!EU183)*Source!AV183*Source!I183),2)),2)+ROUND((ROUND(((Source!AE183-(Source!EU183))*Source!AV183*Source!I183),2)),2))), 2)</f>
        <v>67.78</v>
      </c>
      <c r="R231">
        <f>Source!X183</f>
        <v>3866.99</v>
      </c>
      <c r="S231">
        <f>ROUND((Source!CA183/100)*(ROUND((ROUND((Source!AF183*Source!AV183*Source!I183),2)),2)+(ROUND((ROUND(((Source!EU183)*Source!AV183*Source!I183),2)),2)+ROUND((ROUND(((Source!AE183-(Source!EU183))*Source!AV183*Source!I183),2)),2))), 2)</f>
        <v>33.51</v>
      </c>
      <c r="T231">
        <f>Source!Y183</f>
        <v>1911.77</v>
      </c>
      <c r="U231">
        <f>ROUND((175/100)*((ROUND((ROUND(((Source!EU183)*Source!AV183*Source!I183),2)),2)+ROUND((ROUND(((Source!AE183-(Source!EU183))*Source!AV183*Source!I183),2)),2))), 2)</f>
        <v>0</v>
      </c>
      <c r="V231">
        <f>ROUND((0/100)*((ROUND((ROUND(((Source!EU183)*Source!AV183*Source!I183),2)*Source!BS183),2)+ROUND((ROUND(((Source!AE183-(Source!EU183))*Source!AV183*Source!I183),2)*Source!BS183),2))), 2)</f>
        <v>0</v>
      </c>
      <c r="AI231">
        <v>0</v>
      </c>
    </row>
    <row r="232" spans="1:35" x14ac:dyDescent="0.2">
      <c r="C232" s="42" t="str">
        <f>"Объем: "&amp;Source!I183&amp;"=16,8/"&amp;"100"</f>
        <v>Объем: 0,168=16,8/100</v>
      </c>
    </row>
    <row r="233" spans="1:35" ht="14.25" x14ac:dyDescent="0.2">
      <c r="A233" s="37"/>
      <c r="B233" s="37"/>
      <c r="C233" s="37" t="s">
        <v>552</v>
      </c>
      <c r="D233" s="39"/>
      <c r="E233" s="38"/>
      <c r="F233" s="41">
        <f>Source!AO183</f>
        <v>453.36</v>
      </c>
      <c r="G233" s="40"/>
      <c r="H233" s="38">
        <f>Source!AV183</f>
        <v>1</v>
      </c>
      <c r="I233" s="41">
        <f>ROUND((ROUND((Source!AF183*Source!AV183*Source!I183),2)),2)</f>
        <v>76.16</v>
      </c>
      <c r="J233" s="38">
        <f>IF(Source!BA183&lt;&gt; 0, Source!BA183, 1)</f>
        <v>57.05</v>
      </c>
      <c r="K233" s="41">
        <f>Source!S183</f>
        <v>4344.93</v>
      </c>
      <c r="W233">
        <f>I233</f>
        <v>76.16</v>
      </c>
    </row>
    <row r="234" spans="1:35" ht="299.25" x14ac:dyDescent="0.2">
      <c r="A234" s="37" t="s">
        <v>296</v>
      </c>
      <c r="B234" s="37" t="str">
        <f>Source!F184</f>
        <v>1.3-2-120</v>
      </c>
      <c r="C234" s="37" t="s">
        <v>526</v>
      </c>
      <c r="D234" s="39" t="str">
        <f>Source!H184</f>
        <v>т</v>
      </c>
      <c r="E234" s="38">
        <f>Source!I184</f>
        <v>0.33600000000000002</v>
      </c>
      <c r="F234" s="41">
        <f>Source!AK184</f>
        <v>18847.419999999998</v>
      </c>
      <c r="G234" s="54" t="s">
        <v>3</v>
      </c>
      <c r="H234" s="38">
        <f>Source!AW184</f>
        <v>1</v>
      </c>
      <c r="I234" s="41">
        <f>ROUND((ROUND((Source!AC184*Source!AW184*Source!I184),2)),2)+(ROUND((ROUND(((Source!ET184)*Source!AV184*Source!I184),2)),2)+ROUND((ROUND(((Source!AE184-(Source!EU184))*Source!AV184*Source!I184),2)),2))+ROUND((ROUND((Source!AF184*Source!AV184*Source!I184),2)),2)</f>
        <v>6332.73</v>
      </c>
      <c r="J234" s="38">
        <f>IF(Source!BC184&lt;&gt; 0, Source!BC184, 1)</f>
        <v>2.36</v>
      </c>
      <c r="K234" s="41">
        <f>Source!O184</f>
        <v>14945.24</v>
      </c>
      <c r="Q234">
        <f>ROUND((Source!BZ184/100)*(ROUND((ROUND((Source!AF184*Source!AV184*Source!I184),2)),2)+(ROUND((ROUND(((Source!EU184)*Source!AV184*Source!I184),2)),2)+ROUND((ROUND(((Source!AE184-(Source!EU184))*Source!AV184*Source!I184),2)),2))), 2)</f>
        <v>0</v>
      </c>
      <c r="R234">
        <f>Source!X184</f>
        <v>0</v>
      </c>
      <c r="S234">
        <f>ROUND((Source!CA184/100)*(ROUND((ROUND((Source!AF184*Source!AV184*Source!I184),2)),2)+(ROUND((ROUND(((Source!EU184)*Source!AV184*Source!I184),2)),2)+ROUND((ROUND(((Source!AE184-(Source!EU184))*Source!AV184*Source!I184),2)),2))), 2)</f>
        <v>0</v>
      </c>
      <c r="T234">
        <f>Source!Y184</f>
        <v>0</v>
      </c>
      <c r="U234">
        <f>ROUND((175/100)*((ROUND((ROUND(((Source!EU184)*Source!AV184*Source!I184),2)),2)+ROUND((ROUND(((Source!AE184-(Source!EU184))*Source!AV184*Source!I184),2)),2))), 2)</f>
        <v>0</v>
      </c>
      <c r="V234">
        <f>ROUND((0/100)*((ROUND((ROUND(((Source!EU184)*Source!AV184*Source!I184),2)*Source!BS184),2)+ROUND((ROUND(((Source!AE184-(Source!EU184))*Source!AV184*Source!I184),2)*Source!BS184),2))), 2)</f>
        <v>0</v>
      </c>
      <c r="X234">
        <f>IF(Source!BI184&lt;=1,I234, 0)</f>
        <v>6332.73</v>
      </c>
      <c r="Y234">
        <f>IF(Source!BI184=2,I234, 0)</f>
        <v>0</v>
      </c>
      <c r="Z234">
        <f>IF(Source!BI184=3,I234, 0)</f>
        <v>0</v>
      </c>
      <c r="AA234">
        <f>IF(Source!BI184=4,I234, 0)</f>
        <v>0</v>
      </c>
      <c r="AI234">
        <v>3</v>
      </c>
    </row>
    <row r="235" spans="1:35" ht="142.5" x14ac:dyDescent="0.2">
      <c r="A235" s="37" t="s">
        <v>299</v>
      </c>
      <c r="B235" s="37" t="str">
        <f>Source!F185</f>
        <v>1.1-1-1856</v>
      </c>
      <c r="C235" s="37" t="s">
        <v>525</v>
      </c>
      <c r="D235" s="39" t="str">
        <f>Source!H185</f>
        <v>кг</v>
      </c>
      <c r="E235" s="38">
        <f>Source!I185</f>
        <v>2.016</v>
      </c>
      <c r="F235" s="41">
        <f>Source!AK185</f>
        <v>117.23</v>
      </c>
      <c r="G235" s="54" t="s">
        <v>3</v>
      </c>
      <c r="H235" s="38">
        <f>Source!AW185</f>
        <v>1</v>
      </c>
      <c r="I235" s="41">
        <f>ROUND((ROUND((Source!AC185*Source!AW185*Source!I185),2)),2)+(ROUND((ROUND(((Source!ET185)*Source!AV185*Source!I185),2)),2)+ROUND((ROUND(((Source!AE185-(Source!EU185))*Source!AV185*Source!I185),2)),2))+ROUND((ROUND((Source!AF185*Source!AV185*Source!I185),2)),2)</f>
        <v>236.34</v>
      </c>
      <c r="J235" s="38">
        <f>IF(Source!BC185&lt;&gt; 0, Source!BC185, 1)</f>
        <v>2.27</v>
      </c>
      <c r="K235" s="41">
        <f>Source!O185</f>
        <v>536.49</v>
      </c>
      <c r="Q235">
        <f>ROUND((Source!BZ185/100)*(ROUND((ROUND((Source!AF185*Source!AV185*Source!I185),2)),2)+(ROUND((ROUND(((Source!EU185)*Source!AV185*Source!I185),2)),2)+ROUND((ROUND(((Source!AE185-(Source!EU185))*Source!AV185*Source!I185),2)),2))), 2)</f>
        <v>0</v>
      </c>
      <c r="R235">
        <f>Source!X185</f>
        <v>0</v>
      </c>
      <c r="S235">
        <f>ROUND((Source!CA185/100)*(ROUND((ROUND((Source!AF185*Source!AV185*Source!I185),2)),2)+(ROUND((ROUND(((Source!EU185)*Source!AV185*Source!I185),2)),2)+ROUND((ROUND(((Source!AE185-(Source!EU185))*Source!AV185*Source!I185),2)),2))), 2)</f>
        <v>0</v>
      </c>
      <c r="T235">
        <f>Source!Y185</f>
        <v>0</v>
      </c>
      <c r="U235">
        <f>ROUND((175/100)*((ROUND((ROUND(((Source!EU185)*Source!AV185*Source!I185),2)),2)+ROUND((ROUND(((Source!AE185-(Source!EU185))*Source!AV185*Source!I185),2)),2))), 2)</f>
        <v>0</v>
      </c>
      <c r="V235">
        <f>ROUND((0/100)*((ROUND((ROUND(((Source!EU185)*Source!AV185*Source!I185),2)*Source!BS185),2)+ROUND((ROUND(((Source!AE185-(Source!EU185))*Source!AV185*Source!I185),2)*Source!BS185),2))), 2)</f>
        <v>0</v>
      </c>
      <c r="X235">
        <f>IF(Source!BI185&lt;=1,I235, 0)</f>
        <v>236.34</v>
      </c>
      <c r="Y235">
        <f>IF(Source!BI185=2,I235, 0)</f>
        <v>0</v>
      </c>
      <c r="Z235">
        <f>IF(Source!BI185=3,I235, 0)</f>
        <v>0</v>
      </c>
      <c r="AA235">
        <f>IF(Source!BI185=4,I235, 0)</f>
        <v>0</v>
      </c>
      <c r="AI235">
        <v>3</v>
      </c>
    </row>
    <row r="236" spans="1:35" ht="14.25" x14ac:dyDescent="0.2">
      <c r="A236" s="37"/>
      <c r="B236" s="37"/>
      <c r="C236" s="37" t="s">
        <v>553</v>
      </c>
      <c r="D236" s="39" t="s">
        <v>554</v>
      </c>
      <c r="E236" s="38">
        <f>Source!BZ183</f>
        <v>89</v>
      </c>
      <c r="F236" s="41"/>
      <c r="G236" s="40"/>
      <c r="H236" s="38"/>
      <c r="I236" s="41">
        <f>SUM(Q231:Q235)</f>
        <v>67.78</v>
      </c>
      <c r="J236" s="38">
        <f>Source!AT183</f>
        <v>89</v>
      </c>
      <c r="K236" s="41">
        <f>SUM(R231:R235)</f>
        <v>3866.99</v>
      </c>
    </row>
    <row r="237" spans="1:35" ht="14.25" x14ac:dyDescent="0.2">
      <c r="A237" s="37"/>
      <c r="B237" s="37"/>
      <c r="C237" s="37" t="s">
        <v>555</v>
      </c>
      <c r="D237" s="39" t="s">
        <v>554</v>
      </c>
      <c r="E237" s="38">
        <f>Source!CA183</f>
        <v>44</v>
      </c>
      <c r="F237" s="41"/>
      <c r="G237" s="40"/>
      <c r="H237" s="38"/>
      <c r="I237" s="41">
        <f>SUM(S231:S236)</f>
        <v>33.51</v>
      </c>
      <c r="J237" s="38">
        <f>Source!AU183</f>
        <v>44</v>
      </c>
      <c r="K237" s="41">
        <f>SUM(T231:T236)</f>
        <v>1911.77</v>
      </c>
    </row>
    <row r="238" spans="1:35" ht="14.25" x14ac:dyDescent="0.2">
      <c r="A238" s="44"/>
      <c r="B238" s="44"/>
      <c r="C238" s="44" t="s">
        <v>556</v>
      </c>
      <c r="D238" s="45" t="s">
        <v>557</v>
      </c>
      <c r="E238" s="46">
        <f>Source!AQ183</f>
        <v>42.37</v>
      </c>
      <c r="F238" s="47"/>
      <c r="G238" s="48"/>
      <c r="H238" s="46">
        <f>Source!AV183</f>
        <v>1</v>
      </c>
      <c r="I238" s="47">
        <f>Source!U183</f>
        <v>7.1181599999999996</v>
      </c>
      <c r="J238" s="46"/>
      <c r="K238" s="47"/>
      <c r="AB238" s="43">
        <f>I238</f>
        <v>7.1181599999999996</v>
      </c>
    </row>
    <row r="239" spans="1:35" ht="15" x14ac:dyDescent="0.2">
      <c r="C239" s="49" t="s">
        <v>558</v>
      </c>
      <c r="H239" s="50">
        <f>I233+I236+I237+SUM(I234:I235)-SUMIF(AI234:AI235, 5, I234:I235)-SUMIF(AI234:AI235, 6, I234:I235)</f>
        <v>6746.5199999999995</v>
      </c>
      <c r="I239" s="50"/>
      <c r="J239" s="50">
        <f>K233+K236+K237+SUM(K234:K235)-SUMIF(AI234:AI235, 5, K234:K235)-SUMIF(AI234:AI235, 6, K234:K235)</f>
        <v>25605.42</v>
      </c>
      <c r="K239" s="50"/>
    </row>
    <row r="240" spans="1:35" ht="15" hidden="1" x14ac:dyDescent="0.2">
      <c r="C240" s="49" t="s">
        <v>559</v>
      </c>
      <c r="H240" s="52">
        <f>SUMIF(AI234:AI235, 5, I234:I235)+SUMIF(AI234:AI235, 6, I234:I235)</f>
        <v>0</v>
      </c>
      <c r="I240" s="52"/>
      <c r="J240" s="52">
        <f>SUMIF(AI234:AI235, 5, K234:K235)+SUMIF(AI234:AI235, 6, K234:K235)</f>
        <v>0</v>
      </c>
      <c r="K240" s="52"/>
    </row>
    <row r="241" spans="1:35" ht="15" x14ac:dyDescent="0.2">
      <c r="H241" s="52"/>
      <c r="I241" s="52"/>
      <c r="J241" s="52"/>
      <c r="K241" s="52"/>
      <c r="O241" s="43">
        <f>I233+I236+I237+SUM(I234:I235)</f>
        <v>6746.5199999999995</v>
      </c>
      <c r="P241" s="43">
        <f>K233+K236+K237+SUM(K234:K235)</f>
        <v>25605.42</v>
      </c>
      <c r="X241">
        <f>IF(Source!BI183&lt;=1,I233+I236+I237-0, 0)</f>
        <v>177.45</v>
      </c>
      <c r="Y241">
        <f>IF(Source!BI183=2,I233+I236+I237-0, 0)</f>
        <v>0</v>
      </c>
      <c r="Z241">
        <f>IF(Source!BI183=3,I233+I236+I237-0, 0)</f>
        <v>0</v>
      </c>
      <c r="AA241">
        <f>IF(Source!BI183=4,I233+I236+I237,0)</f>
        <v>0</v>
      </c>
    </row>
    <row r="243" spans="1:35" ht="42.75" x14ac:dyDescent="0.2">
      <c r="A243" s="37">
        <v>21</v>
      </c>
      <c r="B243" s="37" t="str">
        <f>Source!F186</f>
        <v>3.15-176-10</v>
      </c>
      <c r="C243" s="37" t="s">
        <v>304</v>
      </c>
      <c r="D243" s="39" t="str">
        <f>Source!H186</f>
        <v>100 м2</v>
      </c>
      <c r="E243" s="38">
        <f>Source!I186</f>
        <v>0.16800000000000001</v>
      </c>
      <c r="F243" s="41"/>
      <c r="G243" s="40"/>
      <c r="H243" s="38"/>
      <c r="I243" s="41"/>
      <c r="J243" s="38"/>
      <c r="K243" s="41"/>
      <c r="Q243">
        <f>ROUND((Source!BZ186/100)*(ROUND((ROUND((Source!AF186*Source!AV186*Source!I186),2)),2)+(ROUND((ROUND((((Source!EU186*1.15))*Source!AV186*Source!I186),2)),2)+ROUND((ROUND(((Source!AE186-((Source!EU186*1.15)))*Source!AV186*Source!I186),2)),2))), 2)</f>
        <v>108.03</v>
      </c>
      <c r="R243">
        <f>Source!X186</f>
        <v>6162.94</v>
      </c>
      <c r="S243">
        <f>ROUND((Source!CA186/100)*(ROUND((ROUND((Source!AF186*Source!AV186*Source!I186),2)),2)+(ROUND((ROUND((((Source!EU186*1.15))*Source!AV186*Source!I186),2)),2)+ROUND((ROUND(((Source!AE186-((Source!EU186*1.15)))*Source!AV186*Source!I186),2)),2))), 2)</f>
        <v>50.41</v>
      </c>
      <c r="T243">
        <f>Source!Y186</f>
        <v>2876.04</v>
      </c>
      <c r="U243">
        <f>ROUND((175/100)*((ROUND((ROUND((((Source!EU186*1.15))*Source!AV186*Source!I186),2)),2)+ROUND((ROUND(((Source!AE186-((Source!EU186*1.15)))*Source!AV186*Source!I186),2)),2))), 2)</f>
        <v>0.42</v>
      </c>
      <c r="V243">
        <f>ROUND((0/100)*((ROUND((ROUND((((Source!EU186*1.15))*Source!AV186*Source!I186),2)*Source!BS186),2)+ROUND((ROUND(((Source!AE186-((Source!EU186*1.15)))*Source!AV186*Source!I186),2)*Source!BS186),2))), 2)</f>
        <v>0</v>
      </c>
      <c r="AI243">
        <v>0</v>
      </c>
    </row>
    <row r="244" spans="1:35" x14ac:dyDescent="0.2">
      <c r="C244" s="42" t="str">
        <f>"Объем: "&amp;Source!I186&amp;"=16,8/"&amp;"100"</f>
        <v>Объем: 0,168=16,8/100</v>
      </c>
    </row>
    <row r="245" spans="1:35" ht="14.25" x14ac:dyDescent="0.2">
      <c r="A245" s="37"/>
      <c r="B245" s="37"/>
      <c r="C245" s="37" t="s">
        <v>552</v>
      </c>
      <c r="D245" s="39"/>
      <c r="E245" s="38"/>
      <c r="F245" s="41">
        <f>Source!AO186</f>
        <v>620.03</v>
      </c>
      <c r="G245" s="40" t="s">
        <v>560</v>
      </c>
      <c r="H245" s="38">
        <f>Source!AV186</f>
        <v>1</v>
      </c>
      <c r="I245" s="41">
        <f>ROUND((ROUND((Source!AF186*Source!AV186*Source!I186),2)),2)</f>
        <v>119.79</v>
      </c>
      <c r="J245" s="38">
        <f>IF(Source!BA186&lt;&gt; 0, Source!BA186, 1)</f>
        <v>57.05</v>
      </c>
      <c r="K245" s="41">
        <f>Source!S186</f>
        <v>6834.02</v>
      </c>
      <c r="W245">
        <f>I245</f>
        <v>119.79</v>
      </c>
    </row>
    <row r="246" spans="1:35" ht="14.25" x14ac:dyDescent="0.2">
      <c r="A246" s="37"/>
      <c r="B246" s="37"/>
      <c r="C246" s="37" t="s">
        <v>561</v>
      </c>
      <c r="D246" s="39"/>
      <c r="E246" s="38"/>
      <c r="F246" s="41">
        <f>Source!AM186</f>
        <v>8.74</v>
      </c>
      <c r="G246" s="40" t="s">
        <v>560</v>
      </c>
      <c r="H246" s="38">
        <f>Source!AV186</f>
        <v>1</v>
      </c>
      <c r="I246" s="41">
        <f>(ROUND((ROUND((((Source!ET186*1.15))*Source!AV186*Source!I186),2)),2)+ROUND((ROUND(((Source!AE186-((Source!EU186*1.15)))*Source!AV186*Source!I186),2)),2))</f>
        <v>1.69</v>
      </c>
      <c r="J246" s="38">
        <f>IF(Source!BB186&lt;&gt; 0, Source!BB186, 1)</f>
        <v>17.25</v>
      </c>
      <c r="K246" s="41">
        <f>Source!Q186</f>
        <v>29.15</v>
      </c>
    </row>
    <row r="247" spans="1:35" ht="14.25" x14ac:dyDescent="0.2">
      <c r="A247" s="37"/>
      <c r="B247" s="37"/>
      <c r="C247" s="37" t="s">
        <v>562</v>
      </c>
      <c r="D247" s="39"/>
      <c r="E247" s="38"/>
      <c r="F247" s="41">
        <f>Source!AN186</f>
        <v>1.26</v>
      </c>
      <c r="G247" s="40" t="s">
        <v>560</v>
      </c>
      <c r="H247" s="38">
        <f>Source!AV186</f>
        <v>1</v>
      </c>
      <c r="I247" s="53">
        <f>(ROUND((ROUND((((Source!EU186*1.15))*Source!AV186*Source!I186),2)),2)+ROUND((ROUND(((Source!AE186-((Source!EU186*1.15)))*Source!AV186*Source!I186),2)),2))</f>
        <v>0.24</v>
      </c>
      <c r="J247" s="38">
        <f>IF(Source!BS186&lt;&gt; 0, Source!BS186, 1)</f>
        <v>57.05</v>
      </c>
      <c r="K247" s="53">
        <f>Source!R186</f>
        <v>13.69</v>
      </c>
      <c r="W247">
        <f>I247</f>
        <v>0.24</v>
      </c>
    </row>
    <row r="248" spans="1:35" ht="14.25" x14ac:dyDescent="0.2">
      <c r="A248" s="37"/>
      <c r="B248" s="37"/>
      <c r="C248" s="37" t="s">
        <v>563</v>
      </c>
      <c r="D248" s="39"/>
      <c r="E248" s="38"/>
      <c r="F248" s="41">
        <f>Source!AL186</f>
        <v>92.04</v>
      </c>
      <c r="G248" s="40"/>
      <c r="H248" s="38">
        <f>Source!AW186</f>
        <v>1</v>
      </c>
      <c r="I248" s="41">
        <f>ROUND((ROUND((Source!AC186*Source!AW186*Source!I186),2)),2)</f>
        <v>15.46</v>
      </c>
      <c r="J248" s="38">
        <f>IF(Source!BC186&lt;&gt; 0, Source!BC186, 1)</f>
        <v>2.06</v>
      </c>
      <c r="K248" s="41">
        <f>Source!P186</f>
        <v>31.85</v>
      </c>
    </row>
    <row r="249" spans="1:35" ht="28.5" x14ac:dyDescent="0.2">
      <c r="A249" s="37" t="s">
        <v>306</v>
      </c>
      <c r="B249" s="37" t="str">
        <f>Source!F187</f>
        <v>1.1-1-443</v>
      </c>
      <c r="C249" s="37" t="s">
        <v>308</v>
      </c>
      <c r="D249" s="39" t="str">
        <f>Source!H187</f>
        <v>т</v>
      </c>
      <c r="E249" s="38">
        <f>Source!I187</f>
        <v>3.7631999999999999E-2</v>
      </c>
      <c r="F249" s="41">
        <f>Source!AK187</f>
        <v>12376.27</v>
      </c>
      <c r="G249" s="54" t="s">
        <v>3</v>
      </c>
      <c r="H249" s="38">
        <f>Source!AW187</f>
        <v>1</v>
      </c>
      <c r="I249" s="41">
        <f>ROUND((ROUND((Source!AC187*Source!AW187*Source!I187),2)),2)+(ROUND((ROUND(((Source!ET187)*Source!AV187*Source!I187),2)),2)+ROUND((ROUND(((Source!AE187-(Source!EU187))*Source!AV187*Source!I187),2)),2))+ROUND((ROUND((Source!AF187*Source!AV187*Source!I187),2)),2)</f>
        <v>465.74</v>
      </c>
      <c r="J249" s="38">
        <f>IF(Source!BC187&lt;&gt; 0, Source!BC187, 1)</f>
        <v>4.5999999999999996</v>
      </c>
      <c r="K249" s="41">
        <f>Source!O187</f>
        <v>2142.4</v>
      </c>
      <c r="Q249">
        <f>ROUND((Source!BZ187/100)*(ROUND((ROUND((Source!AF187*Source!AV187*Source!I187),2)),2)+(ROUND((ROUND(((Source!EU187)*Source!AV187*Source!I187),2)),2)+ROUND((ROUND(((Source!AE187-(Source!EU187))*Source!AV187*Source!I187),2)),2))), 2)</f>
        <v>0</v>
      </c>
      <c r="R249">
        <f>Source!X187</f>
        <v>0</v>
      </c>
      <c r="S249">
        <f>ROUND((Source!CA187/100)*(ROUND((ROUND((Source!AF187*Source!AV187*Source!I187),2)),2)+(ROUND((ROUND(((Source!EU187)*Source!AV187*Source!I187),2)),2)+ROUND((ROUND(((Source!AE187-(Source!EU187))*Source!AV187*Source!I187),2)),2))), 2)</f>
        <v>0</v>
      </c>
      <c r="T249">
        <f>Source!Y187</f>
        <v>0</v>
      </c>
      <c r="U249">
        <f>ROUND((175/100)*((ROUND((ROUND(((Source!EU187)*Source!AV187*Source!I187),2)),2)+ROUND((ROUND(((Source!AE187-(Source!EU187))*Source!AV187*Source!I187),2)),2))), 2)</f>
        <v>0</v>
      </c>
      <c r="V249">
        <f>ROUND((0/100)*((ROUND((ROUND(((Source!EU187)*Source!AV187*Source!I187),2)*Source!BS187),2)+ROUND((ROUND(((Source!AE187-(Source!EU187))*Source!AV187*Source!I187),2)*Source!BS187),2))), 2)</f>
        <v>0</v>
      </c>
      <c r="X249">
        <f>IF(Source!BI187&lt;=1,I249, 0)</f>
        <v>465.74</v>
      </c>
      <c r="Y249">
        <f>IF(Source!BI187=2,I249, 0)</f>
        <v>0</v>
      </c>
      <c r="Z249">
        <f>IF(Source!BI187=3,I249, 0)</f>
        <v>0</v>
      </c>
      <c r="AA249">
        <f>IF(Source!BI187=4,I249, 0)</f>
        <v>0</v>
      </c>
      <c r="AI249">
        <v>3</v>
      </c>
    </row>
    <row r="250" spans="1:35" ht="142.5" x14ac:dyDescent="0.2">
      <c r="A250" s="37" t="s">
        <v>310</v>
      </c>
      <c r="B250" s="37" t="str">
        <f>Source!F188</f>
        <v>1.1-1-1856</v>
      </c>
      <c r="C250" s="37" t="s">
        <v>525</v>
      </c>
      <c r="D250" s="39" t="str">
        <f>Source!H188</f>
        <v>кг</v>
      </c>
      <c r="E250" s="38">
        <f>Source!I188</f>
        <v>7.56</v>
      </c>
      <c r="F250" s="41">
        <f>Source!AK188</f>
        <v>117.23</v>
      </c>
      <c r="G250" s="54" t="s">
        <v>3</v>
      </c>
      <c r="H250" s="38">
        <f>Source!AW188</f>
        <v>1</v>
      </c>
      <c r="I250" s="41">
        <f>ROUND((ROUND((Source!AC188*Source!AW188*Source!I188),2)),2)+(ROUND((ROUND(((Source!ET188)*Source!AV188*Source!I188),2)),2)+ROUND((ROUND(((Source!AE188-(Source!EU188))*Source!AV188*Source!I188),2)),2))+ROUND((ROUND((Source!AF188*Source!AV188*Source!I188),2)),2)</f>
        <v>886.26</v>
      </c>
      <c r="J250" s="38">
        <f>IF(Source!BC188&lt;&gt; 0, Source!BC188, 1)</f>
        <v>2.27</v>
      </c>
      <c r="K250" s="41">
        <f>Source!O188</f>
        <v>2011.81</v>
      </c>
      <c r="Q250">
        <f>ROUND((Source!BZ188/100)*(ROUND((ROUND((Source!AF188*Source!AV188*Source!I188),2)),2)+(ROUND((ROUND(((Source!EU188)*Source!AV188*Source!I188),2)),2)+ROUND((ROUND(((Source!AE188-(Source!EU188))*Source!AV188*Source!I188),2)),2))), 2)</f>
        <v>0</v>
      </c>
      <c r="R250">
        <f>Source!X188</f>
        <v>0</v>
      </c>
      <c r="S250">
        <f>ROUND((Source!CA188/100)*(ROUND((ROUND((Source!AF188*Source!AV188*Source!I188),2)),2)+(ROUND((ROUND(((Source!EU188)*Source!AV188*Source!I188),2)),2)+ROUND((ROUND(((Source!AE188-(Source!EU188))*Source!AV188*Source!I188),2)),2))), 2)</f>
        <v>0</v>
      </c>
      <c r="T250">
        <f>Source!Y188</f>
        <v>0</v>
      </c>
      <c r="U250">
        <f>ROUND((175/100)*((ROUND((ROUND(((Source!EU188)*Source!AV188*Source!I188),2)),2)+ROUND((ROUND(((Source!AE188-(Source!EU188))*Source!AV188*Source!I188),2)),2))), 2)</f>
        <v>0</v>
      </c>
      <c r="V250">
        <f>ROUND((0/100)*((ROUND((ROUND(((Source!EU188)*Source!AV188*Source!I188),2)*Source!BS188),2)+ROUND((ROUND(((Source!AE188-(Source!EU188))*Source!AV188*Source!I188),2)*Source!BS188),2))), 2)</f>
        <v>0</v>
      </c>
      <c r="X250">
        <f>IF(Source!BI188&lt;=1,I250, 0)</f>
        <v>886.26</v>
      </c>
      <c r="Y250">
        <f>IF(Source!BI188=2,I250, 0)</f>
        <v>0</v>
      </c>
      <c r="Z250">
        <f>IF(Source!BI188=3,I250, 0)</f>
        <v>0</v>
      </c>
      <c r="AA250">
        <f>IF(Source!BI188=4,I250, 0)</f>
        <v>0</v>
      </c>
      <c r="AI250">
        <v>3</v>
      </c>
    </row>
    <row r="251" spans="1:35" ht="114" x14ac:dyDescent="0.2">
      <c r="A251" s="37" t="s">
        <v>311</v>
      </c>
      <c r="B251" s="37" t="str">
        <f>Source!F189</f>
        <v>1.3-2-193</v>
      </c>
      <c r="C251" s="37" t="s">
        <v>313</v>
      </c>
      <c r="D251" s="39" t="str">
        <f>Source!H189</f>
        <v>кг</v>
      </c>
      <c r="E251" s="38">
        <f>Source!I189</f>
        <v>20.12304</v>
      </c>
      <c r="F251" s="41">
        <f>Source!AK189</f>
        <v>8.8800000000000008</v>
      </c>
      <c r="G251" s="54" t="s">
        <v>3</v>
      </c>
      <c r="H251" s="38">
        <f>Source!AW189</f>
        <v>1</v>
      </c>
      <c r="I251" s="41">
        <f>ROUND((ROUND((Source!AC189*Source!AW189*Source!I189),2)),2)+(ROUND((ROUND(((Source!ET189)*Source!AV189*Source!I189),2)),2)+ROUND((ROUND(((Source!AE189-(Source!EU189))*Source!AV189*Source!I189),2)),2))+ROUND((ROUND((Source!AF189*Source!AV189*Source!I189),2)),2)</f>
        <v>178.69</v>
      </c>
      <c r="J251" s="38">
        <f>IF(Source!BC189&lt;&gt; 0, Source!BC189, 1)</f>
        <v>5.83</v>
      </c>
      <c r="K251" s="41">
        <f>Source!O189</f>
        <v>1041.76</v>
      </c>
      <c r="Q251">
        <f>ROUND((Source!BZ189/100)*(ROUND((ROUND((Source!AF189*Source!AV189*Source!I189),2)),2)+(ROUND((ROUND(((Source!EU189)*Source!AV189*Source!I189),2)),2)+ROUND((ROUND(((Source!AE189-(Source!EU189))*Source!AV189*Source!I189),2)),2))), 2)</f>
        <v>0</v>
      </c>
      <c r="R251">
        <f>Source!X189</f>
        <v>0</v>
      </c>
      <c r="S251">
        <f>ROUND((Source!CA189/100)*(ROUND((ROUND((Source!AF189*Source!AV189*Source!I189),2)),2)+(ROUND((ROUND(((Source!EU189)*Source!AV189*Source!I189),2)),2)+ROUND((ROUND(((Source!AE189-(Source!EU189))*Source!AV189*Source!I189),2)),2))), 2)</f>
        <v>0</v>
      </c>
      <c r="T251">
        <f>Source!Y189</f>
        <v>0</v>
      </c>
      <c r="U251">
        <f>ROUND((175/100)*((ROUND((ROUND(((Source!EU189)*Source!AV189*Source!I189),2)),2)+ROUND((ROUND(((Source!AE189-(Source!EU189))*Source!AV189*Source!I189),2)),2))), 2)</f>
        <v>0</v>
      </c>
      <c r="V251">
        <f>ROUND((0/100)*((ROUND((ROUND(((Source!EU189)*Source!AV189*Source!I189),2)*Source!BS189),2)+ROUND((ROUND(((Source!AE189-(Source!EU189))*Source!AV189*Source!I189),2)*Source!BS189),2))), 2)</f>
        <v>0</v>
      </c>
      <c r="X251">
        <f>IF(Source!BI189&lt;=1,I251, 0)</f>
        <v>178.69</v>
      </c>
      <c r="Y251">
        <f>IF(Source!BI189=2,I251, 0)</f>
        <v>0</v>
      </c>
      <c r="Z251">
        <f>IF(Source!BI189=3,I251, 0)</f>
        <v>0</v>
      </c>
      <c r="AA251">
        <f>IF(Source!BI189=4,I251, 0)</f>
        <v>0</v>
      </c>
      <c r="AI251">
        <v>3</v>
      </c>
    </row>
    <row r="252" spans="1:35" ht="14.25" x14ac:dyDescent="0.2">
      <c r="A252" s="37"/>
      <c r="B252" s="37"/>
      <c r="C252" s="37" t="s">
        <v>553</v>
      </c>
      <c r="D252" s="39" t="s">
        <v>554</v>
      </c>
      <c r="E252" s="38">
        <f>Source!BZ186</f>
        <v>90</v>
      </c>
      <c r="F252" s="41"/>
      <c r="G252" s="40"/>
      <c r="H252" s="38"/>
      <c r="I252" s="41">
        <f>SUM(Q243:Q251)</f>
        <v>108.03</v>
      </c>
      <c r="J252" s="38">
        <f>Source!AT186</f>
        <v>90</v>
      </c>
      <c r="K252" s="41">
        <f>SUM(R243:R251)</f>
        <v>6162.94</v>
      </c>
    </row>
    <row r="253" spans="1:35" ht="14.25" x14ac:dyDescent="0.2">
      <c r="A253" s="37"/>
      <c r="B253" s="37"/>
      <c r="C253" s="37" t="s">
        <v>555</v>
      </c>
      <c r="D253" s="39" t="s">
        <v>554</v>
      </c>
      <c r="E253" s="38">
        <f>Source!CA186</f>
        <v>42</v>
      </c>
      <c r="F253" s="41"/>
      <c r="G253" s="40"/>
      <c r="H253" s="38"/>
      <c r="I253" s="41">
        <f>SUM(S243:S252)</f>
        <v>50.41</v>
      </c>
      <c r="J253" s="38">
        <f>Source!AU186</f>
        <v>42</v>
      </c>
      <c r="K253" s="41">
        <f>SUM(T243:T252)</f>
        <v>2876.04</v>
      </c>
    </row>
    <row r="254" spans="1:35" ht="14.25" x14ac:dyDescent="0.2">
      <c r="A254" s="44"/>
      <c r="B254" s="44"/>
      <c r="C254" s="44" t="s">
        <v>556</v>
      </c>
      <c r="D254" s="45" t="s">
        <v>557</v>
      </c>
      <c r="E254" s="46">
        <f>Source!AQ186</f>
        <v>54.95</v>
      </c>
      <c r="F254" s="47"/>
      <c r="G254" s="48" t="s">
        <v>560</v>
      </c>
      <c r="H254" s="46">
        <f>Source!AV186</f>
        <v>1</v>
      </c>
      <c r="I254" s="47">
        <f>Source!U186</f>
        <v>10.616339999999999</v>
      </c>
      <c r="J254" s="46"/>
      <c r="K254" s="47"/>
      <c r="AB254" s="43">
        <f>I254</f>
        <v>10.616339999999999</v>
      </c>
    </row>
    <row r="255" spans="1:35" ht="15" x14ac:dyDescent="0.2">
      <c r="C255" s="49" t="s">
        <v>558</v>
      </c>
      <c r="H255" s="50">
        <f>I245+I246+I248+I252+I253+SUM(I249:I251)-SUMIF(AI249:AI251, 5, I249:I251)-SUMIF(AI249:AI251, 6, I249:I251)</f>
        <v>1826.0700000000002</v>
      </c>
      <c r="I255" s="50"/>
      <c r="J255" s="50">
        <f>K245+K246+K248+K252+K253+SUM(K249:K251)-SUMIF(AI249:AI251, 5, K249:K251)-SUMIF(AI249:AI251, 6, K249:K251)</f>
        <v>21129.97</v>
      </c>
      <c r="K255" s="50"/>
    </row>
    <row r="256" spans="1:35" ht="15" hidden="1" x14ac:dyDescent="0.2">
      <c r="C256" s="49" t="s">
        <v>559</v>
      </c>
      <c r="H256" s="52">
        <f>SUMIF(AI249:AI251, 5, I249:I251)+SUMIF(AI249:AI251, 6, I249:I251)</f>
        <v>0</v>
      </c>
      <c r="I256" s="52"/>
      <c r="J256" s="52">
        <f>SUMIF(AI249:AI251, 5, K249:K251)+SUMIF(AI249:AI251, 6, K249:K251)</f>
        <v>0</v>
      </c>
      <c r="K256" s="52"/>
    </row>
    <row r="257" spans="1:35" ht="15" x14ac:dyDescent="0.2">
      <c r="H257" s="52"/>
      <c r="I257" s="52"/>
      <c r="J257" s="52"/>
      <c r="K257" s="52"/>
      <c r="O257" s="43">
        <f>I245+I246+I248+I252+I253+SUM(I249:I251)</f>
        <v>1826.0700000000002</v>
      </c>
      <c r="P257" s="43">
        <f>K245+K246+K248+K252+K253+SUM(K249:K251)</f>
        <v>21129.97</v>
      </c>
      <c r="X257">
        <f>IF(Source!BI186&lt;=1,I245+I246+I248+I252+I253-0, 0)</f>
        <v>295.38</v>
      </c>
      <c r="Y257">
        <f>IF(Source!BI186=2,I245+I246+I248+I252+I253-0, 0)</f>
        <v>0</v>
      </c>
      <c r="Z257">
        <f>IF(Source!BI186=3,I245+I246+I248+I252+I253-0, 0)</f>
        <v>0</v>
      </c>
      <c r="AA257">
        <f>IF(Source!BI186=4,I245+I246+I248+I252+I253,0)</f>
        <v>0</v>
      </c>
    </row>
    <row r="260" spans="1:35" ht="15" x14ac:dyDescent="0.25">
      <c r="A260" s="56" t="str">
        <f>CONCATENATE("Итого по подразделу: ",IF(Source!G191&lt;&gt;"Новый подраздел", Source!G191, ""))</f>
        <v>Итого по подразделу: Подраздел: Потолки</v>
      </c>
      <c r="B260" s="56"/>
      <c r="C260" s="56"/>
      <c r="D260" s="56"/>
      <c r="E260" s="56"/>
      <c r="F260" s="56"/>
      <c r="G260" s="56"/>
      <c r="H260" s="52">
        <f>SUM(O220:O259)</f>
        <v>9007.6</v>
      </c>
      <c r="I260" s="51"/>
      <c r="J260" s="52">
        <f>SUM(P220:P259)</f>
        <v>61467.28</v>
      </c>
      <c r="K260" s="51"/>
    </row>
    <row r="261" spans="1:35" hidden="1" x14ac:dyDescent="0.2">
      <c r="A261" t="s">
        <v>564</v>
      </c>
      <c r="H261">
        <f>SUM(AC220:AC260)</f>
        <v>0</v>
      </c>
      <c r="J261">
        <f>SUM(AD220:AD260)</f>
        <v>0</v>
      </c>
    </row>
    <row r="262" spans="1:35" hidden="1" x14ac:dyDescent="0.2">
      <c r="A262" t="s">
        <v>565</v>
      </c>
      <c r="H262">
        <f>SUM(AE220:AE261)</f>
        <v>0</v>
      </c>
      <c r="J262">
        <f>SUM(AF220:AF261)</f>
        <v>0</v>
      </c>
    </row>
    <row r="264" spans="1:35" ht="15" x14ac:dyDescent="0.25">
      <c r="A264" s="56" t="str">
        <f>CONCATENATE("Итого по разделу: ",IF(Source!G221&lt;&gt;"Новый раздел", Source!G221, ""))</f>
        <v>Итого по разделу: Кабинет 809а</v>
      </c>
      <c r="B264" s="56"/>
      <c r="C264" s="56"/>
      <c r="D264" s="56"/>
      <c r="E264" s="56"/>
      <c r="F264" s="56"/>
      <c r="G264" s="56"/>
      <c r="H264" s="52">
        <f>SUM(O31:O263)</f>
        <v>16620.510000000002</v>
      </c>
      <c r="I264" s="51"/>
      <c r="J264" s="52">
        <f>SUM(P31:P263)</f>
        <v>264628.55000000005</v>
      </c>
      <c r="K264" s="51"/>
    </row>
    <row r="265" spans="1:35" hidden="1" x14ac:dyDescent="0.2">
      <c r="A265" t="s">
        <v>564</v>
      </c>
      <c r="H265">
        <f>SUM(AC31:AC264)</f>
        <v>0</v>
      </c>
      <c r="J265">
        <f>SUM(AD31:AD264)</f>
        <v>0</v>
      </c>
    </row>
    <row r="266" spans="1:35" hidden="1" x14ac:dyDescent="0.2">
      <c r="A266" t="s">
        <v>565</v>
      </c>
      <c r="H266">
        <f>SUM(AE31:AE265)</f>
        <v>0</v>
      </c>
      <c r="J266">
        <f>SUM(AF31:AF265)</f>
        <v>0</v>
      </c>
    </row>
    <row r="268" spans="1:35" ht="16.5" x14ac:dyDescent="0.2">
      <c r="A268" s="36" t="str">
        <f>CONCATENATE("Раздел: ",IF(Source!G251&lt;&gt;"Новый раздел", Source!G251, ""))</f>
        <v>Раздел: Раздел: Вывоз мусора</v>
      </c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1:35" ht="28.5" x14ac:dyDescent="0.2">
      <c r="A269" s="37">
        <v>22</v>
      </c>
      <c r="B269" s="37" t="str">
        <f>Source!F255</f>
        <v>6.66-86-1</v>
      </c>
      <c r="C269" s="37" t="s">
        <v>318</v>
      </c>
      <c r="D269" s="39" t="str">
        <f>Source!H255</f>
        <v>1 Т</v>
      </c>
      <c r="E269" s="38">
        <f>Source!I255</f>
        <v>1.9</v>
      </c>
      <c r="F269" s="41"/>
      <c r="G269" s="40"/>
      <c r="H269" s="38"/>
      <c r="I269" s="41"/>
      <c r="J269" s="38"/>
      <c r="K269" s="41"/>
      <c r="Q269">
        <f>ROUND((Source!BZ255/100)*(ROUND((ROUND((Source!AF255*Source!AV255*Source!I255),2)),2)+(ROUND((ROUND(((Source!EU255)*Source!AV255*Source!I255),2)),2)+ROUND((ROUND(((Source!AE255-(Source!EU255))*Source!AV255*Source!I255),2)),2))), 2)</f>
        <v>35.83</v>
      </c>
      <c r="R269">
        <f>Source!X255</f>
        <v>2044</v>
      </c>
      <c r="S269">
        <f>ROUND((Source!CA255/100)*(ROUND((ROUND((Source!AF255*Source!AV255*Source!I255),2)),2)+(ROUND((ROUND(((Source!EU255)*Source!AV255*Source!I255),2)),2)+ROUND((ROUND(((Source!AE255-(Source!EU255))*Source!AV255*Source!I255),2)),2))), 2)</f>
        <v>20.67</v>
      </c>
      <c r="T269">
        <f>Source!Y255</f>
        <v>1179.23</v>
      </c>
      <c r="U269">
        <f>ROUND((175/100)*((ROUND((ROUND(((Source!EU255)*Source!AV255*Source!I255),2)),2)+ROUND((ROUND(((Source!AE255-(Source!EU255))*Source!AV255*Source!I255),2)),2))), 2)</f>
        <v>15.96</v>
      </c>
      <c r="V269">
        <f>ROUND((0/100)*((ROUND((ROUND(((Source!EU255)*Source!AV255*Source!I255),2)*Source!BS255),2)+ROUND((ROUND(((Source!AE255-(Source!EU255))*Source!AV255*Source!I255),2)*Source!BS255),2))), 2)</f>
        <v>0</v>
      </c>
      <c r="AI269">
        <v>0</v>
      </c>
    </row>
    <row r="270" spans="1:35" ht="14.25" x14ac:dyDescent="0.2">
      <c r="A270" s="37"/>
      <c r="B270" s="37"/>
      <c r="C270" s="37" t="s">
        <v>552</v>
      </c>
      <c r="D270" s="39"/>
      <c r="E270" s="38"/>
      <c r="F270" s="41">
        <f>Source!AO255</f>
        <v>13.33</v>
      </c>
      <c r="G270" s="40"/>
      <c r="H270" s="38">
        <f>Source!AV255</f>
        <v>1</v>
      </c>
      <c r="I270" s="41">
        <f>ROUND((ROUND((Source!AF255*Source!AV255*Source!I255),2)),2)</f>
        <v>25.33</v>
      </c>
      <c r="J270" s="38">
        <f>IF(Source!BA255&lt;&gt; 0, Source!BA255, 1)</f>
        <v>57.05</v>
      </c>
      <c r="K270" s="41">
        <f>Source!S255</f>
        <v>1445.08</v>
      </c>
      <c r="W270">
        <f>I270</f>
        <v>25.33</v>
      </c>
    </row>
    <row r="271" spans="1:35" ht="14.25" x14ac:dyDescent="0.2">
      <c r="A271" s="37"/>
      <c r="B271" s="37"/>
      <c r="C271" s="37" t="s">
        <v>561</v>
      </c>
      <c r="D271" s="39"/>
      <c r="E271" s="38"/>
      <c r="F271" s="41">
        <f>Source!AM255</f>
        <v>16.7</v>
      </c>
      <c r="G271" s="40"/>
      <c r="H271" s="38">
        <f>Source!AV255</f>
        <v>1</v>
      </c>
      <c r="I271" s="41">
        <f>(ROUND((ROUND(((Source!ET255)*Source!AV255*Source!I255),2)),2)+ROUND((ROUND(((Source!AE255-(Source!EU255))*Source!AV255*Source!I255),2)),2))</f>
        <v>31.73</v>
      </c>
      <c r="J271" s="38">
        <f>IF(Source!BB255&lt;&gt; 0, Source!BB255, 1)</f>
        <v>23.31</v>
      </c>
      <c r="K271" s="41">
        <f>Source!Q255</f>
        <v>739.63</v>
      </c>
    </row>
    <row r="272" spans="1:35" ht="14.25" x14ac:dyDescent="0.2">
      <c r="A272" s="37"/>
      <c r="B272" s="37"/>
      <c r="C272" s="37" t="s">
        <v>562</v>
      </c>
      <c r="D272" s="39"/>
      <c r="E272" s="38"/>
      <c r="F272" s="41">
        <f>Source!AN255</f>
        <v>4.8</v>
      </c>
      <c r="G272" s="40"/>
      <c r="H272" s="38">
        <f>Source!AV255</f>
        <v>1</v>
      </c>
      <c r="I272" s="53">
        <f>(ROUND((ROUND(((Source!EU255)*Source!AV255*Source!I255),2)),2)+ROUND((ROUND(((Source!AE255-(Source!EU255))*Source!AV255*Source!I255),2)),2))</f>
        <v>9.1199999999999992</v>
      </c>
      <c r="J272" s="38">
        <f>IF(Source!BS255&lt;&gt; 0, Source!BS255, 1)</f>
        <v>57.05</v>
      </c>
      <c r="K272" s="53">
        <f>Source!R255</f>
        <v>520.29999999999995</v>
      </c>
      <c r="W272">
        <f>I272</f>
        <v>9.1199999999999992</v>
      </c>
    </row>
    <row r="273" spans="1:35" ht="14.25" x14ac:dyDescent="0.2">
      <c r="A273" s="37"/>
      <c r="B273" s="37"/>
      <c r="C273" s="37" t="s">
        <v>553</v>
      </c>
      <c r="D273" s="39" t="s">
        <v>554</v>
      </c>
      <c r="E273" s="38">
        <f>Source!BZ255</f>
        <v>104</v>
      </c>
      <c r="F273" s="41"/>
      <c r="G273" s="40"/>
      <c r="H273" s="38"/>
      <c r="I273" s="41">
        <f>SUM(Q269:Q272)</f>
        <v>35.83</v>
      </c>
      <c r="J273" s="38">
        <f>Source!AT255</f>
        <v>104</v>
      </c>
      <c r="K273" s="41">
        <f>SUM(R269:R272)</f>
        <v>2044</v>
      </c>
    </row>
    <row r="274" spans="1:35" ht="14.25" x14ac:dyDescent="0.2">
      <c r="A274" s="37"/>
      <c r="B274" s="37"/>
      <c r="C274" s="37" t="s">
        <v>555</v>
      </c>
      <c r="D274" s="39" t="s">
        <v>554</v>
      </c>
      <c r="E274" s="38">
        <f>Source!CA255</f>
        <v>60</v>
      </c>
      <c r="F274" s="41"/>
      <c r="G274" s="40"/>
      <c r="H274" s="38"/>
      <c r="I274" s="41">
        <f>SUM(S269:S273)</f>
        <v>20.67</v>
      </c>
      <c r="J274" s="38">
        <f>Source!AU255</f>
        <v>60</v>
      </c>
      <c r="K274" s="41">
        <f>SUM(T269:T273)</f>
        <v>1179.23</v>
      </c>
    </row>
    <row r="275" spans="1:35" ht="14.25" x14ac:dyDescent="0.2">
      <c r="A275" s="44"/>
      <c r="B275" s="44"/>
      <c r="C275" s="44" t="s">
        <v>556</v>
      </c>
      <c r="D275" s="45" t="s">
        <v>557</v>
      </c>
      <c r="E275" s="46">
        <f>Source!AQ255</f>
        <v>1.1200000000000001</v>
      </c>
      <c r="F275" s="47"/>
      <c r="G275" s="48"/>
      <c r="H275" s="46">
        <f>Source!AV255</f>
        <v>1</v>
      </c>
      <c r="I275" s="47">
        <f>Source!U255</f>
        <v>2.1280000000000001</v>
      </c>
      <c r="J275" s="46"/>
      <c r="K275" s="47"/>
      <c r="AB275" s="43">
        <f>I275</f>
        <v>2.1280000000000001</v>
      </c>
    </row>
    <row r="276" spans="1:35" ht="15" x14ac:dyDescent="0.2">
      <c r="C276" s="49" t="s">
        <v>558</v>
      </c>
      <c r="H276" s="50">
        <f>I270+I271+I273+I274+0-0-0</f>
        <v>113.56</v>
      </c>
      <c r="I276" s="50"/>
      <c r="J276" s="50">
        <f>K270+K271+K273+K274+0-0-0</f>
        <v>5407.9400000000005</v>
      </c>
      <c r="K276" s="50"/>
    </row>
    <row r="277" spans="1:35" ht="15" hidden="1" x14ac:dyDescent="0.2">
      <c r="C277" s="49" t="s">
        <v>559</v>
      </c>
      <c r="H277" s="52">
        <f>0+0</f>
        <v>0</v>
      </c>
      <c r="I277" s="52"/>
      <c r="J277" s="52">
        <f>0+0</f>
        <v>0</v>
      </c>
      <c r="K277" s="52"/>
    </row>
    <row r="278" spans="1:35" ht="15" x14ac:dyDescent="0.2">
      <c r="H278" s="52"/>
      <c r="I278" s="52"/>
      <c r="J278" s="52"/>
      <c r="K278" s="52"/>
      <c r="O278" s="43">
        <f>I270+I271+I273+I274+0</f>
        <v>113.56</v>
      </c>
      <c r="P278" s="43">
        <f>K270+K271+K273+K274+0</f>
        <v>5407.9400000000005</v>
      </c>
      <c r="X278">
        <f>IF(Source!BI255&lt;=1,I270+I271+I273+I274-0, 0)</f>
        <v>113.56</v>
      </c>
      <c r="Y278">
        <f>IF(Source!BI255=2,I270+I271+I273+I274-0, 0)</f>
        <v>0</v>
      </c>
      <c r="Z278">
        <f>IF(Source!BI255=3,I270+I271+I273+I274-0, 0)</f>
        <v>0</v>
      </c>
      <c r="AA278">
        <f>IF(Source!BI255=4,I270+I271+I273+I274,0)</f>
        <v>0</v>
      </c>
    </row>
    <row r="280" spans="1:35" ht="57" x14ac:dyDescent="0.2">
      <c r="A280" s="37">
        <v>23</v>
      </c>
      <c r="B280" s="37" t="str">
        <f>Source!F256</f>
        <v>15.2-109-42</v>
      </c>
      <c r="C280" s="37" t="s">
        <v>325</v>
      </c>
      <c r="D280" s="39" t="str">
        <f>Source!H256</f>
        <v>т</v>
      </c>
      <c r="E280" s="38">
        <f>Source!I256</f>
        <v>1.9</v>
      </c>
      <c r="F280" s="41"/>
      <c r="G280" s="40"/>
      <c r="H280" s="38"/>
      <c r="I280" s="41"/>
      <c r="J280" s="38"/>
      <c r="K280" s="41"/>
      <c r="Q280">
        <f>ROUND((Source!BZ256/100)*(ROUND((ROUND((Source!AF256*Source!AV256*Source!I256),2)),2)+(ROUND((ROUND(((Source!EU256)*Source!AV256*Source!I256),2)),2)+ROUND((ROUND(((Source!AE256-(Source!EU256))*Source!AV256*Source!I256),2)),2))), 2)</f>
        <v>0</v>
      </c>
      <c r="R280">
        <f>Source!X256</f>
        <v>0</v>
      </c>
      <c r="S280">
        <f>ROUND((Source!CA256/100)*(ROUND((ROUND((Source!AF256*Source!AV256*Source!I256),2)),2)+(ROUND((ROUND(((Source!EU256)*Source!AV256*Source!I256),2)),2)+ROUND((ROUND(((Source!AE256-(Source!EU256))*Source!AV256*Source!I256),2)),2))), 2)</f>
        <v>0</v>
      </c>
      <c r="T280">
        <f>Source!Y256</f>
        <v>0</v>
      </c>
      <c r="U280">
        <f>ROUND((175/100)*((ROUND((ROUND(((Source!EU256)*Source!AV256*Source!I256),2)),2)+ROUND((ROUND(((Source!AE256-(Source!EU256))*Source!AV256*Source!I256),2)),2))), 2)</f>
        <v>0</v>
      </c>
      <c r="V280">
        <f>ROUND((0/100)*((ROUND((ROUND(((Source!EU256)*Source!AV256*Source!I256),2)*Source!BS256),2)+ROUND((ROUND(((Source!AE256-(Source!EU256))*Source!AV256*Source!I256),2)*Source!BS256),2))), 2)</f>
        <v>0</v>
      </c>
      <c r="AI280">
        <v>0</v>
      </c>
    </row>
    <row r="281" spans="1:35" ht="14.25" x14ac:dyDescent="0.2">
      <c r="A281" s="44"/>
      <c r="B281" s="44"/>
      <c r="C281" s="44" t="s">
        <v>561</v>
      </c>
      <c r="D281" s="45"/>
      <c r="E281" s="46"/>
      <c r="F281" s="47">
        <f>Source!AM256</f>
        <v>115.01</v>
      </c>
      <c r="G281" s="48"/>
      <c r="H281" s="46">
        <f>Source!AV256</f>
        <v>1</v>
      </c>
      <c r="I281" s="47">
        <f>(ROUND((ROUND(((Source!ET256)*Source!AV256*Source!I256),2)),2)+ROUND((ROUND(((Source!AE256-(Source!EU256))*Source!AV256*Source!I256),2)),2))</f>
        <v>218.52</v>
      </c>
      <c r="J281" s="46">
        <f>IF(Source!BB256&lt;&gt; 0, Source!BB256, 1)</f>
        <v>18.36</v>
      </c>
      <c r="K281" s="47">
        <f>Source!Q256</f>
        <v>4012.03</v>
      </c>
    </row>
    <row r="282" spans="1:35" ht="15" x14ac:dyDescent="0.2">
      <c r="C282" s="49" t="s">
        <v>558</v>
      </c>
      <c r="H282" s="50">
        <f>I281+0-0-0</f>
        <v>218.52</v>
      </c>
      <c r="I282" s="50"/>
      <c r="J282" s="50">
        <f>K281+0-0-0</f>
        <v>4012.03</v>
      </c>
      <c r="K282" s="50"/>
    </row>
    <row r="283" spans="1:35" ht="15" hidden="1" x14ac:dyDescent="0.2">
      <c r="C283" s="49" t="s">
        <v>559</v>
      </c>
      <c r="H283" s="52">
        <f>0+0</f>
        <v>0</v>
      </c>
      <c r="I283" s="52"/>
      <c r="J283" s="52">
        <f>0+0</f>
        <v>0</v>
      </c>
      <c r="K283" s="52"/>
    </row>
    <row r="284" spans="1:35" ht="15" x14ac:dyDescent="0.2">
      <c r="H284" s="52"/>
      <c r="I284" s="52"/>
      <c r="J284" s="52"/>
      <c r="K284" s="52"/>
      <c r="O284" s="43">
        <f>I281+0</f>
        <v>218.52</v>
      </c>
      <c r="P284" s="43">
        <f>K281+0</f>
        <v>4012.03</v>
      </c>
      <c r="X284">
        <f>IF(Source!BI256&lt;=1,I281-0, 0)</f>
        <v>0</v>
      </c>
      <c r="Y284">
        <f>IF(Source!BI256=2,I281-0, 0)</f>
        <v>0</v>
      </c>
      <c r="Z284">
        <f>IF(Source!BI256=3,I281-0, 0)</f>
        <v>0</v>
      </c>
      <c r="AA284">
        <f>IF(Source!BI256=4,I281,0)</f>
        <v>218.52</v>
      </c>
    </row>
    <row r="287" spans="1:35" ht="15" x14ac:dyDescent="0.25">
      <c r="A287" s="56" t="str">
        <f>CONCATENATE("Итого по разделу: ",IF(Source!G258&lt;&gt;"Новый раздел", Source!G258, ""))</f>
        <v>Итого по разделу: Раздел: Вывоз мусора</v>
      </c>
      <c r="B287" s="56"/>
      <c r="C287" s="56"/>
      <c r="D287" s="56"/>
      <c r="E287" s="56"/>
      <c r="F287" s="56"/>
      <c r="G287" s="56"/>
      <c r="H287" s="52">
        <f>SUM(O268:O286)</f>
        <v>332.08000000000004</v>
      </c>
      <c r="I287" s="51"/>
      <c r="J287" s="52">
        <f>SUM(P268:P286)</f>
        <v>9419.9700000000012</v>
      </c>
      <c r="K287" s="51"/>
    </row>
    <row r="288" spans="1:35" hidden="1" x14ac:dyDescent="0.2">
      <c r="A288" t="s">
        <v>564</v>
      </c>
      <c r="H288">
        <f>SUM(AC268:AC287)</f>
        <v>0</v>
      </c>
      <c r="J288">
        <f>SUM(AD268:AD287)</f>
        <v>0</v>
      </c>
    </row>
    <row r="289" spans="1:43" hidden="1" x14ac:dyDescent="0.2">
      <c r="A289" t="s">
        <v>565</v>
      </c>
      <c r="H289">
        <f>SUM(AE268:AE288)</f>
        <v>0</v>
      </c>
      <c r="J289">
        <f>SUM(AF268:AF288)</f>
        <v>0</v>
      </c>
    </row>
    <row r="291" spans="1:43" ht="15" x14ac:dyDescent="0.25">
      <c r="A291" s="56" t="str">
        <f>CONCATENATE("Итого по локальной смете: ",IF(Source!G288&lt;&gt;"Новая локальная смета", Source!G288, ""))</f>
        <v xml:space="preserve">Итого по локальной смете: </v>
      </c>
      <c r="B291" s="56"/>
      <c r="C291" s="56"/>
      <c r="D291" s="56"/>
      <c r="E291" s="56"/>
      <c r="F291" s="56"/>
      <c r="G291" s="56"/>
      <c r="H291" s="52">
        <f>SUM(O29:O290)</f>
        <v>16952.590000000004</v>
      </c>
      <c r="I291" s="51"/>
      <c r="J291" s="52">
        <f>SUM(P29:P290)</f>
        <v>274048.52000000008</v>
      </c>
      <c r="K291" s="51"/>
    </row>
    <row r="292" spans="1:43" hidden="1" x14ac:dyDescent="0.2">
      <c r="A292" t="s">
        <v>564</v>
      </c>
      <c r="H292">
        <f>SUM(AC29:AC291)</f>
        <v>0</v>
      </c>
      <c r="J292">
        <f>SUM(AD29:AD291)</f>
        <v>0</v>
      </c>
    </row>
    <row r="293" spans="1:43" hidden="1" x14ac:dyDescent="0.2">
      <c r="A293" t="s">
        <v>565</v>
      </c>
      <c r="H293">
        <f>SUM(AE29:AE292)</f>
        <v>0</v>
      </c>
      <c r="J293">
        <f>SUM(AF29:AF292)</f>
        <v>0</v>
      </c>
    </row>
    <row r="295" spans="1:43" ht="15" x14ac:dyDescent="0.25">
      <c r="A295" s="56" t="str">
        <f>CONCATENATE("Итого по смете: ",IF(Source!G318&lt;&gt;"Новый объект", Source!G318, ""))</f>
        <v>Итого по смете: Текущий ремонт кабинета № 809а замена дверного блока</v>
      </c>
      <c r="B295" s="56"/>
      <c r="C295" s="56"/>
      <c r="D295" s="56"/>
      <c r="E295" s="56"/>
      <c r="F295" s="56"/>
      <c r="G295" s="56"/>
      <c r="H295" s="52">
        <f>SUM(O1:O294)</f>
        <v>16952.590000000004</v>
      </c>
      <c r="I295" s="51"/>
      <c r="J295" s="52">
        <f>SUM(P1:P294)</f>
        <v>274048.52000000008</v>
      </c>
      <c r="K295" s="51"/>
      <c r="AQ295" s="57" t="str">
        <f>CONCATENATE("Итого по смете: ",IF(Source!G318&lt;&gt;"Новый объект", Source!G318, ""))</f>
        <v>Итого по смете: Текущий ремонт кабинета № 809а замена дверного блока</v>
      </c>
    </row>
    <row r="296" spans="1:43" hidden="1" x14ac:dyDescent="0.2">
      <c r="A296" t="s">
        <v>564</v>
      </c>
      <c r="H296">
        <f>SUM(AC1:AC295)</f>
        <v>0</v>
      </c>
      <c r="J296">
        <f>SUM(AD1:AD295)</f>
        <v>0</v>
      </c>
    </row>
    <row r="297" spans="1:43" hidden="1" x14ac:dyDescent="0.2">
      <c r="A297" t="s">
        <v>565</v>
      </c>
      <c r="H297">
        <f>SUM(AE1:AE296)</f>
        <v>0</v>
      </c>
      <c r="J297">
        <f>SUM(AF1:AF296)</f>
        <v>0</v>
      </c>
    </row>
    <row r="298" spans="1:43" ht="14.25" x14ac:dyDescent="0.2">
      <c r="C298" s="58" t="str">
        <f>Source!H347</f>
        <v>Итого</v>
      </c>
      <c r="D298" s="58"/>
      <c r="E298" s="58"/>
      <c r="F298" s="58"/>
      <c r="G298" s="58"/>
      <c r="H298" s="58"/>
      <c r="I298" s="58"/>
      <c r="J298" s="59">
        <f>IF(Source!F347=0, "", Source!F347)</f>
        <v>274048.52</v>
      </c>
      <c r="K298" s="59"/>
    </row>
    <row r="299" spans="1:43" ht="14.25" x14ac:dyDescent="0.2">
      <c r="C299" s="58" t="str">
        <f>Source!H348</f>
        <v>НДС 22%</v>
      </c>
      <c r="D299" s="58"/>
      <c r="E299" s="58"/>
      <c r="F299" s="58"/>
      <c r="G299" s="58"/>
      <c r="H299" s="58"/>
      <c r="I299" s="58"/>
      <c r="J299" s="59">
        <f>IF(Source!F348=0, "", Source!F348)</f>
        <v>60290.67</v>
      </c>
      <c r="K299" s="59"/>
    </row>
    <row r="300" spans="1:43" ht="14.25" x14ac:dyDescent="0.2">
      <c r="C300" s="58" t="str">
        <f>Source!H349</f>
        <v>Всего</v>
      </c>
      <c r="D300" s="58"/>
      <c r="E300" s="58"/>
      <c r="F300" s="58"/>
      <c r="G300" s="58"/>
      <c r="H300" s="58"/>
      <c r="I300" s="58"/>
      <c r="J300" s="59">
        <f>IF(Source!F349=0, "", Source!F349)</f>
        <v>334339.19</v>
      </c>
      <c r="K300" s="59"/>
    </row>
    <row r="303" spans="1:43" ht="14.25" x14ac:dyDescent="0.2">
      <c r="A303" s="60" t="s">
        <v>568</v>
      </c>
      <c r="B303" s="60"/>
      <c r="C303" s="61" t="str">
        <f>IF(Source!AC12&lt;&gt;"", Source!AC12," ")</f>
        <v xml:space="preserve"> </v>
      </c>
      <c r="D303" s="61"/>
      <c r="E303" s="61"/>
      <c r="F303" s="61"/>
      <c r="G303" s="61"/>
      <c r="H303" s="27" t="str">
        <f>IF(Source!AB12&lt;&gt;"", Source!AB12," ")</f>
        <v xml:space="preserve"> </v>
      </c>
      <c r="I303" s="27"/>
      <c r="J303" s="27"/>
      <c r="K303" s="27"/>
    </row>
    <row r="304" spans="1:43" ht="14.25" x14ac:dyDescent="0.2">
      <c r="A304" s="14"/>
      <c r="B304" s="14"/>
      <c r="C304" s="16" t="s">
        <v>569</v>
      </c>
      <c r="D304" s="16"/>
      <c r="E304" s="16"/>
      <c r="F304" s="16"/>
      <c r="G304" s="16"/>
      <c r="H304" s="14"/>
      <c r="I304" s="14"/>
      <c r="J304" s="14"/>
      <c r="K304" s="14"/>
    </row>
    <row r="305" spans="1:11" ht="14.25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</row>
    <row r="306" spans="1:11" ht="14.25" x14ac:dyDescent="0.2">
      <c r="A306" s="60" t="s">
        <v>570</v>
      </c>
      <c r="B306" s="60"/>
      <c r="C306" s="61" t="str">
        <f>IF(Source!AE12&lt;&gt;"", Source!AE12," ")</f>
        <v xml:space="preserve"> </v>
      </c>
      <c r="D306" s="61"/>
      <c r="E306" s="61"/>
      <c r="F306" s="61"/>
      <c r="G306" s="61"/>
      <c r="H306" s="27" t="str">
        <f>IF(Source!AD12&lt;&gt;"", Source!AD12," ")</f>
        <v xml:space="preserve"> </v>
      </c>
      <c r="I306" s="27"/>
      <c r="J306" s="27"/>
      <c r="K306" s="27"/>
    </row>
    <row r="307" spans="1:11" ht="14.25" x14ac:dyDescent="0.2">
      <c r="A307" s="14"/>
      <c r="B307" s="14"/>
      <c r="C307" s="16" t="s">
        <v>569</v>
      </c>
      <c r="D307" s="16"/>
      <c r="E307" s="16"/>
      <c r="F307" s="16"/>
      <c r="G307" s="16"/>
      <c r="H307" s="14"/>
      <c r="I307" s="14"/>
      <c r="J307" s="14"/>
      <c r="K307" s="14"/>
    </row>
  </sheetData>
  <mergeCells count="170">
    <mergeCell ref="A303:B303"/>
    <mergeCell ref="H303:K303"/>
    <mergeCell ref="C304:G304"/>
    <mergeCell ref="A306:B306"/>
    <mergeCell ref="H306:K306"/>
    <mergeCell ref="C307:G307"/>
    <mergeCell ref="C298:I298"/>
    <mergeCell ref="J298:K298"/>
    <mergeCell ref="C299:I299"/>
    <mergeCell ref="J299:K299"/>
    <mergeCell ref="C300:I300"/>
    <mergeCell ref="J300:K300"/>
    <mergeCell ref="A287:G287"/>
    <mergeCell ref="J291:K291"/>
    <mergeCell ref="H291:I291"/>
    <mergeCell ref="A291:G291"/>
    <mergeCell ref="J295:K295"/>
    <mergeCell ref="H295:I295"/>
    <mergeCell ref="A295:G295"/>
    <mergeCell ref="H283:I283"/>
    <mergeCell ref="J283:K283"/>
    <mergeCell ref="J284:K284"/>
    <mergeCell ref="H284:I284"/>
    <mergeCell ref="J287:K287"/>
    <mergeCell ref="H287:I287"/>
    <mergeCell ref="H277:I277"/>
    <mergeCell ref="J277:K277"/>
    <mergeCell ref="J278:K278"/>
    <mergeCell ref="H278:I278"/>
    <mergeCell ref="H282:I282"/>
    <mergeCell ref="J282:K282"/>
    <mergeCell ref="A260:G260"/>
    <mergeCell ref="J264:K264"/>
    <mergeCell ref="H264:I264"/>
    <mergeCell ref="A264:G264"/>
    <mergeCell ref="A268:K268"/>
    <mergeCell ref="H276:I276"/>
    <mergeCell ref="J276:K276"/>
    <mergeCell ref="H256:I256"/>
    <mergeCell ref="J256:K256"/>
    <mergeCell ref="J257:K257"/>
    <mergeCell ref="H257:I257"/>
    <mergeCell ref="J260:K260"/>
    <mergeCell ref="H260:I260"/>
    <mergeCell ref="H240:I240"/>
    <mergeCell ref="J240:K240"/>
    <mergeCell ref="J241:K241"/>
    <mergeCell ref="H241:I241"/>
    <mergeCell ref="H255:I255"/>
    <mergeCell ref="J255:K255"/>
    <mergeCell ref="H228:I228"/>
    <mergeCell ref="J228:K228"/>
    <mergeCell ref="J229:K229"/>
    <mergeCell ref="H229:I229"/>
    <mergeCell ref="H239:I239"/>
    <mergeCell ref="J239:K239"/>
    <mergeCell ref="J216:K216"/>
    <mergeCell ref="H216:I216"/>
    <mergeCell ref="A216:G216"/>
    <mergeCell ref="A220:K220"/>
    <mergeCell ref="H227:I227"/>
    <mergeCell ref="J227:K227"/>
    <mergeCell ref="H211:I211"/>
    <mergeCell ref="J211:K211"/>
    <mergeCell ref="H212:I212"/>
    <mergeCell ref="J212:K212"/>
    <mergeCell ref="J213:K213"/>
    <mergeCell ref="H213:I213"/>
    <mergeCell ref="H199:I199"/>
    <mergeCell ref="J199:K199"/>
    <mergeCell ref="H200:I200"/>
    <mergeCell ref="J200:K200"/>
    <mergeCell ref="J201:K201"/>
    <mergeCell ref="H201:I201"/>
    <mergeCell ref="H186:I186"/>
    <mergeCell ref="J186:K186"/>
    <mergeCell ref="H187:I187"/>
    <mergeCell ref="J187:K187"/>
    <mergeCell ref="J188:K188"/>
    <mergeCell ref="H188:I188"/>
    <mergeCell ref="H174:I174"/>
    <mergeCell ref="J174:K174"/>
    <mergeCell ref="H175:I175"/>
    <mergeCell ref="J175:K175"/>
    <mergeCell ref="J176:K176"/>
    <mergeCell ref="H176:I176"/>
    <mergeCell ref="H161:I161"/>
    <mergeCell ref="J161:K161"/>
    <mergeCell ref="H162:I162"/>
    <mergeCell ref="J162:K162"/>
    <mergeCell ref="J163:K163"/>
    <mergeCell ref="H163:I163"/>
    <mergeCell ref="H145:I145"/>
    <mergeCell ref="J145:K145"/>
    <mergeCell ref="H146:I146"/>
    <mergeCell ref="J146:K146"/>
    <mergeCell ref="J147:K147"/>
    <mergeCell ref="H147:I147"/>
    <mergeCell ref="H134:I134"/>
    <mergeCell ref="J134:K134"/>
    <mergeCell ref="H135:I135"/>
    <mergeCell ref="J135:K135"/>
    <mergeCell ref="J136:K136"/>
    <mergeCell ref="H136:I136"/>
    <mergeCell ref="J121:K121"/>
    <mergeCell ref="H121:I121"/>
    <mergeCell ref="J124:K124"/>
    <mergeCell ref="H124:I124"/>
    <mergeCell ref="A124:G124"/>
    <mergeCell ref="A128:K128"/>
    <mergeCell ref="J108:K108"/>
    <mergeCell ref="H108:I108"/>
    <mergeCell ref="H119:I119"/>
    <mergeCell ref="J119:K119"/>
    <mergeCell ref="H120:I120"/>
    <mergeCell ref="J120:K120"/>
    <mergeCell ref="J91:K91"/>
    <mergeCell ref="H91:I91"/>
    <mergeCell ref="H106:I106"/>
    <mergeCell ref="J106:K106"/>
    <mergeCell ref="H107:I107"/>
    <mergeCell ref="J107:K107"/>
    <mergeCell ref="J78:K78"/>
    <mergeCell ref="H78:I78"/>
    <mergeCell ref="H89:I89"/>
    <mergeCell ref="J89:K89"/>
    <mergeCell ref="H90:I90"/>
    <mergeCell ref="J90:K90"/>
    <mergeCell ref="J62:K62"/>
    <mergeCell ref="H62:I62"/>
    <mergeCell ref="H76:I76"/>
    <mergeCell ref="J76:K76"/>
    <mergeCell ref="H77:I77"/>
    <mergeCell ref="J77:K77"/>
    <mergeCell ref="J52:K52"/>
    <mergeCell ref="H52:I52"/>
    <mergeCell ref="H60:I60"/>
    <mergeCell ref="J60:K60"/>
    <mergeCell ref="H61:I61"/>
    <mergeCell ref="J61:K61"/>
    <mergeCell ref="J42:K42"/>
    <mergeCell ref="H42:I42"/>
    <mergeCell ref="H50:I50"/>
    <mergeCell ref="J50:K50"/>
    <mergeCell ref="H51:I51"/>
    <mergeCell ref="J51:K51"/>
    <mergeCell ref="A31:K31"/>
    <mergeCell ref="A33:K33"/>
    <mergeCell ref="H40:I40"/>
    <mergeCell ref="J40:K40"/>
    <mergeCell ref="H41:I41"/>
    <mergeCell ref="J41:K41"/>
    <mergeCell ref="E20:H20"/>
    <mergeCell ref="E21:H21"/>
    <mergeCell ref="E22:H22"/>
    <mergeCell ref="A25:K25"/>
    <mergeCell ref="J2:K2"/>
    <mergeCell ref="A29:K29"/>
    <mergeCell ref="E14:H14"/>
    <mergeCell ref="E15:H15"/>
    <mergeCell ref="E16:H16"/>
    <mergeCell ref="E17:H17"/>
    <mergeCell ref="E18:H18"/>
    <mergeCell ref="E19:H19"/>
    <mergeCell ref="A3:K3"/>
    <mergeCell ref="A4:K4"/>
    <mergeCell ref="A6:K6"/>
    <mergeCell ref="A8:K8"/>
    <mergeCell ref="A9:K9"/>
    <mergeCell ref="A11:K11"/>
  </mergeCells>
  <pageMargins left="0.4" right="0.2" top="0.2" bottom="0.4" header="0.2" footer="0.2"/>
  <pageSetup paperSize="9" scale="72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5"/>
  <sheetViews>
    <sheetView topLeftCell="A49" zoomScaleNormal="100" workbookViewId="0">
      <selection activeCell="B20" sqref="B20"/>
    </sheetView>
  </sheetViews>
  <sheetFormatPr defaultRowHeight="12.75" x14ac:dyDescent="0.2"/>
  <cols>
    <col min="1" max="1" width="6.7109375" customWidth="1"/>
    <col min="2" max="2" width="75.7109375" customWidth="1"/>
    <col min="3" max="4" width="15.7109375" customWidth="1"/>
    <col min="29" max="30" width="114.7109375" hidden="1" customWidth="1"/>
    <col min="31" max="31" width="0" hidden="1" customWidth="1"/>
  </cols>
  <sheetData>
    <row r="1" spans="1:29" x14ac:dyDescent="0.2">
      <c r="A1" s="13" t="str">
        <f>Source!B1</f>
        <v>Smeta.RU Flash  (495) 974-1589</v>
      </c>
    </row>
    <row r="2" spans="1:29" ht="14.25" x14ac:dyDescent="0.2">
      <c r="C2" s="14"/>
      <c r="D2" s="14"/>
    </row>
    <row r="3" spans="1:29" ht="15" x14ac:dyDescent="0.25">
      <c r="C3" s="14"/>
      <c r="D3" s="55" t="s">
        <v>571</v>
      </c>
    </row>
    <row r="4" spans="1:29" ht="15" x14ac:dyDescent="0.25">
      <c r="C4" s="55"/>
      <c r="D4" s="55"/>
    </row>
    <row r="5" spans="1:29" ht="15" x14ac:dyDescent="0.25">
      <c r="C5" s="62" t="s">
        <v>572</v>
      </c>
      <c r="D5" s="62"/>
    </row>
    <row r="6" spans="1:29" ht="15" x14ac:dyDescent="0.25">
      <c r="C6" s="63"/>
      <c r="D6" s="63"/>
    </row>
    <row r="7" spans="1:29" ht="15" x14ac:dyDescent="0.25">
      <c r="C7" s="62" t="s">
        <v>572</v>
      </c>
      <c r="D7" s="62"/>
    </row>
    <row r="8" spans="1:29" ht="15" x14ac:dyDescent="0.25">
      <c r="C8" s="63"/>
      <c r="D8" s="63"/>
    </row>
    <row r="9" spans="1:29" ht="15" x14ac:dyDescent="0.25">
      <c r="C9" s="55" t="s">
        <v>573</v>
      </c>
      <c r="D9" s="14"/>
    </row>
    <row r="10" spans="1:29" ht="14.25" x14ac:dyDescent="0.2">
      <c r="A10" s="14"/>
      <c r="B10" s="14"/>
      <c r="C10" s="14"/>
      <c r="D10" s="14"/>
    </row>
    <row r="11" spans="1:29" ht="15.75" x14ac:dyDescent="0.25">
      <c r="A11" s="64" t="str">
        <f>CONCATENATE("Дефектный акт ", IF(Source!AN15&lt;&gt;"", Source!AN15," "))</f>
        <v xml:space="preserve">Дефектный акт  </v>
      </c>
      <c r="B11" s="64"/>
      <c r="C11" s="64"/>
      <c r="D11" s="64"/>
    </row>
    <row r="12" spans="1:29" ht="15" x14ac:dyDescent="0.25">
      <c r="A12" s="65"/>
      <c r="B12" s="65"/>
      <c r="C12" s="65"/>
      <c r="D12" s="65"/>
      <c r="AC12" s="66" t="str">
        <f>CONCATENATE("На капитальный ремонт ", Source!F12, " ", Source!G12)</f>
        <v>На капитальный ремонт ДО Текущий ремонт кабинета № 809а замена дверного блока</v>
      </c>
    </row>
    <row r="13" spans="1:29" ht="14.25" x14ac:dyDescent="0.2">
      <c r="A13" s="14"/>
      <c r="B13" s="14"/>
      <c r="C13" s="14"/>
      <c r="D13" s="14"/>
    </row>
    <row r="14" spans="1:29" ht="28.5" x14ac:dyDescent="0.2">
      <c r="A14" s="32" t="s">
        <v>538</v>
      </c>
      <c r="B14" s="32" t="s">
        <v>540</v>
      </c>
      <c r="C14" s="32" t="s">
        <v>574</v>
      </c>
      <c r="D14" s="32" t="s">
        <v>575</v>
      </c>
    </row>
    <row r="15" spans="1:29" ht="14.25" x14ac:dyDescent="0.2">
      <c r="A15" s="67">
        <v>1</v>
      </c>
      <c r="B15" s="67">
        <v>2</v>
      </c>
      <c r="C15" s="67">
        <v>3</v>
      </c>
      <c r="D15" s="67">
        <v>4</v>
      </c>
    </row>
    <row r="16" spans="1:29" ht="16.5" x14ac:dyDescent="0.25">
      <c r="A16" s="68" t="str">
        <f>CONCATENATE("Локальная смета: ", Source!G20)</f>
        <v>Локальная смета: Новая локальная смета</v>
      </c>
      <c r="B16" s="68"/>
      <c r="C16" s="68"/>
      <c r="D16" s="68"/>
    </row>
    <row r="17" spans="1:4" ht="16.5" x14ac:dyDescent="0.25">
      <c r="A17" s="68" t="str">
        <f>CONCATENATE("Раздел: ", Source!G24)</f>
        <v>Раздел: Кабинет 809а</v>
      </c>
      <c r="B17" s="68"/>
      <c r="C17" s="68"/>
      <c r="D17" s="68"/>
    </row>
    <row r="18" spans="1:4" ht="16.5" x14ac:dyDescent="0.25">
      <c r="A18" s="68" t="str">
        <f>CONCATENATE("Подраздел: ", Source!G70)</f>
        <v>Подраздел: Полы</v>
      </c>
      <c r="B18" s="68"/>
      <c r="C18" s="68"/>
      <c r="D18" s="68"/>
    </row>
    <row r="19" spans="1:4" ht="28.5" x14ac:dyDescent="0.2">
      <c r="A19" s="73">
        <v>1</v>
      </c>
      <c r="B19" s="74" t="str">
        <f>Source!G74</f>
        <v>Разборка деревянных плинтусов</v>
      </c>
      <c r="C19" s="75" t="str">
        <f>Source!H74</f>
        <v>100 м плинтусов</v>
      </c>
      <c r="D19" s="76">
        <f>Source!I74</f>
        <v>0.17399999999999999</v>
      </c>
    </row>
    <row r="20" spans="1:4" ht="28.5" x14ac:dyDescent="0.2">
      <c r="A20" s="73">
        <v>2</v>
      </c>
      <c r="B20" s="74" t="str">
        <f>Source!G75</f>
        <v>Разборка покрытий из штучного паркета на мастике</v>
      </c>
      <c r="C20" s="75" t="str">
        <f>Source!H75</f>
        <v>100 м2 покрытия</v>
      </c>
      <c r="D20" s="76">
        <f>Source!I75</f>
        <v>0.17399999999999999</v>
      </c>
    </row>
    <row r="21" spans="1:4" ht="28.5" x14ac:dyDescent="0.2">
      <c r="A21" s="73">
        <v>3</v>
      </c>
      <c r="B21" s="74" t="str">
        <f>Source!G76</f>
        <v>Разборка простильных полов</v>
      </c>
      <c r="C21" s="75" t="str">
        <f>Source!H76</f>
        <v>100 м2 основания</v>
      </c>
      <c r="D21" s="76">
        <f>Source!I76</f>
        <v>0.17399999999999999</v>
      </c>
    </row>
    <row r="22" spans="1:4" ht="14.25" x14ac:dyDescent="0.2">
      <c r="A22" s="73">
        <v>4</v>
      </c>
      <c r="B22" s="74" t="str">
        <f>Source!G77</f>
        <v>Устройство тепло - и звукоизоляции пола из фанеры</v>
      </c>
      <c r="C22" s="75" t="str">
        <f>Source!H77</f>
        <v>100 м2</v>
      </c>
      <c r="D22" s="76">
        <f>Source!I77</f>
        <v>0.17399999999999999</v>
      </c>
    </row>
    <row r="23" spans="1:4" ht="14.25" x14ac:dyDescent="0.2">
      <c r="A23" s="73">
        <v>4.0999999999999996</v>
      </c>
      <c r="B23" s="74" t="str">
        <f>Source!G78</f>
        <v>Дюбель-гвоздь стальной, диаметр 6 мм, длина 40 мм</v>
      </c>
      <c r="C23" s="75" t="str">
        <f>Source!H78</f>
        <v>100 шт.</v>
      </c>
      <c r="D23" s="76">
        <f>Source!I78</f>
        <v>2.6448</v>
      </c>
    </row>
    <row r="24" spans="1:4" ht="14.25" x14ac:dyDescent="0.2">
      <c r="A24" s="73">
        <v>4.2</v>
      </c>
      <c r="B24" s="74" t="str">
        <f>Source!G79</f>
        <v>Мастика клеящая каучуковая, типа КН-2</v>
      </c>
      <c r="C24" s="75" t="str">
        <f>Source!H79</f>
        <v>кг</v>
      </c>
      <c r="D24" s="76">
        <f>Source!I79</f>
        <v>13.919999999999998</v>
      </c>
    </row>
    <row r="25" spans="1:4" ht="42.75" x14ac:dyDescent="0.2">
      <c r="A25" s="73">
        <v>4.3</v>
      </c>
      <c r="B25" s="74" t="str">
        <f>Source!G80</f>
        <v>Фанера березовая общего назначения, шлифованная с двух сторон, водостойкая, для внутреннего использования, марка ФК, сорт I/II, толщина 10 мм</v>
      </c>
      <c r="C25" s="75" t="str">
        <f>Source!H80</f>
        <v>м3</v>
      </c>
      <c r="D25" s="76">
        <f>Source!I80</f>
        <v>0.08</v>
      </c>
    </row>
    <row r="26" spans="1:4" ht="28.5" x14ac:dyDescent="0.2">
      <c r="A26" s="73">
        <v>5</v>
      </c>
      <c r="B26" s="74" t="str">
        <f>Source!G88</f>
        <v>Устройство ламинированного напольного покрытия бесклеевым (замковым) способом</v>
      </c>
      <c r="C26" s="75" t="str">
        <f>Source!H88</f>
        <v>100 м2</v>
      </c>
      <c r="D26" s="76">
        <f>Source!I88</f>
        <v>0.16819999999999999</v>
      </c>
    </row>
    <row r="27" spans="1:4" ht="28.5" x14ac:dyDescent="0.2">
      <c r="A27" s="73">
        <v>6</v>
      </c>
      <c r="B27" s="74" t="str">
        <f>Source!G89</f>
        <v>Устройство плинтусов поливинилхлоридных на винтах самонарезающих</v>
      </c>
      <c r="C27" s="75" t="str">
        <f>Source!H89</f>
        <v>100 м плинтусов</v>
      </c>
      <c r="D27" s="76">
        <f>Source!I89</f>
        <v>0.17399999999999999</v>
      </c>
    </row>
    <row r="28" spans="1:4" ht="14.25" x14ac:dyDescent="0.2">
      <c r="A28" s="73">
        <v>6.1</v>
      </c>
      <c r="B28" s="74" t="str">
        <f>Source!G90</f>
        <v>Соединитель из ПВХ, для плинтуса, высота 55 мм</v>
      </c>
      <c r="C28" s="75" t="str">
        <f>Source!H90</f>
        <v>100 шт.</v>
      </c>
      <c r="D28" s="76">
        <f>Source!I90</f>
        <v>6</v>
      </c>
    </row>
    <row r="29" spans="1:4" ht="14.25" x14ac:dyDescent="0.2">
      <c r="A29" s="73">
        <v>6.2</v>
      </c>
      <c r="B29" s="74" t="str">
        <f>Source!G91</f>
        <v>Угол из ПВХ внутренний, для плинтуса, высота 55 мм</v>
      </c>
      <c r="C29" s="75" t="str">
        <f>Source!H91</f>
        <v>100 шт.</v>
      </c>
      <c r="D29" s="76">
        <f>Source!I91</f>
        <v>1</v>
      </c>
    </row>
    <row r="30" spans="1:4" ht="14.25" x14ac:dyDescent="0.2">
      <c r="A30" s="73">
        <v>6.3</v>
      </c>
      <c r="B30" s="74" t="str">
        <f>Source!G92</f>
        <v>Угол из ПВХ наружный, для плинтуса, высота 55 мм</v>
      </c>
      <c r="C30" s="75" t="str">
        <f>Source!H92</f>
        <v>100 шт.</v>
      </c>
      <c r="D30" s="76">
        <f>Source!I92</f>
        <v>3</v>
      </c>
    </row>
    <row r="31" spans="1:4" ht="28.5" x14ac:dyDescent="0.2">
      <c r="A31" s="73">
        <v>6.4</v>
      </c>
      <c r="B31" s="74" t="str">
        <f>Source!G93</f>
        <v>Плинтус напольный из ПВХ, с кабель-каналом, высота от 55 до 62 мм, толщина от 22 до 25 мм</v>
      </c>
      <c r="C31" s="75" t="str">
        <f>Source!H93</f>
        <v>м</v>
      </c>
      <c r="D31" s="76">
        <f>Source!I93</f>
        <v>17.574000000000002</v>
      </c>
    </row>
    <row r="32" spans="1:4" ht="14.25" x14ac:dyDescent="0.2">
      <c r="A32" s="73">
        <v>7</v>
      </c>
      <c r="B32" s="74" t="str">
        <f>Source!G94</f>
        <v>Укладка металлической накладной полосы (порожка)</v>
      </c>
      <c r="C32" s="75" t="str">
        <f>Source!H94</f>
        <v>100 м</v>
      </c>
      <c r="D32" s="76">
        <f>Source!I94</f>
        <v>8.9999999999999993E-3</v>
      </c>
    </row>
    <row r="33" spans="1:4" ht="14.25" x14ac:dyDescent="0.2">
      <c r="A33" s="73">
        <v>7.1</v>
      </c>
      <c r="B33" s="74" t="str">
        <f>Source!G95</f>
        <v>Профиль алюминиевый, ширина 40 мм, типа СПА 3505</v>
      </c>
      <c r="C33" s="75" t="str">
        <f>Source!H95</f>
        <v>м</v>
      </c>
      <c r="D33" s="76">
        <f>Source!I95</f>
        <v>0.94499999999999995</v>
      </c>
    </row>
    <row r="34" spans="1:4" ht="16.5" x14ac:dyDescent="0.25">
      <c r="A34" s="68" t="str">
        <f>CONCATENATE("Подраздел: ", Source!G127)</f>
        <v>Подраздел: Стены</v>
      </c>
      <c r="B34" s="68"/>
      <c r="C34" s="68"/>
      <c r="D34" s="68"/>
    </row>
    <row r="35" spans="1:4" ht="28.5" x14ac:dyDescent="0.2">
      <c r="A35" s="73">
        <v>8</v>
      </c>
      <c r="B35" s="74" t="str">
        <f>Source!G131</f>
        <v>Расчистка поверхностей от старых покрасок (шпателем, щетками и т.д.)</v>
      </c>
      <c r="C35" s="75" t="str">
        <f>Source!H131</f>
        <v>1 м2 поверхности</v>
      </c>
      <c r="D35" s="76">
        <f>Source!I131</f>
        <v>43.2</v>
      </c>
    </row>
    <row r="36" spans="1:4" ht="28.5" x14ac:dyDescent="0.2">
      <c r="A36" s="73">
        <v>9</v>
      </c>
      <c r="B36" s="74" t="str">
        <f>Source!G132</f>
        <v>Ремонт штукатурки внутренних стен по камню и бетону известковым раствором при площади до 5 м2 толщиной слоя до 20 мм</v>
      </c>
      <c r="C36" s="75" t="str">
        <f>Source!H132</f>
        <v>100 м2</v>
      </c>
      <c r="D36" s="76">
        <f>Source!I132</f>
        <v>0.17280000000000001</v>
      </c>
    </row>
    <row r="37" spans="1:4" ht="14.25" x14ac:dyDescent="0.2">
      <c r="A37" s="73">
        <v>9.1</v>
      </c>
      <c r="B37" s="74" t="str">
        <f>Source!G133</f>
        <v>Раствор известковый, марка М4</v>
      </c>
      <c r="C37" s="75" t="str">
        <f>Source!H133</f>
        <v>м3</v>
      </c>
      <c r="D37" s="76">
        <f>Source!I133</f>
        <v>0.38016</v>
      </c>
    </row>
    <row r="38" spans="1:4" ht="28.5" x14ac:dyDescent="0.2">
      <c r="A38" s="73">
        <v>10</v>
      </c>
      <c r="B38" s="74" t="str">
        <f>Source!G134</f>
        <v>Высококачественная окраска водно-дисперсионными составами стен по сборным конструкциям, подготовленным под окраску, внутри помещений</v>
      </c>
      <c r="C38" s="75" t="str">
        <f>Source!H134</f>
        <v>100 м2</v>
      </c>
      <c r="D38" s="76">
        <f>Source!I134</f>
        <v>0.432</v>
      </c>
    </row>
    <row r="39" spans="1:4" ht="14.25" x14ac:dyDescent="0.2">
      <c r="A39" s="73">
        <v>10.1</v>
      </c>
      <c r="B39" s="74" t="str">
        <f>Source!G135</f>
        <v>Краска водно-дисперсионная, акриловая, типа ВДА-Н</v>
      </c>
      <c r="C39" s="75" t="str">
        <f>Source!H135</f>
        <v>т</v>
      </c>
      <c r="D39" s="76">
        <f>Source!I135</f>
        <v>9.6849999999999992E-3</v>
      </c>
    </row>
    <row r="40" spans="1:4" ht="28.5" x14ac:dyDescent="0.2">
      <c r="A40" s="73">
        <v>10.199999999999999</v>
      </c>
      <c r="B40" s="74" t="str">
        <f>Source!G136</f>
        <v>Грунтовка водно-дисперсионная высококонцентрированная глубокопроникающая универсальная</v>
      </c>
      <c r="C40" s="75" t="str">
        <f>Source!H136</f>
        <v>кг</v>
      </c>
      <c r="D40" s="76">
        <f>Source!I136</f>
        <v>18.36</v>
      </c>
    </row>
    <row r="41" spans="1:4" ht="85.5" x14ac:dyDescent="0.2">
      <c r="A41" s="73">
        <v>10.3</v>
      </c>
      <c r="B41" s="74" t="str">
        <f>Source!G137</f>
        <v>Смесь сухая, цементная с полимерными добавками и армирующими волокнами, шпатлевочная, финишная, для наружных и внутренних работ, ручного нанесения, прочность на сжатие не менее 4 МПа, прочность сцепления не менее 0,5 МПа, F25, для выравнивания поверхностей бетона и цементных штукатурок, заделки трещин, заполнения отверстий на фасадах зданий и в помещениях с повышенной влажностью</v>
      </c>
      <c r="C41" s="75" t="str">
        <f>Source!H137</f>
        <v>кг</v>
      </c>
      <c r="D41" s="76">
        <f>Source!I137</f>
        <v>50.232959999999999</v>
      </c>
    </row>
    <row r="42" spans="1:4" ht="42.75" x14ac:dyDescent="0.2">
      <c r="A42" s="73">
        <v>11</v>
      </c>
      <c r="B42" s="74" t="str">
        <f>Source!G138</f>
        <v>Масляная окраска белилами с добавлением колера металлических решеток, переплетов, труб, диаметром менее 50 мм и т.п. за два раза</v>
      </c>
      <c r="C42" s="75" t="str">
        <f>Source!H138</f>
        <v>100 м2 окрашиваемой поверхности</v>
      </c>
      <c r="D42" s="76">
        <f>Source!I138</f>
        <v>5.0000000000000001E-3</v>
      </c>
    </row>
    <row r="43" spans="1:4" ht="28.5" x14ac:dyDescent="0.2">
      <c r="A43" s="73">
        <v>11.1</v>
      </c>
      <c r="B43" s="74" t="str">
        <f>Source!G139</f>
        <v>Краска масляная жидкотертая цветная (готовая к употреблению) для наружных и внутренних работ, типа МА-22</v>
      </c>
      <c r="C43" s="75" t="str">
        <f>Source!H139</f>
        <v>т</v>
      </c>
      <c r="D43" s="76">
        <f>Source!I139</f>
        <v>1.2300000000000001E-4</v>
      </c>
    </row>
    <row r="44" spans="1:4" ht="14.25" x14ac:dyDescent="0.2">
      <c r="A44" s="73">
        <v>11.2</v>
      </c>
      <c r="B44" s="74" t="str">
        <f>Source!G140</f>
        <v>Олифа для окраски комбинированная, типа Оксоль</v>
      </c>
      <c r="C44" s="75" t="str">
        <f>Source!H140</f>
        <v>кг</v>
      </c>
      <c r="D44" s="76">
        <f>Source!I140</f>
        <v>1.3499999999999998E-2</v>
      </c>
    </row>
    <row r="45" spans="1:4" ht="14.25" x14ac:dyDescent="0.2">
      <c r="A45" s="73">
        <v>12</v>
      </c>
      <c r="B45" s="74" t="str">
        <f>Source!G141</f>
        <v>Смена вентиляционных решеток</v>
      </c>
      <c r="C45" s="75" t="str">
        <f>Source!H141</f>
        <v>100 шт.</v>
      </c>
      <c r="D45" s="76">
        <f>Source!I141</f>
        <v>0.01</v>
      </c>
    </row>
    <row r="46" spans="1:4" ht="28.5" x14ac:dyDescent="0.2">
      <c r="A46" s="73">
        <v>12.1</v>
      </c>
      <c r="B46" s="74" t="str">
        <f>Source!G142</f>
        <v>Решетка стальная вентиляционная, жалюзийная, регулируемая, типа РС-Г, размер 225х75 мм</v>
      </c>
      <c r="C46" s="75" t="str">
        <f>Source!H142</f>
        <v>шт.</v>
      </c>
      <c r="D46" s="76">
        <f>Source!I142</f>
        <v>1</v>
      </c>
    </row>
    <row r="47" spans="1:4" ht="14.25" x14ac:dyDescent="0.2">
      <c r="A47" s="73">
        <v>13</v>
      </c>
      <c r="B47" s="74" t="str">
        <f>Source!G143</f>
        <v>Устройство пароизоляции из полиэтиленовой пленки в один слой насухо</v>
      </c>
      <c r="C47" s="75" t="str">
        <f>Source!H143</f>
        <v>100 м2</v>
      </c>
      <c r="D47" s="76">
        <f>Source!I143</f>
        <v>0.62</v>
      </c>
    </row>
    <row r="48" spans="1:4" ht="14.25" x14ac:dyDescent="0.2">
      <c r="A48" s="73">
        <v>13.1</v>
      </c>
      <c r="B48" s="74" t="str">
        <f>Source!G144</f>
        <v>Пленка полиэтиленовая, толщина от 200 до 300 мкм</v>
      </c>
      <c r="C48" s="75" t="str">
        <f>Source!H144</f>
        <v>м2</v>
      </c>
      <c r="D48" s="76">
        <f>Source!I144</f>
        <v>75.888000000000005</v>
      </c>
    </row>
    <row r="49" spans="1:4" ht="28.5" x14ac:dyDescent="0.2">
      <c r="A49" s="73">
        <v>14</v>
      </c>
      <c r="B49" s="74" t="str">
        <f>Source!G145</f>
        <v>Устройство пароизоляции из полиэтиленовой пленки в один слой насухо/снятие</v>
      </c>
      <c r="C49" s="75" t="str">
        <f>Source!H145</f>
        <v>100 м2</v>
      </c>
      <c r="D49" s="76">
        <f>Source!I145</f>
        <v>0.62</v>
      </c>
    </row>
    <row r="50" spans="1:4" ht="16.5" x14ac:dyDescent="0.25">
      <c r="A50" s="68" t="str">
        <f>CONCATENATE("Подраздел: ", Source!G177)</f>
        <v>Подраздел: Подраздел: Потолки</v>
      </c>
      <c r="B50" s="68"/>
      <c r="C50" s="68"/>
      <c r="D50" s="68"/>
    </row>
    <row r="51" spans="1:4" ht="42.75" x14ac:dyDescent="0.2">
      <c r="A51" s="73">
        <v>15</v>
      </c>
      <c r="B51" s="74" t="str">
        <f>Source!G181</f>
        <v>Отбивка штукатурки с кирпичных и бетонных поверхностей стен и потолков отдельными местами</v>
      </c>
      <c r="C51" s="75" t="str">
        <f>Source!H181</f>
        <v>1 М2 ОТБИТОЙ ШТУКАТУРКИ</v>
      </c>
      <c r="D51" s="76">
        <f>Source!I181</f>
        <v>16.8</v>
      </c>
    </row>
    <row r="52" spans="1:4" ht="85.5" x14ac:dyDescent="0.2">
      <c r="A52" s="73">
        <v>15.1</v>
      </c>
      <c r="B52" s="74" t="str">
        <f>Source!G182</f>
        <v>Грунтовка водно-дисперсионная, на основе бутадиен стирольного латекса, укрепляющая, глубокого проникновения, с добавлением фунгицида, биоцида, антивспенивателя и ПАВ, без растворителей, для наружных и внутренних работ, для подготовки оснований из бетона, гипса, дерева, кирпича, известняка и прочих сильновпитывающих поверхностей</v>
      </c>
      <c r="C52" s="75" t="str">
        <f>Source!H182</f>
        <v>т</v>
      </c>
      <c r="D52" s="76">
        <f>Source!I182</f>
        <v>0.02</v>
      </c>
    </row>
    <row r="53" spans="1:4" ht="28.5" x14ac:dyDescent="0.2">
      <c r="A53" s="73">
        <v>16</v>
      </c>
      <c r="B53" s="74" t="str">
        <f>Source!G183</f>
        <v>Сплошное выравнивание штукатурки стен, внутри здания цементно-известковым раствором при толщине намета до 10 мм</v>
      </c>
      <c r="C53" s="75" t="str">
        <f>Source!H183</f>
        <v>100 м2</v>
      </c>
      <c r="D53" s="76">
        <f>Source!I183</f>
        <v>0.16800000000000001</v>
      </c>
    </row>
    <row r="54" spans="1:4" ht="142.5" x14ac:dyDescent="0.2">
      <c r="A54" s="73">
        <v>16.100000000000001</v>
      </c>
      <c r="B54" s="74" t="str">
        <f>Source!G184</f>
        <v>Смесь сухая цементная с наполнителем из полимерной фибры, ремонтная, безусадочная, сульфатостойкая, наружного применения, прочность на сжатие 60 МПа, прочность на изгиб 8 МПа, прочность сцепления с бетоном 2,5 МПа, W16, F300, крупность заполнителя 3 мм, для конструкционного ремонта бетонных покрытий дорог, аэродромов, мостов, портов, гидротехнических сооружений, бетонных покрытий цехов, армированных, в том числе преднапряженных конструкций, омоноличивания стыков сборных железобетонных конструкций, защиты бетона от агрессивных сред, воздействия морской воды, масел, при глубине разрушений бетона от 20 до 40 мм</v>
      </c>
      <c r="C54" s="75" t="str">
        <f>Source!H184</f>
        <v>т</v>
      </c>
      <c r="D54" s="76">
        <f>Source!I184</f>
        <v>0.33600000000000002</v>
      </c>
    </row>
    <row r="55" spans="1:4" ht="71.25" x14ac:dyDescent="0.2">
      <c r="A55" s="73">
        <v>16.2</v>
      </c>
      <c r="B55" s="74" t="str">
        <f>Source!G185</f>
        <v>Грунтовка, на водной основе, глубоко проникающая, укрепляющая, для внутренних работ, механизированного и ручного нанесения, плотность 1,0 кг/л, водородный показатель не менее рН 8, для укрепления и грунтования минеральных оснований на гипсовом и цементном вяжущем, обработки пылящих и осыпающихся поверхностей стяжек</v>
      </c>
      <c r="C55" s="75" t="str">
        <f>Source!H185</f>
        <v>кг</v>
      </c>
      <c r="D55" s="76">
        <f>Source!I185</f>
        <v>2.016</v>
      </c>
    </row>
    <row r="56" spans="1:4" ht="28.5" x14ac:dyDescent="0.2">
      <c r="A56" s="73">
        <v>17</v>
      </c>
      <c r="B56" s="74" t="str">
        <f>Source!G186</f>
        <v>Высококачественная окраска водно-дисперсионными составами потолков по штукатурке внутри помещений</v>
      </c>
      <c r="C56" s="75" t="str">
        <f>Source!H186</f>
        <v>100 м2</v>
      </c>
      <c r="D56" s="76">
        <f>Source!I186</f>
        <v>0.16800000000000001</v>
      </c>
    </row>
    <row r="57" spans="1:4" ht="14.25" x14ac:dyDescent="0.2">
      <c r="A57" s="73">
        <v>17.100000000000001</v>
      </c>
      <c r="B57" s="74" t="str">
        <f>Source!G187</f>
        <v>Краски водно-дисперсионные акриловые, марка ВД-АК-104</v>
      </c>
      <c r="C57" s="75" t="str">
        <f>Source!H187</f>
        <v>т</v>
      </c>
      <c r="D57" s="76">
        <f>Source!I187</f>
        <v>3.7631999999999999E-2</v>
      </c>
    </row>
    <row r="58" spans="1:4" ht="71.25" x14ac:dyDescent="0.2">
      <c r="A58" s="73">
        <v>17.2</v>
      </c>
      <c r="B58" s="74" t="str">
        <f>Source!G188</f>
        <v>Грунтовка, на водной основе, глубоко проникающая, укрепляющая, для внутренних работ, механизированного и ручного нанесения, плотность 1,0 кг/л, водородный показатель не менее рН 8, для укрепления и грунтования минеральных оснований на гипсовом и цементном вяжущем, обработки пылящих и осыпающихся поверхностей стяжек</v>
      </c>
      <c r="C58" s="75" t="str">
        <f>Source!H188</f>
        <v>кг</v>
      </c>
      <c r="D58" s="76">
        <f>Source!I188</f>
        <v>7.56</v>
      </c>
    </row>
    <row r="59" spans="1:4" ht="57" x14ac:dyDescent="0.2">
      <c r="A59" s="73">
        <v>17.3</v>
      </c>
      <c r="B59" s="74" t="str">
        <f>Source!G189</f>
        <v>Смесь сухая, шпаклевочная, гипсовая, быстротвердеющие с химическими добавками, плотность раствора 1750 кг/м3, адгезионная прочность сцепления не менее 0,5 МПа, крупность заполнителя 0,2 мм, для высококачественного финишного выравнивания поверхности</v>
      </c>
      <c r="C59" s="75" t="str">
        <f>Source!H189</f>
        <v>кг</v>
      </c>
      <c r="D59" s="76">
        <f>Source!I189</f>
        <v>20.12304</v>
      </c>
    </row>
    <row r="60" spans="1:4" ht="16.5" x14ac:dyDescent="0.25">
      <c r="A60" s="68" t="str">
        <f>CONCATENATE("Раздел: ", Source!G251)</f>
        <v>Раздел: Раздел: Вывоз мусора</v>
      </c>
      <c r="B60" s="68"/>
      <c r="C60" s="68"/>
      <c r="D60" s="68"/>
    </row>
    <row r="61" spans="1:4" ht="14.25" x14ac:dyDescent="0.2">
      <c r="A61" s="73">
        <v>18</v>
      </c>
      <c r="B61" s="74" t="str">
        <f>Source!G255</f>
        <v>Погрузка вручную строительного мусора в самосвал</v>
      </c>
      <c r="C61" s="75" t="str">
        <f>Source!H255</f>
        <v>1 Т</v>
      </c>
      <c r="D61" s="76">
        <f>Source!I255</f>
        <v>1.9</v>
      </c>
    </row>
    <row r="62" spans="1:4" ht="28.5" x14ac:dyDescent="0.2">
      <c r="A62" s="69">
        <v>19</v>
      </c>
      <c r="B62" s="70" t="str">
        <f>Source!G256</f>
        <v>Перевозка строительного мусора на расстояние до 109 км автосамосвалами грузоподъемностью до 10 т</v>
      </c>
      <c r="C62" s="71" t="str">
        <f>Source!H256</f>
        <v>т</v>
      </c>
      <c r="D62" s="72">
        <f>Source!I256</f>
        <v>1.9</v>
      </c>
    </row>
    <row r="65" spans="1:4" ht="15" x14ac:dyDescent="0.25">
      <c r="A65" s="26" t="s">
        <v>576</v>
      </c>
      <c r="B65" s="26"/>
      <c r="C65" s="26" t="s">
        <v>577</v>
      </c>
      <c r="D65" s="26"/>
    </row>
  </sheetData>
  <mergeCells count="10">
    <mergeCell ref="A18:D18"/>
    <mergeCell ref="A34:D34"/>
    <mergeCell ref="A50:D50"/>
    <mergeCell ref="A60:D60"/>
    <mergeCell ref="C5:D5"/>
    <mergeCell ref="C7:D7"/>
    <mergeCell ref="A11:D11"/>
    <mergeCell ref="A12:D12"/>
    <mergeCell ref="A16:D16"/>
    <mergeCell ref="A17:D17"/>
  </mergeCells>
  <pageMargins left="0.4" right="0.2" top="0.2" bottom="0.4" header="0.2" footer="0.2"/>
  <pageSetup paperSize="9" scale="87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67"/>
  <sheetViews>
    <sheetView workbookViewId="0">
      <selection activeCell="A363" sqref="A363:AX363"/>
    </sheetView>
  </sheetViews>
  <sheetFormatPr defaultColWidth="9.140625" defaultRowHeight="12.75" x14ac:dyDescent="0.2"/>
  <cols>
    <col min="1" max="256" width="9.140625" style="2" customWidth="1"/>
    <col min="257" max="16384" width="9.140625" style="2"/>
  </cols>
  <sheetData>
    <row r="1" spans="1:133" x14ac:dyDescent="0.2">
      <c r="A1" s="2">
        <v>0</v>
      </c>
      <c r="B1" s="2" t="s">
        <v>0</v>
      </c>
      <c r="D1" s="2" t="s">
        <v>1</v>
      </c>
      <c r="F1" s="2">
        <v>0</v>
      </c>
      <c r="G1" s="2">
        <v>0</v>
      </c>
      <c r="H1" s="2">
        <v>0</v>
      </c>
      <c r="I1" s="2" t="s">
        <v>2</v>
      </c>
      <c r="J1" s="2" t="s">
        <v>3</v>
      </c>
      <c r="K1" s="2">
        <v>1</v>
      </c>
      <c r="L1" s="2">
        <v>66202</v>
      </c>
      <c r="M1" s="2">
        <v>10</v>
      </c>
      <c r="N1" s="2">
        <v>12</v>
      </c>
      <c r="O1" s="2">
        <v>1</v>
      </c>
      <c r="P1" s="2">
        <v>0</v>
      </c>
      <c r="Q1" s="2">
        <v>0</v>
      </c>
    </row>
    <row r="12" spans="1:133" x14ac:dyDescent="0.2">
      <c r="A12" s="8">
        <v>1</v>
      </c>
      <c r="B12" s="8">
        <v>362</v>
      </c>
      <c r="C12" s="8">
        <v>0</v>
      </c>
      <c r="D12" s="8">
        <f>ROW(A318)</f>
        <v>318</v>
      </c>
      <c r="E12" s="8">
        <v>0</v>
      </c>
      <c r="F12" s="8" t="s">
        <v>4</v>
      </c>
      <c r="G12" s="8" t="s">
        <v>5</v>
      </c>
      <c r="H12" s="8" t="s">
        <v>3</v>
      </c>
      <c r="I12" s="8">
        <v>0</v>
      </c>
      <c r="J12" s="8" t="s">
        <v>3</v>
      </c>
      <c r="K12" s="8">
        <v>0</v>
      </c>
      <c r="L12" s="8">
        <v>0</v>
      </c>
      <c r="M12" s="8">
        <v>4098</v>
      </c>
      <c r="N12" s="8"/>
      <c r="O12" s="8">
        <v>0</v>
      </c>
      <c r="P12" s="8">
        <v>0</v>
      </c>
      <c r="Q12" s="8">
        <v>0</v>
      </c>
      <c r="R12" s="8">
        <v>0</v>
      </c>
      <c r="S12" s="8"/>
      <c r="T12" s="8">
        <v>1</v>
      </c>
      <c r="U12" s="8" t="s">
        <v>3</v>
      </c>
      <c r="V12" s="8">
        <v>0</v>
      </c>
      <c r="W12" s="8" t="s">
        <v>3</v>
      </c>
      <c r="X12" s="8" t="s">
        <v>3</v>
      </c>
      <c r="Y12" s="8" t="s">
        <v>3</v>
      </c>
      <c r="Z12" s="8" t="s">
        <v>3</v>
      </c>
      <c r="AA12" s="8" t="s">
        <v>3</v>
      </c>
      <c r="AB12" s="8" t="s">
        <v>3</v>
      </c>
      <c r="AC12" s="8" t="s">
        <v>3</v>
      </c>
      <c r="AD12" s="8" t="s">
        <v>3</v>
      </c>
      <c r="AE12" s="8" t="s">
        <v>3</v>
      </c>
      <c r="AF12" s="8" t="s">
        <v>3</v>
      </c>
      <c r="AG12" s="8" t="s">
        <v>3</v>
      </c>
      <c r="AH12" s="8" t="s">
        <v>3</v>
      </c>
      <c r="AI12" s="8" t="s">
        <v>3</v>
      </c>
      <c r="AJ12" s="8" t="s">
        <v>3</v>
      </c>
      <c r="AK12" s="8"/>
      <c r="AL12" s="8" t="s">
        <v>3</v>
      </c>
      <c r="AM12" s="8" t="s">
        <v>3</v>
      </c>
      <c r="AN12" s="8" t="s">
        <v>3</v>
      </c>
      <c r="AO12" s="8"/>
      <c r="AP12" s="8" t="s">
        <v>3</v>
      </c>
      <c r="AQ12" s="8" t="s">
        <v>3</v>
      </c>
      <c r="AR12" s="8" t="s">
        <v>3</v>
      </c>
      <c r="AS12" s="8"/>
      <c r="AT12" s="8"/>
      <c r="AU12" s="8"/>
      <c r="AV12" s="8"/>
      <c r="AW12" s="8"/>
      <c r="AX12" s="8" t="s">
        <v>3</v>
      </c>
      <c r="AY12" s="8" t="s">
        <v>3</v>
      </c>
      <c r="AZ12" s="8" t="s">
        <v>3</v>
      </c>
      <c r="BA12" s="8"/>
      <c r="BB12" s="8">
        <v>0</v>
      </c>
      <c r="BC12" s="8"/>
      <c r="BD12" s="8"/>
      <c r="BE12" s="8"/>
      <c r="BF12" s="8"/>
      <c r="BG12" s="8"/>
      <c r="BH12" s="8" t="s">
        <v>6</v>
      </c>
      <c r="BI12" s="8" t="s">
        <v>7</v>
      </c>
      <c r="BJ12" s="8">
        <v>1</v>
      </c>
      <c r="BK12" s="8">
        <v>1</v>
      </c>
      <c r="BL12" s="8">
        <v>0</v>
      </c>
      <c r="BM12" s="8">
        <v>0</v>
      </c>
      <c r="BN12" s="8">
        <v>1</v>
      </c>
      <c r="BO12" s="8">
        <v>0</v>
      </c>
      <c r="BP12" s="8">
        <v>6</v>
      </c>
      <c r="BQ12" s="8">
        <v>2</v>
      </c>
      <c r="BR12" s="8">
        <v>1</v>
      </c>
      <c r="BS12" s="8">
        <v>1</v>
      </c>
      <c r="BT12" s="8">
        <v>0</v>
      </c>
      <c r="BU12" s="8">
        <v>0</v>
      </c>
      <c r="BV12" s="8">
        <v>1</v>
      </c>
      <c r="BW12" s="8">
        <v>0</v>
      </c>
      <c r="BX12" s="8">
        <v>0</v>
      </c>
      <c r="BY12" s="8" t="s">
        <v>8</v>
      </c>
      <c r="BZ12" s="8" t="s">
        <v>9</v>
      </c>
      <c r="CA12" s="8" t="s">
        <v>10</v>
      </c>
      <c r="CB12" s="8" t="s">
        <v>10</v>
      </c>
      <c r="CC12" s="8" t="s">
        <v>10</v>
      </c>
      <c r="CD12" s="8" t="s">
        <v>10</v>
      </c>
      <c r="CE12" s="8" t="s">
        <v>11</v>
      </c>
      <c r="CF12" s="8">
        <v>0</v>
      </c>
      <c r="CG12" s="8">
        <v>0</v>
      </c>
      <c r="CH12" s="8">
        <v>18882568</v>
      </c>
      <c r="CI12" s="8" t="s">
        <v>3</v>
      </c>
      <c r="CJ12" s="8" t="s">
        <v>3</v>
      </c>
      <c r="CK12" s="8">
        <v>81</v>
      </c>
      <c r="CL12" s="8"/>
      <c r="CM12" s="8"/>
      <c r="CN12" s="8"/>
      <c r="CO12" s="8"/>
      <c r="CP12" s="8"/>
      <c r="CQ12" s="8" t="s">
        <v>12</v>
      </c>
      <c r="CR12" s="8" t="s">
        <v>13</v>
      </c>
      <c r="CS12" s="8">
        <v>41660</v>
      </c>
      <c r="CT12" s="8">
        <v>1</v>
      </c>
      <c r="CU12" s="8">
        <v>81</v>
      </c>
      <c r="CV12" s="8"/>
      <c r="CW12" s="8"/>
      <c r="CX12" s="8"/>
      <c r="CY12" s="8">
        <v>0</v>
      </c>
      <c r="CZ12" s="8" t="s">
        <v>3</v>
      </c>
      <c r="DA12" s="8" t="s">
        <v>3</v>
      </c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>
        <v>0</v>
      </c>
    </row>
    <row r="15" spans="1:133" x14ac:dyDescent="0.2">
      <c r="A15" s="8">
        <v>15</v>
      </c>
      <c r="B15" s="8">
        <v>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</row>
    <row r="18" spans="1:245" x14ac:dyDescent="0.2">
      <c r="A18" s="9">
        <v>52</v>
      </c>
      <c r="B18" s="9">
        <f t="shared" ref="B18:G18" si="0">B318</f>
        <v>362</v>
      </c>
      <c r="C18" s="9">
        <f t="shared" si="0"/>
        <v>1</v>
      </c>
      <c r="D18" s="9">
        <f t="shared" si="0"/>
        <v>12</v>
      </c>
      <c r="E18" s="9">
        <f t="shared" si="0"/>
        <v>0</v>
      </c>
      <c r="F18" s="9" t="str">
        <f t="shared" si="0"/>
        <v>ДО</v>
      </c>
      <c r="G18" s="9" t="str">
        <f t="shared" si="0"/>
        <v>Текущий ремонт кабинета № 809а замена дверного блока</v>
      </c>
      <c r="H18" s="9"/>
      <c r="I18" s="9"/>
      <c r="J18" s="9"/>
      <c r="K18" s="9"/>
      <c r="L18" s="9"/>
      <c r="M18" s="9"/>
      <c r="N18" s="9"/>
      <c r="O18" s="9">
        <f t="shared" ref="O18:AT18" si="1">O318</f>
        <v>142347.95000000001</v>
      </c>
      <c r="P18" s="9">
        <f t="shared" si="1"/>
        <v>43171.83</v>
      </c>
      <c r="Q18" s="9">
        <f t="shared" si="1"/>
        <v>5062.99</v>
      </c>
      <c r="R18" s="9">
        <f t="shared" si="1"/>
        <v>634.97</v>
      </c>
      <c r="S18" s="9">
        <f t="shared" si="1"/>
        <v>94113.13</v>
      </c>
      <c r="T18" s="9">
        <f t="shared" si="1"/>
        <v>0</v>
      </c>
      <c r="U18" s="9">
        <f t="shared" si="1"/>
        <v>144.22983390000002</v>
      </c>
      <c r="V18" s="9">
        <f t="shared" si="1"/>
        <v>0</v>
      </c>
      <c r="W18" s="9">
        <f t="shared" si="1"/>
        <v>0</v>
      </c>
      <c r="X18" s="9">
        <f t="shared" si="1"/>
        <v>87425.12</v>
      </c>
      <c r="Y18" s="9">
        <f t="shared" si="1"/>
        <v>44275.45</v>
      </c>
      <c r="Z18" s="9">
        <f t="shared" si="1"/>
        <v>0</v>
      </c>
      <c r="AA18" s="9">
        <f t="shared" si="1"/>
        <v>0</v>
      </c>
      <c r="AB18" s="9">
        <f t="shared" si="1"/>
        <v>0</v>
      </c>
      <c r="AC18" s="9">
        <f t="shared" si="1"/>
        <v>0</v>
      </c>
      <c r="AD18" s="9">
        <f t="shared" si="1"/>
        <v>0</v>
      </c>
      <c r="AE18" s="9">
        <f t="shared" si="1"/>
        <v>0</v>
      </c>
      <c r="AF18" s="9">
        <f t="shared" si="1"/>
        <v>0</v>
      </c>
      <c r="AG18" s="9">
        <f t="shared" si="1"/>
        <v>0</v>
      </c>
      <c r="AH18" s="9">
        <f t="shared" si="1"/>
        <v>0</v>
      </c>
      <c r="AI18" s="9">
        <f t="shared" si="1"/>
        <v>0</v>
      </c>
      <c r="AJ18" s="9">
        <f t="shared" si="1"/>
        <v>0</v>
      </c>
      <c r="AK18" s="9">
        <f t="shared" si="1"/>
        <v>0</v>
      </c>
      <c r="AL18" s="9">
        <f t="shared" si="1"/>
        <v>0</v>
      </c>
      <c r="AM18" s="9">
        <f t="shared" si="1"/>
        <v>0</v>
      </c>
      <c r="AN18" s="9">
        <f t="shared" si="1"/>
        <v>0</v>
      </c>
      <c r="AO18" s="9">
        <f t="shared" si="1"/>
        <v>0</v>
      </c>
      <c r="AP18" s="9">
        <f t="shared" si="1"/>
        <v>0</v>
      </c>
      <c r="AQ18" s="9">
        <f t="shared" si="1"/>
        <v>0</v>
      </c>
      <c r="AR18" s="9">
        <f t="shared" si="1"/>
        <v>274048.52</v>
      </c>
      <c r="AS18" s="9">
        <f t="shared" si="1"/>
        <v>270036.49</v>
      </c>
      <c r="AT18" s="9">
        <f t="shared" si="1"/>
        <v>0</v>
      </c>
      <c r="AU18" s="9">
        <f t="shared" ref="AU18:BZ18" si="2">AU318</f>
        <v>4012.03</v>
      </c>
      <c r="AV18" s="9">
        <f t="shared" si="2"/>
        <v>43171.83</v>
      </c>
      <c r="AW18" s="9">
        <f t="shared" si="2"/>
        <v>43171.83</v>
      </c>
      <c r="AX18" s="9">
        <f t="shared" si="2"/>
        <v>0</v>
      </c>
      <c r="AY18" s="9">
        <f t="shared" si="2"/>
        <v>43171.83</v>
      </c>
      <c r="AZ18" s="9">
        <f t="shared" si="2"/>
        <v>0</v>
      </c>
      <c r="BA18" s="9">
        <f t="shared" si="2"/>
        <v>0</v>
      </c>
      <c r="BB18" s="9">
        <f t="shared" si="2"/>
        <v>0</v>
      </c>
      <c r="BC18" s="9">
        <f t="shared" si="2"/>
        <v>0</v>
      </c>
      <c r="BD18" s="9">
        <f t="shared" si="2"/>
        <v>0</v>
      </c>
      <c r="BE18" s="9">
        <f t="shared" si="2"/>
        <v>0</v>
      </c>
      <c r="BF18" s="9">
        <f t="shared" si="2"/>
        <v>0</v>
      </c>
      <c r="BG18" s="9">
        <f t="shared" si="2"/>
        <v>0</v>
      </c>
      <c r="BH18" s="9">
        <f t="shared" si="2"/>
        <v>0</v>
      </c>
      <c r="BI18" s="9">
        <f t="shared" si="2"/>
        <v>0</v>
      </c>
      <c r="BJ18" s="9">
        <f t="shared" si="2"/>
        <v>0</v>
      </c>
      <c r="BK18" s="9">
        <f t="shared" si="2"/>
        <v>0</v>
      </c>
      <c r="BL18" s="9">
        <f t="shared" si="2"/>
        <v>0</v>
      </c>
      <c r="BM18" s="9">
        <f t="shared" si="2"/>
        <v>0</v>
      </c>
      <c r="BN18" s="9">
        <f t="shared" si="2"/>
        <v>0</v>
      </c>
      <c r="BO18" s="9">
        <f t="shared" si="2"/>
        <v>0</v>
      </c>
      <c r="BP18" s="9">
        <f t="shared" si="2"/>
        <v>0</v>
      </c>
      <c r="BQ18" s="9">
        <f t="shared" si="2"/>
        <v>0</v>
      </c>
      <c r="BR18" s="9">
        <f t="shared" si="2"/>
        <v>0</v>
      </c>
      <c r="BS18" s="9">
        <f t="shared" si="2"/>
        <v>0</v>
      </c>
      <c r="BT18" s="9">
        <f t="shared" si="2"/>
        <v>0</v>
      </c>
      <c r="BU18" s="9">
        <f t="shared" si="2"/>
        <v>0</v>
      </c>
      <c r="BV18" s="9">
        <f t="shared" si="2"/>
        <v>0</v>
      </c>
      <c r="BW18" s="9">
        <f t="shared" si="2"/>
        <v>0</v>
      </c>
      <c r="BX18" s="9">
        <f t="shared" si="2"/>
        <v>0</v>
      </c>
      <c r="BY18" s="9">
        <f t="shared" si="2"/>
        <v>0</v>
      </c>
      <c r="BZ18" s="9">
        <f t="shared" si="2"/>
        <v>0</v>
      </c>
      <c r="CA18" s="9">
        <f t="shared" ref="CA18:DF18" si="3">CA318</f>
        <v>0</v>
      </c>
      <c r="CB18" s="9">
        <f t="shared" si="3"/>
        <v>0</v>
      </c>
      <c r="CC18" s="9">
        <f t="shared" si="3"/>
        <v>0</v>
      </c>
      <c r="CD18" s="9">
        <f t="shared" si="3"/>
        <v>0</v>
      </c>
      <c r="CE18" s="9">
        <f t="shared" si="3"/>
        <v>0</v>
      </c>
      <c r="CF18" s="9">
        <f t="shared" si="3"/>
        <v>0</v>
      </c>
      <c r="CG18" s="9">
        <f t="shared" si="3"/>
        <v>0</v>
      </c>
      <c r="CH18" s="9">
        <f t="shared" si="3"/>
        <v>0</v>
      </c>
      <c r="CI18" s="9">
        <f t="shared" si="3"/>
        <v>0</v>
      </c>
      <c r="CJ18" s="9">
        <f t="shared" si="3"/>
        <v>0</v>
      </c>
      <c r="CK18" s="9">
        <f t="shared" si="3"/>
        <v>0</v>
      </c>
      <c r="CL18" s="9">
        <f t="shared" si="3"/>
        <v>0</v>
      </c>
      <c r="CM18" s="9">
        <f t="shared" si="3"/>
        <v>0</v>
      </c>
      <c r="CN18" s="9">
        <f t="shared" si="3"/>
        <v>0</v>
      </c>
      <c r="CO18" s="9">
        <f t="shared" si="3"/>
        <v>0</v>
      </c>
      <c r="CP18" s="9">
        <f t="shared" si="3"/>
        <v>0</v>
      </c>
      <c r="CQ18" s="9">
        <f t="shared" si="3"/>
        <v>0</v>
      </c>
      <c r="CR18" s="9">
        <f t="shared" si="3"/>
        <v>0</v>
      </c>
      <c r="CS18" s="9">
        <f t="shared" si="3"/>
        <v>0</v>
      </c>
      <c r="CT18" s="9">
        <f t="shared" si="3"/>
        <v>0</v>
      </c>
      <c r="CU18" s="9">
        <f t="shared" si="3"/>
        <v>0</v>
      </c>
      <c r="CV18" s="9">
        <f t="shared" si="3"/>
        <v>0</v>
      </c>
      <c r="CW18" s="9">
        <f t="shared" si="3"/>
        <v>0</v>
      </c>
      <c r="CX18" s="9">
        <f t="shared" si="3"/>
        <v>0</v>
      </c>
      <c r="CY18" s="9">
        <f t="shared" si="3"/>
        <v>0</v>
      </c>
      <c r="CZ18" s="9">
        <f t="shared" si="3"/>
        <v>0</v>
      </c>
      <c r="DA18" s="9">
        <f t="shared" si="3"/>
        <v>0</v>
      </c>
      <c r="DB18" s="9">
        <f t="shared" si="3"/>
        <v>0</v>
      </c>
      <c r="DC18" s="9">
        <f t="shared" si="3"/>
        <v>0</v>
      </c>
      <c r="DD18" s="9">
        <f t="shared" si="3"/>
        <v>0</v>
      </c>
      <c r="DE18" s="9">
        <f t="shared" si="3"/>
        <v>0</v>
      </c>
      <c r="DF18" s="9">
        <f t="shared" si="3"/>
        <v>0</v>
      </c>
      <c r="DG18" s="10">
        <f t="shared" ref="DG18:EL18" si="4">DG318</f>
        <v>0</v>
      </c>
      <c r="DH18" s="10">
        <f t="shared" si="4"/>
        <v>0</v>
      </c>
      <c r="DI18" s="10">
        <f t="shared" si="4"/>
        <v>0</v>
      </c>
      <c r="DJ18" s="10">
        <f t="shared" si="4"/>
        <v>0</v>
      </c>
      <c r="DK18" s="10">
        <f t="shared" si="4"/>
        <v>0</v>
      </c>
      <c r="DL18" s="10">
        <f t="shared" si="4"/>
        <v>0</v>
      </c>
      <c r="DM18" s="10">
        <f t="shared" si="4"/>
        <v>0</v>
      </c>
      <c r="DN18" s="10">
        <f t="shared" si="4"/>
        <v>0</v>
      </c>
      <c r="DO18" s="10">
        <f t="shared" si="4"/>
        <v>0</v>
      </c>
      <c r="DP18" s="10">
        <f t="shared" si="4"/>
        <v>0</v>
      </c>
      <c r="DQ18" s="10">
        <f t="shared" si="4"/>
        <v>0</v>
      </c>
      <c r="DR18" s="10">
        <f t="shared" si="4"/>
        <v>0</v>
      </c>
      <c r="DS18" s="10">
        <f t="shared" si="4"/>
        <v>0</v>
      </c>
      <c r="DT18" s="10">
        <f t="shared" si="4"/>
        <v>0</v>
      </c>
      <c r="DU18" s="10">
        <f t="shared" si="4"/>
        <v>0</v>
      </c>
      <c r="DV18" s="10">
        <f t="shared" si="4"/>
        <v>0</v>
      </c>
      <c r="DW18" s="10">
        <f t="shared" si="4"/>
        <v>0</v>
      </c>
      <c r="DX18" s="10">
        <f t="shared" si="4"/>
        <v>0</v>
      </c>
      <c r="DY18" s="10">
        <f t="shared" si="4"/>
        <v>0</v>
      </c>
      <c r="DZ18" s="10">
        <f t="shared" si="4"/>
        <v>0</v>
      </c>
      <c r="EA18" s="10">
        <f t="shared" si="4"/>
        <v>0</v>
      </c>
      <c r="EB18" s="10">
        <f t="shared" si="4"/>
        <v>0</v>
      </c>
      <c r="EC18" s="10">
        <f t="shared" si="4"/>
        <v>0</v>
      </c>
      <c r="ED18" s="10">
        <f t="shared" si="4"/>
        <v>0</v>
      </c>
      <c r="EE18" s="10">
        <f t="shared" si="4"/>
        <v>0</v>
      </c>
      <c r="EF18" s="10">
        <f t="shared" si="4"/>
        <v>0</v>
      </c>
      <c r="EG18" s="10">
        <f t="shared" si="4"/>
        <v>0</v>
      </c>
      <c r="EH18" s="10">
        <f t="shared" si="4"/>
        <v>0</v>
      </c>
      <c r="EI18" s="10">
        <f t="shared" si="4"/>
        <v>0</v>
      </c>
      <c r="EJ18" s="10">
        <f t="shared" si="4"/>
        <v>0</v>
      </c>
      <c r="EK18" s="10">
        <f t="shared" si="4"/>
        <v>0</v>
      </c>
      <c r="EL18" s="10">
        <f t="shared" si="4"/>
        <v>0</v>
      </c>
      <c r="EM18" s="10">
        <f t="shared" ref="EM18:FR18" si="5">EM318</f>
        <v>0</v>
      </c>
      <c r="EN18" s="10">
        <f t="shared" si="5"/>
        <v>0</v>
      </c>
      <c r="EO18" s="10">
        <f t="shared" si="5"/>
        <v>0</v>
      </c>
      <c r="EP18" s="10">
        <f t="shared" si="5"/>
        <v>0</v>
      </c>
      <c r="EQ18" s="10">
        <f t="shared" si="5"/>
        <v>0</v>
      </c>
      <c r="ER18" s="10">
        <f t="shared" si="5"/>
        <v>0</v>
      </c>
      <c r="ES18" s="10">
        <f t="shared" si="5"/>
        <v>0</v>
      </c>
      <c r="ET18" s="10">
        <f t="shared" si="5"/>
        <v>0</v>
      </c>
      <c r="EU18" s="10">
        <f t="shared" si="5"/>
        <v>0</v>
      </c>
      <c r="EV18" s="10">
        <f t="shared" si="5"/>
        <v>0</v>
      </c>
      <c r="EW18" s="10">
        <f t="shared" si="5"/>
        <v>0</v>
      </c>
      <c r="EX18" s="10">
        <f t="shared" si="5"/>
        <v>0</v>
      </c>
      <c r="EY18" s="10">
        <f t="shared" si="5"/>
        <v>0</v>
      </c>
      <c r="EZ18" s="10">
        <f t="shared" si="5"/>
        <v>0</v>
      </c>
      <c r="FA18" s="10">
        <f t="shared" si="5"/>
        <v>0</v>
      </c>
      <c r="FB18" s="10">
        <f t="shared" si="5"/>
        <v>0</v>
      </c>
      <c r="FC18" s="10">
        <f t="shared" si="5"/>
        <v>0</v>
      </c>
      <c r="FD18" s="10">
        <f t="shared" si="5"/>
        <v>0</v>
      </c>
      <c r="FE18" s="10">
        <f t="shared" si="5"/>
        <v>0</v>
      </c>
      <c r="FF18" s="10">
        <f t="shared" si="5"/>
        <v>0</v>
      </c>
      <c r="FG18" s="10">
        <f t="shared" si="5"/>
        <v>0</v>
      </c>
      <c r="FH18" s="10">
        <f t="shared" si="5"/>
        <v>0</v>
      </c>
      <c r="FI18" s="10">
        <f t="shared" si="5"/>
        <v>0</v>
      </c>
      <c r="FJ18" s="10">
        <f t="shared" si="5"/>
        <v>0</v>
      </c>
      <c r="FK18" s="10">
        <f t="shared" si="5"/>
        <v>0</v>
      </c>
      <c r="FL18" s="10">
        <f t="shared" si="5"/>
        <v>0</v>
      </c>
      <c r="FM18" s="10">
        <f t="shared" si="5"/>
        <v>0</v>
      </c>
      <c r="FN18" s="10">
        <f t="shared" si="5"/>
        <v>0</v>
      </c>
      <c r="FO18" s="10">
        <f t="shared" si="5"/>
        <v>0</v>
      </c>
      <c r="FP18" s="10">
        <f t="shared" si="5"/>
        <v>0</v>
      </c>
      <c r="FQ18" s="10">
        <f t="shared" si="5"/>
        <v>0</v>
      </c>
      <c r="FR18" s="10">
        <f t="shared" si="5"/>
        <v>0</v>
      </c>
      <c r="FS18" s="10">
        <f t="shared" ref="FS18:GX18" si="6">FS318</f>
        <v>0</v>
      </c>
      <c r="FT18" s="10">
        <f t="shared" si="6"/>
        <v>0</v>
      </c>
      <c r="FU18" s="10">
        <f t="shared" si="6"/>
        <v>0</v>
      </c>
      <c r="FV18" s="10">
        <f t="shared" si="6"/>
        <v>0</v>
      </c>
      <c r="FW18" s="10">
        <f t="shared" si="6"/>
        <v>0</v>
      </c>
      <c r="FX18" s="10">
        <f t="shared" si="6"/>
        <v>0</v>
      </c>
      <c r="FY18" s="10">
        <f t="shared" si="6"/>
        <v>0</v>
      </c>
      <c r="FZ18" s="10">
        <f t="shared" si="6"/>
        <v>0</v>
      </c>
      <c r="GA18" s="10">
        <f t="shared" si="6"/>
        <v>0</v>
      </c>
      <c r="GB18" s="10">
        <f t="shared" si="6"/>
        <v>0</v>
      </c>
      <c r="GC18" s="10">
        <f t="shared" si="6"/>
        <v>0</v>
      </c>
      <c r="GD18" s="10">
        <f t="shared" si="6"/>
        <v>0</v>
      </c>
      <c r="GE18" s="10">
        <f t="shared" si="6"/>
        <v>0</v>
      </c>
      <c r="GF18" s="10">
        <f t="shared" si="6"/>
        <v>0</v>
      </c>
      <c r="GG18" s="10">
        <f t="shared" si="6"/>
        <v>0</v>
      </c>
      <c r="GH18" s="10">
        <f t="shared" si="6"/>
        <v>0</v>
      </c>
      <c r="GI18" s="10">
        <f t="shared" si="6"/>
        <v>0</v>
      </c>
      <c r="GJ18" s="10">
        <f t="shared" si="6"/>
        <v>0</v>
      </c>
      <c r="GK18" s="10">
        <f t="shared" si="6"/>
        <v>0</v>
      </c>
      <c r="GL18" s="10">
        <f t="shared" si="6"/>
        <v>0</v>
      </c>
      <c r="GM18" s="10">
        <f t="shared" si="6"/>
        <v>0</v>
      </c>
      <c r="GN18" s="10">
        <f t="shared" si="6"/>
        <v>0</v>
      </c>
      <c r="GO18" s="10">
        <f t="shared" si="6"/>
        <v>0</v>
      </c>
      <c r="GP18" s="10">
        <f t="shared" si="6"/>
        <v>0</v>
      </c>
      <c r="GQ18" s="10">
        <f t="shared" si="6"/>
        <v>0</v>
      </c>
      <c r="GR18" s="10">
        <f t="shared" si="6"/>
        <v>0</v>
      </c>
      <c r="GS18" s="10">
        <f t="shared" si="6"/>
        <v>0</v>
      </c>
      <c r="GT18" s="10">
        <f t="shared" si="6"/>
        <v>0</v>
      </c>
      <c r="GU18" s="10">
        <f t="shared" si="6"/>
        <v>0</v>
      </c>
      <c r="GV18" s="10">
        <f t="shared" si="6"/>
        <v>0</v>
      </c>
      <c r="GW18" s="10">
        <f t="shared" si="6"/>
        <v>0</v>
      </c>
      <c r="GX18" s="10">
        <f t="shared" si="6"/>
        <v>0</v>
      </c>
    </row>
    <row r="20" spans="1:245" x14ac:dyDescent="0.2">
      <c r="A20" s="8">
        <v>3</v>
      </c>
      <c r="B20" s="8">
        <v>1</v>
      </c>
      <c r="C20" s="8"/>
      <c r="D20" s="8">
        <f>ROW(A288)</f>
        <v>288</v>
      </c>
      <c r="E20" s="8"/>
      <c r="F20" s="8" t="s">
        <v>14</v>
      </c>
      <c r="G20" s="8" t="s">
        <v>14</v>
      </c>
      <c r="H20" s="8" t="s">
        <v>3</v>
      </c>
      <c r="I20" s="8">
        <v>0</v>
      </c>
      <c r="J20" s="8" t="s">
        <v>3</v>
      </c>
      <c r="K20" s="8">
        <v>0</v>
      </c>
      <c r="L20" s="8" t="s">
        <v>14</v>
      </c>
      <c r="M20" s="8" t="s">
        <v>3</v>
      </c>
      <c r="N20" s="8"/>
      <c r="O20" s="8"/>
      <c r="P20" s="8"/>
      <c r="Q20" s="8"/>
      <c r="R20" s="8"/>
      <c r="S20" s="8">
        <v>0</v>
      </c>
      <c r="T20" s="8"/>
      <c r="U20" s="8" t="s">
        <v>3</v>
      </c>
      <c r="V20" s="8">
        <v>0</v>
      </c>
      <c r="W20" s="8"/>
      <c r="X20" s="8"/>
      <c r="Y20" s="8"/>
      <c r="Z20" s="8"/>
      <c r="AA20" s="8"/>
      <c r="AB20" s="8" t="s">
        <v>3</v>
      </c>
      <c r="AC20" s="8" t="s">
        <v>3</v>
      </c>
      <c r="AD20" s="8" t="s">
        <v>3</v>
      </c>
      <c r="AE20" s="8" t="s">
        <v>3</v>
      </c>
      <c r="AF20" s="8" t="s">
        <v>3</v>
      </c>
      <c r="AG20" s="8" t="s">
        <v>3</v>
      </c>
      <c r="AH20" s="8"/>
      <c r="AI20" s="8"/>
      <c r="AJ20" s="8"/>
      <c r="AK20" s="8"/>
      <c r="AL20" s="8"/>
      <c r="AM20" s="8"/>
      <c r="AN20" s="8"/>
      <c r="AO20" s="8"/>
      <c r="AP20" s="8" t="s">
        <v>3</v>
      </c>
      <c r="AQ20" s="8" t="s">
        <v>3</v>
      </c>
      <c r="AR20" s="8" t="s">
        <v>3</v>
      </c>
      <c r="AS20" s="8"/>
      <c r="AT20" s="8"/>
      <c r="AU20" s="8"/>
      <c r="AV20" s="8"/>
      <c r="AW20" s="8"/>
      <c r="AX20" s="8"/>
      <c r="AY20" s="8"/>
      <c r="AZ20" s="8" t="s">
        <v>3</v>
      </c>
      <c r="BA20" s="8"/>
      <c r="BB20" s="8" t="s">
        <v>3</v>
      </c>
      <c r="BC20" s="8" t="s">
        <v>3</v>
      </c>
      <c r="BD20" s="8" t="s">
        <v>3</v>
      </c>
      <c r="BE20" s="8" t="s">
        <v>3</v>
      </c>
      <c r="BF20" s="8" t="s">
        <v>3</v>
      </c>
      <c r="BG20" s="8" t="s">
        <v>3</v>
      </c>
      <c r="BH20" s="8" t="s">
        <v>3</v>
      </c>
      <c r="BI20" s="8" t="s">
        <v>3</v>
      </c>
      <c r="BJ20" s="8" t="s">
        <v>3</v>
      </c>
      <c r="BK20" s="8" t="s">
        <v>3</v>
      </c>
      <c r="BL20" s="8" t="s">
        <v>3</v>
      </c>
      <c r="BM20" s="8" t="s">
        <v>3</v>
      </c>
      <c r="BN20" s="8" t="s">
        <v>3</v>
      </c>
      <c r="BO20" s="8" t="s">
        <v>3</v>
      </c>
      <c r="BP20" s="8" t="s">
        <v>3</v>
      </c>
      <c r="BQ20" s="8"/>
      <c r="BR20" s="8"/>
      <c r="BS20" s="8"/>
      <c r="BT20" s="8"/>
      <c r="BU20" s="8"/>
      <c r="BV20" s="8"/>
      <c r="BW20" s="8"/>
      <c r="BX20" s="8">
        <v>0</v>
      </c>
      <c r="BY20" s="8"/>
      <c r="BZ20" s="8"/>
      <c r="CA20" s="8"/>
      <c r="CB20" s="8"/>
      <c r="CC20" s="8"/>
      <c r="CD20" s="8"/>
      <c r="CE20" s="8"/>
      <c r="CF20" s="8">
        <v>0</v>
      </c>
      <c r="CG20" s="8">
        <v>0</v>
      </c>
      <c r="CH20" s="8"/>
      <c r="CI20" s="8" t="s">
        <v>3</v>
      </c>
      <c r="CJ20" s="8" t="s">
        <v>3</v>
      </c>
      <c r="CK20" s="2" t="s">
        <v>3</v>
      </c>
      <c r="CL20" s="2" t="s">
        <v>3</v>
      </c>
      <c r="CM20" s="2" t="s">
        <v>3</v>
      </c>
      <c r="CN20" s="2" t="s">
        <v>3</v>
      </c>
      <c r="CO20" s="2" t="s">
        <v>3</v>
      </c>
      <c r="CP20" s="2" t="s">
        <v>3</v>
      </c>
      <c r="CQ20" s="2" t="s">
        <v>3</v>
      </c>
    </row>
    <row r="22" spans="1:245" x14ac:dyDescent="0.2">
      <c r="A22" s="9">
        <v>52</v>
      </c>
      <c r="B22" s="9">
        <f t="shared" ref="B22:G22" si="7">B288</f>
        <v>1</v>
      </c>
      <c r="C22" s="9">
        <f t="shared" si="7"/>
        <v>3</v>
      </c>
      <c r="D22" s="9">
        <f t="shared" si="7"/>
        <v>20</v>
      </c>
      <c r="E22" s="9">
        <f t="shared" si="7"/>
        <v>0</v>
      </c>
      <c r="F22" s="9" t="str">
        <f t="shared" si="7"/>
        <v>Новая локальная смета</v>
      </c>
      <c r="G22" s="9" t="str">
        <f t="shared" si="7"/>
        <v>Новая локальная смета</v>
      </c>
      <c r="H22" s="9"/>
      <c r="I22" s="9"/>
      <c r="J22" s="9"/>
      <c r="K22" s="9"/>
      <c r="L22" s="9"/>
      <c r="M22" s="9"/>
      <c r="N22" s="9"/>
      <c r="O22" s="9">
        <f t="shared" ref="O22:AT22" si="8">O288</f>
        <v>142347.95000000001</v>
      </c>
      <c r="P22" s="9">
        <f t="shared" si="8"/>
        <v>43171.83</v>
      </c>
      <c r="Q22" s="9">
        <f t="shared" si="8"/>
        <v>5062.99</v>
      </c>
      <c r="R22" s="9">
        <f t="shared" si="8"/>
        <v>634.97</v>
      </c>
      <c r="S22" s="9">
        <f t="shared" si="8"/>
        <v>94113.13</v>
      </c>
      <c r="T22" s="9">
        <f t="shared" si="8"/>
        <v>0</v>
      </c>
      <c r="U22" s="9">
        <f t="shared" si="8"/>
        <v>144.22983390000002</v>
      </c>
      <c r="V22" s="9">
        <f t="shared" si="8"/>
        <v>0</v>
      </c>
      <c r="W22" s="9">
        <f t="shared" si="8"/>
        <v>0</v>
      </c>
      <c r="X22" s="9">
        <f t="shared" si="8"/>
        <v>87425.12</v>
      </c>
      <c r="Y22" s="9">
        <f t="shared" si="8"/>
        <v>44275.45</v>
      </c>
      <c r="Z22" s="9">
        <f t="shared" si="8"/>
        <v>0</v>
      </c>
      <c r="AA22" s="9">
        <f t="shared" si="8"/>
        <v>0</v>
      </c>
      <c r="AB22" s="9">
        <f t="shared" si="8"/>
        <v>0</v>
      </c>
      <c r="AC22" s="9">
        <f t="shared" si="8"/>
        <v>0</v>
      </c>
      <c r="AD22" s="9">
        <f t="shared" si="8"/>
        <v>0</v>
      </c>
      <c r="AE22" s="9">
        <f t="shared" si="8"/>
        <v>0</v>
      </c>
      <c r="AF22" s="9">
        <f t="shared" si="8"/>
        <v>0</v>
      </c>
      <c r="AG22" s="9">
        <f t="shared" si="8"/>
        <v>0</v>
      </c>
      <c r="AH22" s="9">
        <f t="shared" si="8"/>
        <v>0</v>
      </c>
      <c r="AI22" s="9">
        <f t="shared" si="8"/>
        <v>0</v>
      </c>
      <c r="AJ22" s="9">
        <f t="shared" si="8"/>
        <v>0</v>
      </c>
      <c r="AK22" s="9">
        <f t="shared" si="8"/>
        <v>0</v>
      </c>
      <c r="AL22" s="9">
        <f t="shared" si="8"/>
        <v>0</v>
      </c>
      <c r="AM22" s="9">
        <f t="shared" si="8"/>
        <v>0</v>
      </c>
      <c r="AN22" s="9">
        <f t="shared" si="8"/>
        <v>0</v>
      </c>
      <c r="AO22" s="9">
        <f t="shared" si="8"/>
        <v>0</v>
      </c>
      <c r="AP22" s="9">
        <f t="shared" si="8"/>
        <v>0</v>
      </c>
      <c r="AQ22" s="9">
        <f t="shared" si="8"/>
        <v>0</v>
      </c>
      <c r="AR22" s="9">
        <f t="shared" si="8"/>
        <v>274048.52</v>
      </c>
      <c r="AS22" s="9">
        <f t="shared" si="8"/>
        <v>270036.49</v>
      </c>
      <c r="AT22" s="9">
        <f t="shared" si="8"/>
        <v>0</v>
      </c>
      <c r="AU22" s="9">
        <f t="shared" ref="AU22:BZ22" si="9">AU288</f>
        <v>4012.03</v>
      </c>
      <c r="AV22" s="9">
        <f t="shared" si="9"/>
        <v>43171.83</v>
      </c>
      <c r="AW22" s="9">
        <f t="shared" si="9"/>
        <v>43171.83</v>
      </c>
      <c r="AX22" s="9">
        <f t="shared" si="9"/>
        <v>0</v>
      </c>
      <c r="AY22" s="9">
        <f t="shared" si="9"/>
        <v>43171.83</v>
      </c>
      <c r="AZ22" s="9">
        <f t="shared" si="9"/>
        <v>0</v>
      </c>
      <c r="BA22" s="9">
        <f t="shared" si="9"/>
        <v>0</v>
      </c>
      <c r="BB22" s="9">
        <f t="shared" si="9"/>
        <v>0</v>
      </c>
      <c r="BC22" s="9">
        <f t="shared" si="9"/>
        <v>0</v>
      </c>
      <c r="BD22" s="9">
        <f t="shared" si="9"/>
        <v>0</v>
      </c>
      <c r="BE22" s="9">
        <f t="shared" si="9"/>
        <v>0</v>
      </c>
      <c r="BF22" s="9">
        <f t="shared" si="9"/>
        <v>0</v>
      </c>
      <c r="BG22" s="9">
        <f t="shared" si="9"/>
        <v>0</v>
      </c>
      <c r="BH22" s="9">
        <f t="shared" si="9"/>
        <v>0</v>
      </c>
      <c r="BI22" s="9">
        <f t="shared" si="9"/>
        <v>0</v>
      </c>
      <c r="BJ22" s="9">
        <f t="shared" si="9"/>
        <v>0</v>
      </c>
      <c r="BK22" s="9">
        <f t="shared" si="9"/>
        <v>0</v>
      </c>
      <c r="BL22" s="9">
        <f t="shared" si="9"/>
        <v>0</v>
      </c>
      <c r="BM22" s="9">
        <f t="shared" si="9"/>
        <v>0</v>
      </c>
      <c r="BN22" s="9">
        <f t="shared" si="9"/>
        <v>0</v>
      </c>
      <c r="BO22" s="9">
        <f t="shared" si="9"/>
        <v>0</v>
      </c>
      <c r="BP22" s="9">
        <f t="shared" si="9"/>
        <v>0</v>
      </c>
      <c r="BQ22" s="9">
        <f t="shared" si="9"/>
        <v>0</v>
      </c>
      <c r="BR22" s="9">
        <f t="shared" si="9"/>
        <v>0</v>
      </c>
      <c r="BS22" s="9">
        <f t="shared" si="9"/>
        <v>0</v>
      </c>
      <c r="BT22" s="9">
        <f t="shared" si="9"/>
        <v>0</v>
      </c>
      <c r="BU22" s="9">
        <f t="shared" si="9"/>
        <v>0</v>
      </c>
      <c r="BV22" s="9">
        <f t="shared" si="9"/>
        <v>0</v>
      </c>
      <c r="BW22" s="9">
        <f t="shared" si="9"/>
        <v>0</v>
      </c>
      <c r="BX22" s="9">
        <f t="shared" si="9"/>
        <v>0</v>
      </c>
      <c r="BY22" s="9">
        <f t="shared" si="9"/>
        <v>0</v>
      </c>
      <c r="BZ22" s="9">
        <f t="shared" si="9"/>
        <v>0</v>
      </c>
      <c r="CA22" s="9">
        <f t="shared" ref="CA22:DF22" si="10">CA288</f>
        <v>0</v>
      </c>
      <c r="CB22" s="9">
        <f t="shared" si="10"/>
        <v>0</v>
      </c>
      <c r="CC22" s="9">
        <f t="shared" si="10"/>
        <v>0</v>
      </c>
      <c r="CD22" s="9">
        <f t="shared" si="10"/>
        <v>0</v>
      </c>
      <c r="CE22" s="9">
        <f t="shared" si="10"/>
        <v>0</v>
      </c>
      <c r="CF22" s="9">
        <f t="shared" si="10"/>
        <v>0</v>
      </c>
      <c r="CG22" s="9">
        <f t="shared" si="10"/>
        <v>0</v>
      </c>
      <c r="CH22" s="9">
        <f t="shared" si="10"/>
        <v>0</v>
      </c>
      <c r="CI22" s="9">
        <f t="shared" si="10"/>
        <v>0</v>
      </c>
      <c r="CJ22" s="9">
        <f t="shared" si="10"/>
        <v>0</v>
      </c>
      <c r="CK22" s="9">
        <f t="shared" si="10"/>
        <v>0</v>
      </c>
      <c r="CL22" s="9">
        <f t="shared" si="10"/>
        <v>0</v>
      </c>
      <c r="CM22" s="9">
        <f t="shared" si="10"/>
        <v>0</v>
      </c>
      <c r="CN22" s="9">
        <f t="shared" si="10"/>
        <v>0</v>
      </c>
      <c r="CO22" s="9">
        <f t="shared" si="10"/>
        <v>0</v>
      </c>
      <c r="CP22" s="9">
        <f t="shared" si="10"/>
        <v>0</v>
      </c>
      <c r="CQ22" s="9">
        <f t="shared" si="10"/>
        <v>0</v>
      </c>
      <c r="CR22" s="9">
        <f t="shared" si="10"/>
        <v>0</v>
      </c>
      <c r="CS22" s="9">
        <f t="shared" si="10"/>
        <v>0</v>
      </c>
      <c r="CT22" s="9">
        <f t="shared" si="10"/>
        <v>0</v>
      </c>
      <c r="CU22" s="9">
        <f t="shared" si="10"/>
        <v>0</v>
      </c>
      <c r="CV22" s="9">
        <f t="shared" si="10"/>
        <v>0</v>
      </c>
      <c r="CW22" s="9">
        <f t="shared" si="10"/>
        <v>0</v>
      </c>
      <c r="CX22" s="9">
        <f t="shared" si="10"/>
        <v>0</v>
      </c>
      <c r="CY22" s="9">
        <f t="shared" si="10"/>
        <v>0</v>
      </c>
      <c r="CZ22" s="9">
        <f t="shared" si="10"/>
        <v>0</v>
      </c>
      <c r="DA22" s="9">
        <f t="shared" si="10"/>
        <v>0</v>
      </c>
      <c r="DB22" s="9">
        <f t="shared" si="10"/>
        <v>0</v>
      </c>
      <c r="DC22" s="9">
        <f t="shared" si="10"/>
        <v>0</v>
      </c>
      <c r="DD22" s="9">
        <f t="shared" si="10"/>
        <v>0</v>
      </c>
      <c r="DE22" s="9">
        <f t="shared" si="10"/>
        <v>0</v>
      </c>
      <c r="DF22" s="9">
        <f t="shared" si="10"/>
        <v>0</v>
      </c>
      <c r="DG22" s="10">
        <f t="shared" ref="DG22:EL22" si="11">DG288</f>
        <v>0</v>
      </c>
      <c r="DH22" s="10">
        <f t="shared" si="11"/>
        <v>0</v>
      </c>
      <c r="DI22" s="10">
        <f t="shared" si="11"/>
        <v>0</v>
      </c>
      <c r="DJ22" s="10">
        <f t="shared" si="11"/>
        <v>0</v>
      </c>
      <c r="DK22" s="10">
        <f t="shared" si="11"/>
        <v>0</v>
      </c>
      <c r="DL22" s="10">
        <f t="shared" si="11"/>
        <v>0</v>
      </c>
      <c r="DM22" s="10">
        <f t="shared" si="11"/>
        <v>0</v>
      </c>
      <c r="DN22" s="10">
        <f t="shared" si="11"/>
        <v>0</v>
      </c>
      <c r="DO22" s="10">
        <f t="shared" si="11"/>
        <v>0</v>
      </c>
      <c r="DP22" s="10">
        <f t="shared" si="11"/>
        <v>0</v>
      </c>
      <c r="DQ22" s="10">
        <f t="shared" si="11"/>
        <v>0</v>
      </c>
      <c r="DR22" s="10">
        <f t="shared" si="11"/>
        <v>0</v>
      </c>
      <c r="DS22" s="10">
        <f t="shared" si="11"/>
        <v>0</v>
      </c>
      <c r="DT22" s="10">
        <f t="shared" si="11"/>
        <v>0</v>
      </c>
      <c r="DU22" s="10">
        <f t="shared" si="11"/>
        <v>0</v>
      </c>
      <c r="DV22" s="10">
        <f t="shared" si="11"/>
        <v>0</v>
      </c>
      <c r="DW22" s="10">
        <f t="shared" si="11"/>
        <v>0</v>
      </c>
      <c r="DX22" s="10">
        <f t="shared" si="11"/>
        <v>0</v>
      </c>
      <c r="DY22" s="10">
        <f t="shared" si="11"/>
        <v>0</v>
      </c>
      <c r="DZ22" s="10">
        <f t="shared" si="11"/>
        <v>0</v>
      </c>
      <c r="EA22" s="10">
        <f t="shared" si="11"/>
        <v>0</v>
      </c>
      <c r="EB22" s="10">
        <f t="shared" si="11"/>
        <v>0</v>
      </c>
      <c r="EC22" s="10">
        <f t="shared" si="11"/>
        <v>0</v>
      </c>
      <c r="ED22" s="10">
        <f t="shared" si="11"/>
        <v>0</v>
      </c>
      <c r="EE22" s="10">
        <f t="shared" si="11"/>
        <v>0</v>
      </c>
      <c r="EF22" s="10">
        <f t="shared" si="11"/>
        <v>0</v>
      </c>
      <c r="EG22" s="10">
        <f t="shared" si="11"/>
        <v>0</v>
      </c>
      <c r="EH22" s="10">
        <f t="shared" si="11"/>
        <v>0</v>
      </c>
      <c r="EI22" s="10">
        <f t="shared" si="11"/>
        <v>0</v>
      </c>
      <c r="EJ22" s="10">
        <f t="shared" si="11"/>
        <v>0</v>
      </c>
      <c r="EK22" s="10">
        <f t="shared" si="11"/>
        <v>0</v>
      </c>
      <c r="EL22" s="10">
        <f t="shared" si="11"/>
        <v>0</v>
      </c>
      <c r="EM22" s="10">
        <f t="shared" ref="EM22:FR22" si="12">EM288</f>
        <v>0</v>
      </c>
      <c r="EN22" s="10">
        <f t="shared" si="12"/>
        <v>0</v>
      </c>
      <c r="EO22" s="10">
        <f t="shared" si="12"/>
        <v>0</v>
      </c>
      <c r="EP22" s="10">
        <f t="shared" si="12"/>
        <v>0</v>
      </c>
      <c r="EQ22" s="10">
        <f t="shared" si="12"/>
        <v>0</v>
      </c>
      <c r="ER22" s="10">
        <f t="shared" si="12"/>
        <v>0</v>
      </c>
      <c r="ES22" s="10">
        <f t="shared" si="12"/>
        <v>0</v>
      </c>
      <c r="ET22" s="10">
        <f t="shared" si="12"/>
        <v>0</v>
      </c>
      <c r="EU22" s="10">
        <f t="shared" si="12"/>
        <v>0</v>
      </c>
      <c r="EV22" s="10">
        <f t="shared" si="12"/>
        <v>0</v>
      </c>
      <c r="EW22" s="10">
        <f t="shared" si="12"/>
        <v>0</v>
      </c>
      <c r="EX22" s="10">
        <f t="shared" si="12"/>
        <v>0</v>
      </c>
      <c r="EY22" s="10">
        <f t="shared" si="12"/>
        <v>0</v>
      </c>
      <c r="EZ22" s="10">
        <f t="shared" si="12"/>
        <v>0</v>
      </c>
      <c r="FA22" s="10">
        <f t="shared" si="12"/>
        <v>0</v>
      </c>
      <c r="FB22" s="10">
        <f t="shared" si="12"/>
        <v>0</v>
      </c>
      <c r="FC22" s="10">
        <f t="shared" si="12"/>
        <v>0</v>
      </c>
      <c r="FD22" s="10">
        <f t="shared" si="12"/>
        <v>0</v>
      </c>
      <c r="FE22" s="10">
        <f t="shared" si="12"/>
        <v>0</v>
      </c>
      <c r="FF22" s="10">
        <f t="shared" si="12"/>
        <v>0</v>
      </c>
      <c r="FG22" s="10">
        <f t="shared" si="12"/>
        <v>0</v>
      </c>
      <c r="FH22" s="10">
        <f t="shared" si="12"/>
        <v>0</v>
      </c>
      <c r="FI22" s="10">
        <f t="shared" si="12"/>
        <v>0</v>
      </c>
      <c r="FJ22" s="10">
        <f t="shared" si="12"/>
        <v>0</v>
      </c>
      <c r="FK22" s="10">
        <f t="shared" si="12"/>
        <v>0</v>
      </c>
      <c r="FL22" s="10">
        <f t="shared" si="12"/>
        <v>0</v>
      </c>
      <c r="FM22" s="10">
        <f t="shared" si="12"/>
        <v>0</v>
      </c>
      <c r="FN22" s="10">
        <f t="shared" si="12"/>
        <v>0</v>
      </c>
      <c r="FO22" s="10">
        <f t="shared" si="12"/>
        <v>0</v>
      </c>
      <c r="FP22" s="10">
        <f t="shared" si="12"/>
        <v>0</v>
      </c>
      <c r="FQ22" s="10">
        <f t="shared" si="12"/>
        <v>0</v>
      </c>
      <c r="FR22" s="10">
        <f t="shared" si="12"/>
        <v>0</v>
      </c>
      <c r="FS22" s="10">
        <f t="shared" ref="FS22:GX22" si="13">FS288</f>
        <v>0</v>
      </c>
      <c r="FT22" s="10">
        <f t="shared" si="13"/>
        <v>0</v>
      </c>
      <c r="FU22" s="10">
        <f t="shared" si="13"/>
        <v>0</v>
      </c>
      <c r="FV22" s="10">
        <f t="shared" si="13"/>
        <v>0</v>
      </c>
      <c r="FW22" s="10">
        <f t="shared" si="13"/>
        <v>0</v>
      </c>
      <c r="FX22" s="10">
        <f t="shared" si="13"/>
        <v>0</v>
      </c>
      <c r="FY22" s="10">
        <f t="shared" si="13"/>
        <v>0</v>
      </c>
      <c r="FZ22" s="10">
        <f t="shared" si="13"/>
        <v>0</v>
      </c>
      <c r="GA22" s="10">
        <f t="shared" si="13"/>
        <v>0</v>
      </c>
      <c r="GB22" s="10">
        <f t="shared" si="13"/>
        <v>0</v>
      </c>
      <c r="GC22" s="10">
        <f t="shared" si="13"/>
        <v>0</v>
      </c>
      <c r="GD22" s="10">
        <f t="shared" si="13"/>
        <v>0</v>
      </c>
      <c r="GE22" s="10">
        <f t="shared" si="13"/>
        <v>0</v>
      </c>
      <c r="GF22" s="10">
        <f t="shared" si="13"/>
        <v>0</v>
      </c>
      <c r="GG22" s="10">
        <f t="shared" si="13"/>
        <v>0</v>
      </c>
      <c r="GH22" s="10">
        <f t="shared" si="13"/>
        <v>0</v>
      </c>
      <c r="GI22" s="10">
        <f t="shared" si="13"/>
        <v>0</v>
      </c>
      <c r="GJ22" s="10">
        <f t="shared" si="13"/>
        <v>0</v>
      </c>
      <c r="GK22" s="10">
        <f t="shared" si="13"/>
        <v>0</v>
      </c>
      <c r="GL22" s="10">
        <f t="shared" si="13"/>
        <v>0</v>
      </c>
      <c r="GM22" s="10">
        <f t="shared" si="13"/>
        <v>0</v>
      </c>
      <c r="GN22" s="10">
        <f t="shared" si="13"/>
        <v>0</v>
      </c>
      <c r="GO22" s="10">
        <f t="shared" si="13"/>
        <v>0</v>
      </c>
      <c r="GP22" s="10">
        <f t="shared" si="13"/>
        <v>0</v>
      </c>
      <c r="GQ22" s="10">
        <f t="shared" si="13"/>
        <v>0</v>
      </c>
      <c r="GR22" s="10">
        <f t="shared" si="13"/>
        <v>0</v>
      </c>
      <c r="GS22" s="10">
        <f t="shared" si="13"/>
        <v>0</v>
      </c>
      <c r="GT22" s="10">
        <f t="shared" si="13"/>
        <v>0</v>
      </c>
      <c r="GU22" s="10">
        <f t="shared" si="13"/>
        <v>0</v>
      </c>
      <c r="GV22" s="10">
        <f t="shared" si="13"/>
        <v>0</v>
      </c>
      <c r="GW22" s="10">
        <f t="shared" si="13"/>
        <v>0</v>
      </c>
      <c r="GX22" s="10">
        <f t="shared" si="13"/>
        <v>0</v>
      </c>
    </row>
    <row r="24" spans="1:245" x14ac:dyDescent="0.2">
      <c r="A24" s="8">
        <v>4</v>
      </c>
      <c r="B24" s="8">
        <v>1</v>
      </c>
      <c r="C24" s="8"/>
      <c r="D24" s="8">
        <f>ROW(A221)</f>
        <v>221</v>
      </c>
      <c r="E24" s="8"/>
      <c r="F24" s="8" t="s">
        <v>15</v>
      </c>
      <c r="G24" s="8" t="s">
        <v>16</v>
      </c>
      <c r="H24" s="8" t="s">
        <v>3</v>
      </c>
      <c r="I24" s="8">
        <v>0</v>
      </c>
      <c r="J24" s="8"/>
      <c r="K24" s="8">
        <v>-1</v>
      </c>
      <c r="L24" s="8"/>
      <c r="M24" s="8" t="s">
        <v>3</v>
      </c>
      <c r="N24" s="8"/>
      <c r="O24" s="8"/>
      <c r="P24" s="8"/>
      <c r="Q24" s="8"/>
      <c r="R24" s="8"/>
      <c r="S24" s="8">
        <v>0</v>
      </c>
      <c r="T24" s="8"/>
      <c r="U24" s="8" t="s">
        <v>3</v>
      </c>
      <c r="V24" s="8">
        <v>0</v>
      </c>
      <c r="W24" s="8"/>
      <c r="X24" s="8"/>
      <c r="Y24" s="8"/>
      <c r="Z24" s="8"/>
      <c r="AA24" s="8"/>
      <c r="AB24" s="8" t="s">
        <v>3</v>
      </c>
      <c r="AC24" s="8" t="s">
        <v>3</v>
      </c>
      <c r="AD24" s="8" t="s">
        <v>3</v>
      </c>
      <c r="AE24" s="8" t="s">
        <v>3</v>
      </c>
      <c r="AF24" s="8" t="s">
        <v>3</v>
      </c>
      <c r="AG24" s="8" t="s">
        <v>3</v>
      </c>
      <c r="AH24" s="8"/>
      <c r="AI24" s="8"/>
      <c r="AJ24" s="8"/>
      <c r="AK24" s="8"/>
      <c r="AL24" s="8"/>
      <c r="AM24" s="8"/>
      <c r="AN24" s="8"/>
      <c r="AO24" s="8"/>
      <c r="AP24" s="8" t="s">
        <v>3</v>
      </c>
      <c r="AQ24" s="8" t="s">
        <v>3</v>
      </c>
      <c r="AR24" s="8" t="s">
        <v>3</v>
      </c>
      <c r="AS24" s="8"/>
      <c r="AT24" s="8"/>
      <c r="AU24" s="8"/>
      <c r="AV24" s="8"/>
      <c r="AW24" s="8"/>
      <c r="AX24" s="8"/>
      <c r="AY24" s="8"/>
      <c r="AZ24" s="8" t="s">
        <v>3</v>
      </c>
      <c r="BA24" s="8"/>
      <c r="BB24" s="8" t="s">
        <v>3</v>
      </c>
      <c r="BC24" s="8" t="s">
        <v>3</v>
      </c>
      <c r="BD24" s="8" t="s">
        <v>3</v>
      </c>
      <c r="BE24" s="8" t="s">
        <v>3</v>
      </c>
      <c r="BF24" s="8" t="s">
        <v>3</v>
      </c>
      <c r="BG24" s="8" t="s">
        <v>3</v>
      </c>
      <c r="BH24" s="8" t="s">
        <v>3</v>
      </c>
      <c r="BI24" s="8" t="s">
        <v>3</v>
      </c>
      <c r="BJ24" s="8" t="s">
        <v>3</v>
      </c>
      <c r="BK24" s="8" t="s">
        <v>3</v>
      </c>
      <c r="BL24" s="8" t="s">
        <v>3</v>
      </c>
      <c r="BM24" s="8" t="s">
        <v>3</v>
      </c>
      <c r="BN24" s="8" t="s">
        <v>3</v>
      </c>
      <c r="BO24" s="8" t="s">
        <v>3</v>
      </c>
      <c r="BP24" s="8" t="s">
        <v>3</v>
      </c>
      <c r="BQ24" s="8"/>
      <c r="BR24" s="8"/>
      <c r="BS24" s="8"/>
      <c r="BT24" s="8"/>
      <c r="BU24" s="8"/>
      <c r="BV24" s="8"/>
      <c r="BW24" s="8"/>
      <c r="BX24" s="8">
        <v>0</v>
      </c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>
        <v>0</v>
      </c>
    </row>
    <row r="26" spans="1:245" x14ac:dyDescent="0.2">
      <c r="A26" s="9">
        <v>52</v>
      </c>
      <c r="B26" s="9">
        <f t="shared" ref="B26:G26" si="14">B221</f>
        <v>1</v>
      </c>
      <c r="C26" s="9">
        <f t="shared" si="14"/>
        <v>4</v>
      </c>
      <c r="D26" s="9">
        <f t="shared" si="14"/>
        <v>24</v>
      </c>
      <c r="E26" s="9">
        <f t="shared" si="14"/>
        <v>0</v>
      </c>
      <c r="F26" s="9" t="str">
        <f t="shared" si="14"/>
        <v>Новый раздел</v>
      </c>
      <c r="G26" s="9" t="str">
        <f t="shared" si="14"/>
        <v>Кабинет 809а</v>
      </c>
      <c r="H26" s="9"/>
      <c r="I26" s="9"/>
      <c r="J26" s="9"/>
      <c r="K26" s="9"/>
      <c r="L26" s="9"/>
      <c r="M26" s="9"/>
      <c r="N26" s="9"/>
      <c r="O26" s="9">
        <f t="shared" ref="O26:AT26" si="15">O221</f>
        <v>136151.21</v>
      </c>
      <c r="P26" s="9">
        <f t="shared" si="15"/>
        <v>43171.83</v>
      </c>
      <c r="Q26" s="9">
        <f t="shared" si="15"/>
        <v>311.33</v>
      </c>
      <c r="R26" s="9">
        <f t="shared" si="15"/>
        <v>114.67</v>
      </c>
      <c r="S26" s="9">
        <f t="shared" si="15"/>
        <v>92668.05</v>
      </c>
      <c r="T26" s="9">
        <f t="shared" si="15"/>
        <v>0</v>
      </c>
      <c r="U26" s="9">
        <f t="shared" si="15"/>
        <v>142.1018339</v>
      </c>
      <c r="V26" s="9">
        <f t="shared" si="15"/>
        <v>0</v>
      </c>
      <c r="W26" s="9">
        <f t="shared" si="15"/>
        <v>0</v>
      </c>
      <c r="X26" s="9">
        <f t="shared" si="15"/>
        <v>85381.119999999995</v>
      </c>
      <c r="Y26" s="9">
        <f t="shared" si="15"/>
        <v>43096.22</v>
      </c>
      <c r="Z26" s="9">
        <f t="shared" si="15"/>
        <v>0</v>
      </c>
      <c r="AA26" s="9">
        <f t="shared" si="15"/>
        <v>0</v>
      </c>
      <c r="AB26" s="9">
        <f t="shared" si="15"/>
        <v>0</v>
      </c>
      <c r="AC26" s="9">
        <f t="shared" si="15"/>
        <v>0</v>
      </c>
      <c r="AD26" s="9">
        <f t="shared" si="15"/>
        <v>0</v>
      </c>
      <c r="AE26" s="9">
        <f t="shared" si="15"/>
        <v>0</v>
      </c>
      <c r="AF26" s="9">
        <f t="shared" si="15"/>
        <v>0</v>
      </c>
      <c r="AG26" s="9">
        <f t="shared" si="15"/>
        <v>0</v>
      </c>
      <c r="AH26" s="9">
        <f t="shared" si="15"/>
        <v>0</v>
      </c>
      <c r="AI26" s="9">
        <f t="shared" si="15"/>
        <v>0</v>
      </c>
      <c r="AJ26" s="9">
        <f t="shared" si="15"/>
        <v>0</v>
      </c>
      <c r="AK26" s="9">
        <f t="shared" si="15"/>
        <v>0</v>
      </c>
      <c r="AL26" s="9">
        <f t="shared" si="15"/>
        <v>0</v>
      </c>
      <c r="AM26" s="9">
        <f t="shared" si="15"/>
        <v>0</v>
      </c>
      <c r="AN26" s="9">
        <f t="shared" si="15"/>
        <v>0</v>
      </c>
      <c r="AO26" s="9">
        <f t="shared" si="15"/>
        <v>0</v>
      </c>
      <c r="AP26" s="9">
        <f t="shared" si="15"/>
        <v>0</v>
      </c>
      <c r="AQ26" s="9">
        <f t="shared" si="15"/>
        <v>0</v>
      </c>
      <c r="AR26" s="9">
        <f t="shared" si="15"/>
        <v>264628.55</v>
      </c>
      <c r="AS26" s="9">
        <f t="shared" si="15"/>
        <v>264628.55</v>
      </c>
      <c r="AT26" s="9">
        <f t="shared" si="15"/>
        <v>0</v>
      </c>
      <c r="AU26" s="9">
        <f t="shared" ref="AU26:BZ26" si="16">AU221</f>
        <v>0</v>
      </c>
      <c r="AV26" s="9">
        <f t="shared" si="16"/>
        <v>43171.83</v>
      </c>
      <c r="AW26" s="9">
        <f t="shared" si="16"/>
        <v>43171.83</v>
      </c>
      <c r="AX26" s="9">
        <f t="shared" si="16"/>
        <v>0</v>
      </c>
      <c r="AY26" s="9">
        <f t="shared" si="16"/>
        <v>43171.83</v>
      </c>
      <c r="AZ26" s="9">
        <f t="shared" si="16"/>
        <v>0</v>
      </c>
      <c r="BA26" s="9">
        <f t="shared" si="16"/>
        <v>0</v>
      </c>
      <c r="BB26" s="9">
        <f t="shared" si="16"/>
        <v>0</v>
      </c>
      <c r="BC26" s="9">
        <f t="shared" si="16"/>
        <v>0</v>
      </c>
      <c r="BD26" s="9">
        <f t="shared" si="16"/>
        <v>0</v>
      </c>
      <c r="BE26" s="9">
        <f t="shared" si="16"/>
        <v>0</v>
      </c>
      <c r="BF26" s="9">
        <f t="shared" si="16"/>
        <v>0</v>
      </c>
      <c r="BG26" s="9">
        <f t="shared" si="16"/>
        <v>0</v>
      </c>
      <c r="BH26" s="9">
        <f t="shared" si="16"/>
        <v>0</v>
      </c>
      <c r="BI26" s="9">
        <f t="shared" si="16"/>
        <v>0</v>
      </c>
      <c r="BJ26" s="9">
        <f t="shared" si="16"/>
        <v>0</v>
      </c>
      <c r="BK26" s="9">
        <f t="shared" si="16"/>
        <v>0</v>
      </c>
      <c r="BL26" s="9">
        <f t="shared" si="16"/>
        <v>0</v>
      </c>
      <c r="BM26" s="9">
        <f t="shared" si="16"/>
        <v>0</v>
      </c>
      <c r="BN26" s="9">
        <f t="shared" si="16"/>
        <v>0</v>
      </c>
      <c r="BO26" s="9">
        <f t="shared" si="16"/>
        <v>0</v>
      </c>
      <c r="BP26" s="9">
        <f t="shared" si="16"/>
        <v>0</v>
      </c>
      <c r="BQ26" s="9">
        <f t="shared" si="16"/>
        <v>0</v>
      </c>
      <c r="BR26" s="9">
        <f t="shared" si="16"/>
        <v>0</v>
      </c>
      <c r="BS26" s="9">
        <f t="shared" si="16"/>
        <v>0</v>
      </c>
      <c r="BT26" s="9">
        <f t="shared" si="16"/>
        <v>0</v>
      </c>
      <c r="BU26" s="9">
        <f t="shared" si="16"/>
        <v>0</v>
      </c>
      <c r="BV26" s="9">
        <f t="shared" si="16"/>
        <v>0</v>
      </c>
      <c r="BW26" s="9">
        <f t="shared" si="16"/>
        <v>0</v>
      </c>
      <c r="BX26" s="9">
        <f t="shared" si="16"/>
        <v>0</v>
      </c>
      <c r="BY26" s="9">
        <f t="shared" si="16"/>
        <v>0</v>
      </c>
      <c r="BZ26" s="9">
        <f t="shared" si="16"/>
        <v>0</v>
      </c>
      <c r="CA26" s="9">
        <f t="shared" ref="CA26:DF26" si="17">CA221</f>
        <v>0</v>
      </c>
      <c r="CB26" s="9">
        <f t="shared" si="17"/>
        <v>0</v>
      </c>
      <c r="CC26" s="9">
        <f t="shared" si="17"/>
        <v>0</v>
      </c>
      <c r="CD26" s="9">
        <f t="shared" si="17"/>
        <v>0</v>
      </c>
      <c r="CE26" s="9">
        <f t="shared" si="17"/>
        <v>0</v>
      </c>
      <c r="CF26" s="9">
        <f t="shared" si="17"/>
        <v>0</v>
      </c>
      <c r="CG26" s="9">
        <f t="shared" si="17"/>
        <v>0</v>
      </c>
      <c r="CH26" s="9">
        <f t="shared" si="17"/>
        <v>0</v>
      </c>
      <c r="CI26" s="9">
        <f t="shared" si="17"/>
        <v>0</v>
      </c>
      <c r="CJ26" s="9">
        <f t="shared" si="17"/>
        <v>0</v>
      </c>
      <c r="CK26" s="9">
        <f t="shared" si="17"/>
        <v>0</v>
      </c>
      <c r="CL26" s="9">
        <f t="shared" si="17"/>
        <v>0</v>
      </c>
      <c r="CM26" s="9">
        <f t="shared" si="17"/>
        <v>0</v>
      </c>
      <c r="CN26" s="9">
        <f t="shared" si="17"/>
        <v>0</v>
      </c>
      <c r="CO26" s="9">
        <f t="shared" si="17"/>
        <v>0</v>
      </c>
      <c r="CP26" s="9">
        <f t="shared" si="17"/>
        <v>0</v>
      </c>
      <c r="CQ26" s="9">
        <f t="shared" si="17"/>
        <v>0</v>
      </c>
      <c r="CR26" s="9">
        <f t="shared" si="17"/>
        <v>0</v>
      </c>
      <c r="CS26" s="9">
        <f t="shared" si="17"/>
        <v>0</v>
      </c>
      <c r="CT26" s="9">
        <f t="shared" si="17"/>
        <v>0</v>
      </c>
      <c r="CU26" s="9">
        <f t="shared" si="17"/>
        <v>0</v>
      </c>
      <c r="CV26" s="9">
        <f t="shared" si="17"/>
        <v>0</v>
      </c>
      <c r="CW26" s="9">
        <f t="shared" si="17"/>
        <v>0</v>
      </c>
      <c r="CX26" s="9">
        <f t="shared" si="17"/>
        <v>0</v>
      </c>
      <c r="CY26" s="9">
        <f t="shared" si="17"/>
        <v>0</v>
      </c>
      <c r="CZ26" s="9">
        <f t="shared" si="17"/>
        <v>0</v>
      </c>
      <c r="DA26" s="9">
        <f t="shared" si="17"/>
        <v>0</v>
      </c>
      <c r="DB26" s="9">
        <f t="shared" si="17"/>
        <v>0</v>
      </c>
      <c r="DC26" s="9">
        <f t="shared" si="17"/>
        <v>0</v>
      </c>
      <c r="DD26" s="9">
        <f t="shared" si="17"/>
        <v>0</v>
      </c>
      <c r="DE26" s="9">
        <f t="shared" si="17"/>
        <v>0</v>
      </c>
      <c r="DF26" s="9">
        <f t="shared" si="17"/>
        <v>0</v>
      </c>
      <c r="DG26" s="10">
        <f t="shared" ref="DG26:EL26" si="18">DG221</f>
        <v>0</v>
      </c>
      <c r="DH26" s="10">
        <f t="shared" si="18"/>
        <v>0</v>
      </c>
      <c r="DI26" s="10">
        <f t="shared" si="18"/>
        <v>0</v>
      </c>
      <c r="DJ26" s="10">
        <f t="shared" si="18"/>
        <v>0</v>
      </c>
      <c r="DK26" s="10">
        <f t="shared" si="18"/>
        <v>0</v>
      </c>
      <c r="DL26" s="10">
        <f t="shared" si="18"/>
        <v>0</v>
      </c>
      <c r="DM26" s="10">
        <f t="shared" si="18"/>
        <v>0</v>
      </c>
      <c r="DN26" s="10">
        <f t="shared" si="18"/>
        <v>0</v>
      </c>
      <c r="DO26" s="10">
        <f t="shared" si="18"/>
        <v>0</v>
      </c>
      <c r="DP26" s="10">
        <f t="shared" si="18"/>
        <v>0</v>
      </c>
      <c r="DQ26" s="10">
        <f t="shared" si="18"/>
        <v>0</v>
      </c>
      <c r="DR26" s="10">
        <f t="shared" si="18"/>
        <v>0</v>
      </c>
      <c r="DS26" s="10">
        <f t="shared" si="18"/>
        <v>0</v>
      </c>
      <c r="DT26" s="10">
        <f t="shared" si="18"/>
        <v>0</v>
      </c>
      <c r="DU26" s="10">
        <f t="shared" si="18"/>
        <v>0</v>
      </c>
      <c r="DV26" s="10">
        <f t="shared" si="18"/>
        <v>0</v>
      </c>
      <c r="DW26" s="10">
        <f t="shared" si="18"/>
        <v>0</v>
      </c>
      <c r="DX26" s="10">
        <f t="shared" si="18"/>
        <v>0</v>
      </c>
      <c r="DY26" s="10">
        <f t="shared" si="18"/>
        <v>0</v>
      </c>
      <c r="DZ26" s="10">
        <f t="shared" si="18"/>
        <v>0</v>
      </c>
      <c r="EA26" s="10">
        <f t="shared" si="18"/>
        <v>0</v>
      </c>
      <c r="EB26" s="10">
        <f t="shared" si="18"/>
        <v>0</v>
      </c>
      <c r="EC26" s="10">
        <f t="shared" si="18"/>
        <v>0</v>
      </c>
      <c r="ED26" s="10">
        <f t="shared" si="18"/>
        <v>0</v>
      </c>
      <c r="EE26" s="10">
        <f t="shared" si="18"/>
        <v>0</v>
      </c>
      <c r="EF26" s="10">
        <f t="shared" si="18"/>
        <v>0</v>
      </c>
      <c r="EG26" s="10">
        <f t="shared" si="18"/>
        <v>0</v>
      </c>
      <c r="EH26" s="10">
        <f t="shared" si="18"/>
        <v>0</v>
      </c>
      <c r="EI26" s="10">
        <f t="shared" si="18"/>
        <v>0</v>
      </c>
      <c r="EJ26" s="10">
        <f t="shared" si="18"/>
        <v>0</v>
      </c>
      <c r="EK26" s="10">
        <f t="shared" si="18"/>
        <v>0</v>
      </c>
      <c r="EL26" s="10">
        <f t="shared" si="18"/>
        <v>0</v>
      </c>
      <c r="EM26" s="10">
        <f t="shared" ref="EM26:FR26" si="19">EM221</f>
        <v>0</v>
      </c>
      <c r="EN26" s="10">
        <f t="shared" si="19"/>
        <v>0</v>
      </c>
      <c r="EO26" s="10">
        <f t="shared" si="19"/>
        <v>0</v>
      </c>
      <c r="EP26" s="10">
        <f t="shared" si="19"/>
        <v>0</v>
      </c>
      <c r="EQ26" s="10">
        <f t="shared" si="19"/>
        <v>0</v>
      </c>
      <c r="ER26" s="10">
        <f t="shared" si="19"/>
        <v>0</v>
      </c>
      <c r="ES26" s="10">
        <f t="shared" si="19"/>
        <v>0</v>
      </c>
      <c r="ET26" s="10">
        <f t="shared" si="19"/>
        <v>0</v>
      </c>
      <c r="EU26" s="10">
        <f t="shared" si="19"/>
        <v>0</v>
      </c>
      <c r="EV26" s="10">
        <f t="shared" si="19"/>
        <v>0</v>
      </c>
      <c r="EW26" s="10">
        <f t="shared" si="19"/>
        <v>0</v>
      </c>
      <c r="EX26" s="10">
        <f t="shared" si="19"/>
        <v>0</v>
      </c>
      <c r="EY26" s="10">
        <f t="shared" si="19"/>
        <v>0</v>
      </c>
      <c r="EZ26" s="10">
        <f t="shared" si="19"/>
        <v>0</v>
      </c>
      <c r="FA26" s="10">
        <f t="shared" si="19"/>
        <v>0</v>
      </c>
      <c r="FB26" s="10">
        <f t="shared" si="19"/>
        <v>0</v>
      </c>
      <c r="FC26" s="10">
        <f t="shared" si="19"/>
        <v>0</v>
      </c>
      <c r="FD26" s="10">
        <f t="shared" si="19"/>
        <v>0</v>
      </c>
      <c r="FE26" s="10">
        <f t="shared" si="19"/>
        <v>0</v>
      </c>
      <c r="FF26" s="10">
        <f t="shared" si="19"/>
        <v>0</v>
      </c>
      <c r="FG26" s="10">
        <f t="shared" si="19"/>
        <v>0</v>
      </c>
      <c r="FH26" s="10">
        <f t="shared" si="19"/>
        <v>0</v>
      </c>
      <c r="FI26" s="10">
        <f t="shared" si="19"/>
        <v>0</v>
      </c>
      <c r="FJ26" s="10">
        <f t="shared" si="19"/>
        <v>0</v>
      </c>
      <c r="FK26" s="10">
        <f t="shared" si="19"/>
        <v>0</v>
      </c>
      <c r="FL26" s="10">
        <f t="shared" si="19"/>
        <v>0</v>
      </c>
      <c r="FM26" s="10">
        <f t="shared" si="19"/>
        <v>0</v>
      </c>
      <c r="FN26" s="10">
        <f t="shared" si="19"/>
        <v>0</v>
      </c>
      <c r="FO26" s="10">
        <f t="shared" si="19"/>
        <v>0</v>
      </c>
      <c r="FP26" s="10">
        <f t="shared" si="19"/>
        <v>0</v>
      </c>
      <c r="FQ26" s="10">
        <f t="shared" si="19"/>
        <v>0</v>
      </c>
      <c r="FR26" s="10">
        <f t="shared" si="19"/>
        <v>0</v>
      </c>
      <c r="FS26" s="10">
        <f t="shared" ref="FS26:GX26" si="20">FS221</f>
        <v>0</v>
      </c>
      <c r="FT26" s="10">
        <f t="shared" si="20"/>
        <v>0</v>
      </c>
      <c r="FU26" s="10">
        <f t="shared" si="20"/>
        <v>0</v>
      </c>
      <c r="FV26" s="10">
        <f t="shared" si="20"/>
        <v>0</v>
      </c>
      <c r="FW26" s="10">
        <f t="shared" si="20"/>
        <v>0</v>
      </c>
      <c r="FX26" s="10">
        <f t="shared" si="20"/>
        <v>0</v>
      </c>
      <c r="FY26" s="10">
        <f t="shared" si="20"/>
        <v>0</v>
      </c>
      <c r="FZ26" s="10">
        <f t="shared" si="20"/>
        <v>0</v>
      </c>
      <c r="GA26" s="10">
        <f t="shared" si="20"/>
        <v>0</v>
      </c>
      <c r="GB26" s="10">
        <f t="shared" si="20"/>
        <v>0</v>
      </c>
      <c r="GC26" s="10">
        <f t="shared" si="20"/>
        <v>0</v>
      </c>
      <c r="GD26" s="10">
        <f t="shared" si="20"/>
        <v>0</v>
      </c>
      <c r="GE26" s="10">
        <f t="shared" si="20"/>
        <v>0</v>
      </c>
      <c r="GF26" s="10">
        <f t="shared" si="20"/>
        <v>0</v>
      </c>
      <c r="GG26" s="10">
        <f t="shared" si="20"/>
        <v>0</v>
      </c>
      <c r="GH26" s="10">
        <f t="shared" si="20"/>
        <v>0</v>
      </c>
      <c r="GI26" s="10">
        <f t="shared" si="20"/>
        <v>0</v>
      </c>
      <c r="GJ26" s="10">
        <f t="shared" si="20"/>
        <v>0</v>
      </c>
      <c r="GK26" s="10">
        <f t="shared" si="20"/>
        <v>0</v>
      </c>
      <c r="GL26" s="10">
        <f t="shared" si="20"/>
        <v>0</v>
      </c>
      <c r="GM26" s="10">
        <f t="shared" si="20"/>
        <v>0</v>
      </c>
      <c r="GN26" s="10">
        <f t="shared" si="20"/>
        <v>0</v>
      </c>
      <c r="GO26" s="10">
        <f t="shared" si="20"/>
        <v>0</v>
      </c>
      <c r="GP26" s="10">
        <f t="shared" si="20"/>
        <v>0</v>
      </c>
      <c r="GQ26" s="10">
        <f t="shared" si="20"/>
        <v>0</v>
      </c>
      <c r="GR26" s="10">
        <f t="shared" si="20"/>
        <v>0</v>
      </c>
      <c r="GS26" s="10">
        <f t="shared" si="20"/>
        <v>0</v>
      </c>
      <c r="GT26" s="10">
        <f t="shared" si="20"/>
        <v>0</v>
      </c>
      <c r="GU26" s="10">
        <f t="shared" si="20"/>
        <v>0</v>
      </c>
      <c r="GV26" s="10">
        <f t="shared" si="20"/>
        <v>0</v>
      </c>
      <c r="GW26" s="10">
        <f t="shared" si="20"/>
        <v>0</v>
      </c>
      <c r="GX26" s="10">
        <f t="shared" si="20"/>
        <v>0</v>
      </c>
    </row>
    <row r="28" spans="1:245" x14ac:dyDescent="0.2">
      <c r="A28" s="8">
        <v>5</v>
      </c>
      <c r="B28" s="8">
        <v>0</v>
      </c>
      <c r="C28" s="8"/>
      <c r="D28" s="8">
        <f>ROW(A40)</f>
        <v>40</v>
      </c>
      <c r="E28" s="8"/>
      <c r="F28" s="8" t="s">
        <v>17</v>
      </c>
      <c r="G28" s="8" t="s">
        <v>18</v>
      </c>
      <c r="H28" s="8" t="s">
        <v>3</v>
      </c>
      <c r="I28" s="8">
        <v>0</v>
      </c>
      <c r="J28" s="8"/>
      <c r="K28" s="8">
        <v>0</v>
      </c>
      <c r="L28" s="8"/>
      <c r="M28" s="8" t="s">
        <v>3</v>
      </c>
      <c r="N28" s="8"/>
      <c r="O28" s="8"/>
      <c r="P28" s="8"/>
      <c r="Q28" s="8"/>
      <c r="R28" s="8"/>
      <c r="S28" s="8">
        <v>0</v>
      </c>
      <c r="T28" s="8"/>
      <c r="U28" s="8" t="s">
        <v>3</v>
      </c>
      <c r="V28" s="8">
        <v>0</v>
      </c>
      <c r="W28" s="8"/>
      <c r="X28" s="8"/>
      <c r="Y28" s="8"/>
      <c r="Z28" s="8"/>
      <c r="AA28" s="8"/>
      <c r="AB28" s="8" t="s">
        <v>3</v>
      </c>
      <c r="AC28" s="8" t="s">
        <v>3</v>
      </c>
      <c r="AD28" s="8" t="s">
        <v>3</v>
      </c>
      <c r="AE28" s="8" t="s">
        <v>3</v>
      </c>
      <c r="AF28" s="8" t="s">
        <v>3</v>
      </c>
      <c r="AG28" s="8" t="s">
        <v>3</v>
      </c>
      <c r="AH28" s="8"/>
      <c r="AI28" s="8"/>
      <c r="AJ28" s="8"/>
      <c r="AK28" s="8"/>
      <c r="AL28" s="8"/>
      <c r="AM28" s="8"/>
      <c r="AN28" s="8"/>
      <c r="AO28" s="8"/>
      <c r="AP28" s="8" t="s">
        <v>3</v>
      </c>
      <c r="AQ28" s="8" t="s">
        <v>3</v>
      </c>
      <c r="AR28" s="8" t="s">
        <v>3</v>
      </c>
      <c r="AS28" s="8"/>
      <c r="AT28" s="8"/>
      <c r="AU28" s="8"/>
      <c r="AV28" s="8"/>
      <c r="AW28" s="8"/>
      <c r="AX28" s="8"/>
      <c r="AY28" s="8"/>
      <c r="AZ28" s="8" t="s">
        <v>3</v>
      </c>
      <c r="BA28" s="8"/>
      <c r="BB28" s="8" t="s">
        <v>3</v>
      </c>
      <c r="BC28" s="8" t="s">
        <v>3</v>
      </c>
      <c r="BD28" s="8" t="s">
        <v>3</v>
      </c>
      <c r="BE28" s="8" t="s">
        <v>3</v>
      </c>
      <c r="BF28" s="8" t="s">
        <v>3</v>
      </c>
      <c r="BG28" s="8" t="s">
        <v>3</v>
      </c>
      <c r="BH28" s="8" t="s">
        <v>3</v>
      </c>
      <c r="BI28" s="8" t="s">
        <v>3</v>
      </c>
      <c r="BJ28" s="8" t="s">
        <v>3</v>
      </c>
      <c r="BK28" s="8" t="s">
        <v>3</v>
      </c>
      <c r="BL28" s="8" t="s">
        <v>3</v>
      </c>
      <c r="BM28" s="8" t="s">
        <v>3</v>
      </c>
      <c r="BN28" s="8" t="s">
        <v>3</v>
      </c>
      <c r="BO28" s="8" t="s">
        <v>3</v>
      </c>
      <c r="BP28" s="8" t="s">
        <v>3</v>
      </c>
      <c r="BQ28" s="8"/>
      <c r="BR28" s="8"/>
      <c r="BS28" s="8"/>
      <c r="BT28" s="8"/>
      <c r="BU28" s="8"/>
      <c r="BV28" s="8"/>
      <c r="BW28" s="8"/>
      <c r="BX28" s="8">
        <v>0</v>
      </c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>
        <v>0</v>
      </c>
    </row>
    <row r="30" spans="1:245" x14ac:dyDescent="0.2">
      <c r="A30" s="9">
        <v>52</v>
      </c>
      <c r="B30" s="9">
        <f t="shared" ref="B30:G30" si="21">B40</f>
        <v>0</v>
      </c>
      <c r="C30" s="9">
        <f t="shared" si="21"/>
        <v>5</v>
      </c>
      <c r="D30" s="9">
        <f t="shared" si="21"/>
        <v>28</v>
      </c>
      <c r="E30" s="9">
        <f t="shared" si="21"/>
        <v>0</v>
      </c>
      <c r="F30" s="9" t="str">
        <f t="shared" si="21"/>
        <v>Новый подраздел</v>
      </c>
      <c r="G30" s="9" t="str">
        <f t="shared" si="21"/>
        <v>Проемы</v>
      </c>
      <c r="H30" s="9"/>
      <c r="I30" s="9"/>
      <c r="J30" s="9"/>
      <c r="K30" s="9"/>
      <c r="L30" s="9"/>
      <c r="M30" s="9"/>
      <c r="N30" s="9"/>
      <c r="O30" s="9">
        <f t="shared" ref="O30:AT30" si="22">O40</f>
        <v>0</v>
      </c>
      <c r="P30" s="9">
        <f t="shared" si="22"/>
        <v>0</v>
      </c>
      <c r="Q30" s="9">
        <f t="shared" si="22"/>
        <v>0</v>
      </c>
      <c r="R30" s="9">
        <f t="shared" si="22"/>
        <v>0</v>
      </c>
      <c r="S30" s="9">
        <f t="shared" si="22"/>
        <v>0</v>
      </c>
      <c r="T30" s="9">
        <f t="shared" si="22"/>
        <v>0</v>
      </c>
      <c r="U30" s="9">
        <f t="shared" si="22"/>
        <v>0</v>
      </c>
      <c r="V30" s="9">
        <f t="shared" si="22"/>
        <v>0</v>
      </c>
      <c r="W30" s="9">
        <f t="shared" si="22"/>
        <v>0</v>
      </c>
      <c r="X30" s="9">
        <f t="shared" si="22"/>
        <v>0</v>
      </c>
      <c r="Y30" s="9">
        <f t="shared" si="22"/>
        <v>0</v>
      </c>
      <c r="Z30" s="9">
        <f t="shared" si="22"/>
        <v>0</v>
      </c>
      <c r="AA30" s="9">
        <f t="shared" si="22"/>
        <v>0</v>
      </c>
      <c r="AB30" s="9">
        <f t="shared" si="22"/>
        <v>0</v>
      </c>
      <c r="AC30" s="9">
        <f t="shared" si="22"/>
        <v>0</v>
      </c>
      <c r="AD30" s="9">
        <f t="shared" si="22"/>
        <v>0</v>
      </c>
      <c r="AE30" s="9">
        <f t="shared" si="22"/>
        <v>0</v>
      </c>
      <c r="AF30" s="9">
        <f t="shared" si="22"/>
        <v>0</v>
      </c>
      <c r="AG30" s="9">
        <f t="shared" si="22"/>
        <v>0</v>
      </c>
      <c r="AH30" s="9">
        <f t="shared" si="22"/>
        <v>0</v>
      </c>
      <c r="AI30" s="9">
        <f t="shared" si="22"/>
        <v>0</v>
      </c>
      <c r="AJ30" s="9">
        <f t="shared" si="22"/>
        <v>0</v>
      </c>
      <c r="AK30" s="9">
        <f t="shared" si="22"/>
        <v>0</v>
      </c>
      <c r="AL30" s="9">
        <f t="shared" si="22"/>
        <v>0</v>
      </c>
      <c r="AM30" s="9">
        <f t="shared" si="22"/>
        <v>0</v>
      </c>
      <c r="AN30" s="9">
        <f t="shared" si="22"/>
        <v>0</v>
      </c>
      <c r="AO30" s="9">
        <f t="shared" si="22"/>
        <v>0</v>
      </c>
      <c r="AP30" s="9">
        <f t="shared" si="22"/>
        <v>0</v>
      </c>
      <c r="AQ30" s="9">
        <f t="shared" si="22"/>
        <v>0</v>
      </c>
      <c r="AR30" s="9">
        <f t="shared" si="22"/>
        <v>0</v>
      </c>
      <c r="AS30" s="9">
        <f t="shared" si="22"/>
        <v>0</v>
      </c>
      <c r="AT30" s="9">
        <f t="shared" si="22"/>
        <v>0</v>
      </c>
      <c r="AU30" s="9">
        <f t="shared" ref="AU30:BZ30" si="23">AU40</f>
        <v>0</v>
      </c>
      <c r="AV30" s="9">
        <f t="shared" si="23"/>
        <v>0</v>
      </c>
      <c r="AW30" s="9">
        <f t="shared" si="23"/>
        <v>0</v>
      </c>
      <c r="AX30" s="9">
        <f t="shared" si="23"/>
        <v>0</v>
      </c>
      <c r="AY30" s="9">
        <f t="shared" si="23"/>
        <v>0</v>
      </c>
      <c r="AZ30" s="9">
        <f t="shared" si="23"/>
        <v>0</v>
      </c>
      <c r="BA30" s="9">
        <f t="shared" si="23"/>
        <v>0</v>
      </c>
      <c r="BB30" s="9">
        <f t="shared" si="23"/>
        <v>0</v>
      </c>
      <c r="BC30" s="9">
        <f t="shared" si="23"/>
        <v>0</v>
      </c>
      <c r="BD30" s="9">
        <f t="shared" si="23"/>
        <v>0</v>
      </c>
      <c r="BE30" s="9">
        <f t="shared" si="23"/>
        <v>0</v>
      </c>
      <c r="BF30" s="9">
        <f t="shared" si="23"/>
        <v>0</v>
      </c>
      <c r="BG30" s="9">
        <f t="shared" si="23"/>
        <v>0</v>
      </c>
      <c r="BH30" s="9">
        <f t="shared" si="23"/>
        <v>0</v>
      </c>
      <c r="BI30" s="9">
        <f t="shared" si="23"/>
        <v>0</v>
      </c>
      <c r="BJ30" s="9">
        <f t="shared" si="23"/>
        <v>0</v>
      </c>
      <c r="BK30" s="9">
        <f t="shared" si="23"/>
        <v>0</v>
      </c>
      <c r="BL30" s="9">
        <f t="shared" si="23"/>
        <v>0</v>
      </c>
      <c r="BM30" s="9">
        <f t="shared" si="23"/>
        <v>0</v>
      </c>
      <c r="BN30" s="9">
        <f t="shared" si="23"/>
        <v>0</v>
      </c>
      <c r="BO30" s="9">
        <f t="shared" si="23"/>
        <v>0</v>
      </c>
      <c r="BP30" s="9">
        <f t="shared" si="23"/>
        <v>0</v>
      </c>
      <c r="BQ30" s="9">
        <f t="shared" si="23"/>
        <v>0</v>
      </c>
      <c r="BR30" s="9">
        <f t="shared" si="23"/>
        <v>0</v>
      </c>
      <c r="BS30" s="9">
        <f t="shared" si="23"/>
        <v>0</v>
      </c>
      <c r="BT30" s="9">
        <f t="shared" si="23"/>
        <v>0</v>
      </c>
      <c r="BU30" s="9">
        <f t="shared" si="23"/>
        <v>0</v>
      </c>
      <c r="BV30" s="9">
        <f t="shared" si="23"/>
        <v>0</v>
      </c>
      <c r="BW30" s="9">
        <f t="shared" si="23"/>
        <v>0</v>
      </c>
      <c r="BX30" s="9">
        <f t="shared" si="23"/>
        <v>0</v>
      </c>
      <c r="BY30" s="9">
        <f t="shared" si="23"/>
        <v>0</v>
      </c>
      <c r="BZ30" s="9">
        <f t="shared" si="23"/>
        <v>0</v>
      </c>
      <c r="CA30" s="9">
        <f t="shared" ref="CA30:DF30" si="24">CA40</f>
        <v>0</v>
      </c>
      <c r="CB30" s="9">
        <f t="shared" si="24"/>
        <v>0</v>
      </c>
      <c r="CC30" s="9">
        <f t="shared" si="24"/>
        <v>0</v>
      </c>
      <c r="CD30" s="9">
        <f t="shared" si="24"/>
        <v>0</v>
      </c>
      <c r="CE30" s="9">
        <f t="shared" si="24"/>
        <v>0</v>
      </c>
      <c r="CF30" s="9">
        <f t="shared" si="24"/>
        <v>0</v>
      </c>
      <c r="CG30" s="9">
        <f t="shared" si="24"/>
        <v>0</v>
      </c>
      <c r="CH30" s="9">
        <f t="shared" si="24"/>
        <v>0</v>
      </c>
      <c r="CI30" s="9">
        <f t="shared" si="24"/>
        <v>0</v>
      </c>
      <c r="CJ30" s="9">
        <f t="shared" si="24"/>
        <v>0</v>
      </c>
      <c r="CK30" s="9">
        <f t="shared" si="24"/>
        <v>0</v>
      </c>
      <c r="CL30" s="9">
        <f t="shared" si="24"/>
        <v>0</v>
      </c>
      <c r="CM30" s="9">
        <f t="shared" si="24"/>
        <v>0</v>
      </c>
      <c r="CN30" s="9">
        <f t="shared" si="24"/>
        <v>0</v>
      </c>
      <c r="CO30" s="9">
        <f t="shared" si="24"/>
        <v>0</v>
      </c>
      <c r="CP30" s="9">
        <f t="shared" si="24"/>
        <v>0</v>
      </c>
      <c r="CQ30" s="9">
        <f t="shared" si="24"/>
        <v>0</v>
      </c>
      <c r="CR30" s="9">
        <f t="shared" si="24"/>
        <v>0</v>
      </c>
      <c r="CS30" s="9">
        <f t="shared" si="24"/>
        <v>0</v>
      </c>
      <c r="CT30" s="9">
        <f t="shared" si="24"/>
        <v>0</v>
      </c>
      <c r="CU30" s="9">
        <f t="shared" si="24"/>
        <v>0</v>
      </c>
      <c r="CV30" s="9">
        <f t="shared" si="24"/>
        <v>0</v>
      </c>
      <c r="CW30" s="9">
        <f t="shared" si="24"/>
        <v>0</v>
      </c>
      <c r="CX30" s="9">
        <f t="shared" si="24"/>
        <v>0</v>
      </c>
      <c r="CY30" s="9">
        <f t="shared" si="24"/>
        <v>0</v>
      </c>
      <c r="CZ30" s="9">
        <f t="shared" si="24"/>
        <v>0</v>
      </c>
      <c r="DA30" s="9">
        <f t="shared" si="24"/>
        <v>0</v>
      </c>
      <c r="DB30" s="9">
        <f t="shared" si="24"/>
        <v>0</v>
      </c>
      <c r="DC30" s="9">
        <f t="shared" si="24"/>
        <v>0</v>
      </c>
      <c r="DD30" s="9">
        <f t="shared" si="24"/>
        <v>0</v>
      </c>
      <c r="DE30" s="9">
        <f t="shared" si="24"/>
        <v>0</v>
      </c>
      <c r="DF30" s="9">
        <f t="shared" si="24"/>
        <v>0</v>
      </c>
      <c r="DG30" s="10">
        <f t="shared" ref="DG30:EL30" si="25">DG40</f>
        <v>0</v>
      </c>
      <c r="DH30" s="10">
        <f t="shared" si="25"/>
        <v>0</v>
      </c>
      <c r="DI30" s="10">
        <f t="shared" si="25"/>
        <v>0</v>
      </c>
      <c r="DJ30" s="10">
        <f t="shared" si="25"/>
        <v>0</v>
      </c>
      <c r="DK30" s="10">
        <f t="shared" si="25"/>
        <v>0</v>
      </c>
      <c r="DL30" s="10">
        <f t="shared" si="25"/>
        <v>0</v>
      </c>
      <c r="DM30" s="10">
        <f t="shared" si="25"/>
        <v>0</v>
      </c>
      <c r="DN30" s="10">
        <f t="shared" si="25"/>
        <v>0</v>
      </c>
      <c r="DO30" s="10">
        <f t="shared" si="25"/>
        <v>0</v>
      </c>
      <c r="DP30" s="10">
        <f t="shared" si="25"/>
        <v>0</v>
      </c>
      <c r="DQ30" s="10">
        <f t="shared" si="25"/>
        <v>0</v>
      </c>
      <c r="DR30" s="10">
        <f t="shared" si="25"/>
        <v>0</v>
      </c>
      <c r="DS30" s="10">
        <f t="shared" si="25"/>
        <v>0</v>
      </c>
      <c r="DT30" s="10">
        <f t="shared" si="25"/>
        <v>0</v>
      </c>
      <c r="DU30" s="10">
        <f t="shared" si="25"/>
        <v>0</v>
      </c>
      <c r="DV30" s="10">
        <f t="shared" si="25"/>
        <v>0</v>
      </c>
      <c r="DW30" s="10">
        <f t="shared" si="25"/>
        <v>0</v>
      </c>
      <c r="DX30" s="10">
        <f t="shared" si="25"/>
        <v>0</v>
      </c>
      <c r="DY30" s="10">
        <f t="shared" si="25"/>
        <v>0</v>
      </c>
      <c r="DZ30" s="10">
        <f t="shared" si="25"/>
        <v>0</v>
      </c>
      <c r="EA30" s="10">
        <f t="shared" si="25"/>
        <v>0</v>
      </c>
      <c r="EB30" s="10">
        <f t="shared" si="25"/>
        <v>0</v>
      </c>
      <c r="EC30" s="10">
        <f t="shared" si="25"/>
        <v>0</v>
      </c>
      <c r="ED30" s="10">
        <f t="shared" si="25"/>
        <v>0</v>
      </c>
      <c r="EE30" s="10">
        <f t="shared" si="25"/>
        <v>0</v>
      </c>
      <c r="EF30" s="10">
        <f t="shared" si="25"/>
        <v>0</v>
      </c>
      <c r="EG30" s="10">
        <f t="shared" si="25"/>
        <v>0</v>
      </c>
      <c r="EH30" s="10">
        <f t="shared" si="25"/>
        <v>0</v>
      </c>
      <c r="EI30" s="10">
        <f t="shared" si="25"/>
        <v>0</v>
      </c>
      <c r="EJ30" s="10">
        <f t="shared" si="25"/>
        <v>0</v>
      </c>
      <c r="EK30" s="10">
        <f t="shared" si="25"/>
        <v>0</v>
      </c>
      <c r="EL30" s="10">
        <f t="shared" si="25"/>
        <v>0</v>
      </c>
      <c r="EM30" s="10">
        <f t="shared" ref="EM30:FR30" si="26">EM40</f>
        <v>0</v>
      </c>
      <c r="EN30" s="10">
        <f t="shared" si="26"/>
        <v>0</v>
      </c>
      <c r="EO30" s="10">
        <f t="shared" si="26"/>
        <v>0</v>
      </c>
      <c r="EP30" s="10">
        <f t="shared" si="26"/>
        <v>0</v>
      </c>
      <c r="EQ30" s="10">
        <f t="shared" si="26"/>
        <v>0</v>
      </c>
      <c r="ER30" s="10">
        <f t="shared" si="26"/>
        <v>0</v>
      </c>
      <c r="ES30" s="10">
        <f t="shared" si="26"/>
        <v>0</v>
      </c>
      <c r="ET30" s="10">
        <f t="shared" si="26"/>
        <v>0</v>
      </c>
      <c r="EU30" s="10">
        <f t="shared" si="26"/>
        <v>0</v>
      </c>
      <c r="EV30" s="10">
        <f t="shared" si="26"/>
        <v>0</v>
      </c>
      <c r="EW30" s="10">
        <f t="shared" si="26"/>
        <v>0</v>
      </c>
      <c r="EX30" s="10">
        <f t="shared" si="26"/>
        <v>0</v>
      </c>
      <c r="EY30" s="10">
        <f t="shared" si="26"/>
        <v>0</v>
      </c>
      <c r="EZ30" s="10">
        <f t="shared" si="26"/>
        <v>0</v>
      </c>
      <c r="FA30" s="10">
        <f t="shared" si="26"/>
        <v>0</v>
      </c>
      <c r="FB30" s="10">
        <f t="shared" si="26"/>
        <v>0</v>
      </c>
      <c r="FC30" s="10">
        <f t="shared" si="26"/>
        <v>0</v>
      </c>
      <c r="FD30" s="10">
        <f t="shared" si="26"/>
        <v>0</v>
      </c>
      <c r="FE30" s="10">
        <f t="shared" si="26"/>
        <v>0</v>
      </c>
      <c r="FF30" s="10">
        <f t="shared" si="26"/>
        <v>0</v>
      </c>
      <c r="FG30" s="10">
        <f t="shared" si="26"/>
        <v>0</v>
      </c>
      <c r="FH30" s="10">
        <f t="shared" si="26"/>
        <v>0</v>
      </c>
      <c r="FI30" s="10">
        <f t="shared" si="26"/>
        <v>0</v>
      </c>
      <c r="FJ30" s="10">
        <f t="shared" si="26"/>
        <v>0</v>
      </c>
      <c r="FK30" s="10">
        <f t="shared" si="26"/>
        <v>0</v>
      </c>
      <c r="FL30" s="10">
        <f t="shared" si="26"/>
        <v>0</v>
      </c>
      <c r="FM30" s="10">
        <f t="shared" si="26"/>
        <v>0</v>
      </c>
      <c r="FN30" s="10">
        <f t="shared" si="26"/>
        <v>0</v>
      </c>
      <c r="FO30" s="10">
        <f t="shared" si="26"/>
        <v>0</v>
      </c>
      <c r="FP30" s="10">
        <f t="shared" si="26"/>
        <v>0</v>
      </c>
      <c r="FQ30" s="10">
        <f t="shared" si="26"/>
        <v>0</v>
      </c>
      <c r="FR30" s="10">
        <f t="shared" si="26"/>
        <v>0</v>
      </c>
      <c r="FS30" s="10">
        <f t="shared" ref="FS30:GX30" si="27">FS40</f>
        <v>0</v>
      </c>
      <c r="FT30" s="10">
        <f t="shared" si="27"/>
        <v>0</v>
      </c>
      <c r="FU30" s="10">
        <f t="shared" si="27"/>
        <v>0</v>
      </c>
      <c r="FV30" s="10">
        <f t="shared" si="27"/>
        <v>0</v>
      </c>
      <c r="FW30" s="10">
        <f t="shared" si="27"/>
        <v>0</v>
      </c>
      <c r="FX30" s="10">
        <f t="shared" si="27"/>
        <v>0</v>
      </c>
      <c r="FY30" s="10">
        <f t="shared" si="27"/>
        <v>0</v>
      </c>
      <c r="FZ30" s="10">
        <f t="shared" si="27"/>
        <v>0</v>
      </c>
      <c r="GA30" s="10">
        <f t="shared" si="27"/>
        <v>0</v>
      </c>
      <c r="GB30" s="10">
        <f t="shared" si="27"/>
        <v>0</v>
      </c>
      <c r="GC30" s="10">
        <f t="shared" si="27"/>
        <v>0</v>
      </c>
      <c r="GD30" s="10">
        <f t="shared" si="27"/>
        <v>0</v>
      </c>
      <c r="GE30" s="10">
        <f t="shared" si="27"/>
        <v>0</v>
      </c>
      <c r="GF30" s="10">
        <f t="shared" si="27"/>
        <v>0</v>
      </c>
      <c r="GG30" s="10">
        <f t="shared" si="27"/>
        <v>0</v>
      </c>
      <c r="GH30" s="10">
        <f t="shared" si="27"/>
        <v>0</v>
      </c>
      <c r="GI30" s="10">
        <f t="shared" si="27"/>
        <v>0</v>
      </c>
      <c r="GJ30" s="10">
        <f t="shared" si="27"/>
        <v>0</v>
      </c>
      <c r="GK30" s="10">
        <f t="shared" si="27"/>
        <v>0</v>
      </c>
      <c r="GL30" s="10">
        <f t="shared" si="27"/>
        <v>0</v>
      </c>
      <c r="GM30" s="10">
        <f t="shared" si="27"/>
        <v>0</v>
      </c>
      <c r="GN30" s="10">
        <f t="shared" si="27"/>
        <v>0</v>
      </c>
      <c r="GO30" s="10">
        <f t="shared" si="27"/>
        <v>0</v>
      </c>
      <c r="GP30" s="10">
        <f t="shared" si="27"/>
        <v>0</v>
      </c>
      <c r="GQ30" s="10">
        <f t="shared" si="27"/>
        <v>0</v>
      </c>
      <c r="GR30" s="10">
        <f t="shared" si="27"/>
        <v>0</v>
      </c>
      <c r="GS30" s="10">
        <f t="shared" si="27"/>
        <v>0</v>
      </c>
      <c r="GT30" s="10">
        <f t="shared" si="27"/>
        <v>0</v>
      </c>
      <c r="GU30" s="10">
        <f t="shared" si="27"/>
        <v>0</v>
      </c>
      <c r="GV30" s="10">
        <f t="shared" si="27"/>
        <v>0</v>
      </c>
      <c r="GW30" s="10">
        <f t="shared" si="27"/>
        <v>0</v>
      </c>
      <c r="GX30" s="10">
        <f t="shared" si="27"/>
        <v>0</v>
      </c>
    </row>
    <row r="32" spans="1:245" x14ac:dyDescent="0.2">
      <c r="A32" s="2">
        <v>17</v>
      </c>
      <c r="B32" s="2">
        <v>0</v>
      </c>
      <c r="C32" s="2">
        <f>ROW(SmtRes!A2)</f>
        <v>2</v>
      </c>
      <c r="D32" s="2">
        <f>ROW(EtalonRes!A2)</f>
        <v>2</v>
      </c>
      <c r="E32" s="2" t="s">
        <v>19</v>
      </c>
      <c r="F32" s="2" t="s">
        <v>20</v>
      </c>
      <c r="G32" s="2" t="s">
        <v>21</v>
      </c>
      <c r="H32" s="2" t="s">
        <v>22</v>
      </c>
      <c r="I32" s="2">
        <f>ROUND(1/100,9)</f>
        <v>0.01</v>
      </c>
      <c r="J32" s="2">
        <v>0</v>
      </c>
      <c r="K32" s="2">
        <f>ROUND(1/100,9)</f>
        <v>0.01</v>
      </c>
      <c r="O32" s="2">
        <f t="shared" ref="O32:O38" si="28">ROUND(CP32,2)</f>
        <v>1176.3699999999999</v>
      </c>
      <c r="P32" s="2">
        <f t="shared" ref="P32:P38" si="29">ROUND((ROUND((AC32*AW32*I32),2)*BC32),2)</f>
        <v>0</v>
      </c>
      <c r="Q32" s="2">
        <f>(ROUND((ROUND(((ET32)*AV32*I32),2)*BB32),2)+ROUND((ROUND(((AE32-(EU32))*AV32*I32),2)*BS32),2))</f>
        <v>0</v>
      </c>
      <c r="R32" s="2">
        <f>(ROUND((ROUND(((EU32)*AV32*I32),2)*BS32),2)+ROUND((ROUND(((AE32-(EU32))*AV32*I32),2)*BS32),2))</f>
        <v>0</v>
      </c>
      <c r="S32" s="2">
        <f t="shared" ref="S32:S38" si="30">ROUND((ROUND((AF32*AV32*I32),2)*BA32),2)</f>
        <v>1176.3699999999999</v>
      </c>
      <c r="T32" s="2">
        <f t="shared" ref="T32:T38" si="31">ROUND(CU32*I32,2)</f>
        <v>0</v>
      </c>
      <c r="U32" s="2">
        <f t="shared" ref="U32:U38" si="32">CV32*I32</f>
        <v>1.9603000000000002</v>
      </c>
      <c r="V32" s="2">
        <f t="shared" ref="V32:V38" si="33">CW32*I32</f>
        <v>0</v>
      </c>
      <c r="W32" s="2">
        <f t="shared" ref="W32:W38" si="34">ROUND(CX32*I32,2)</f>
        <v>0</v>
      </c>
      <c r="X32" s="2">
        <f>(ROUND((((S32+ROUND((ROUND(((EU32)*AV32*I32),2)*BS32),2))*AT32)/100),2)+ROUND(((ROUND((ROUND(((AE32-(EU32))*AV32*I32),2)*BS32),2)*AT32)/100),2))</f>
        <v>1058.73</v>
      </c>
      <c r="Y32" s="2">
        <f>(ROUND((((S32+ROUND((ROUND(((EU32)*AV32*I32),2)*BS32),2))*AU32)/100),2)+ROUND(((ROUND((ROUND(((AE32-(EU32))*AV32*I32),2)*BS32),2)*AU32)/100),2))</f>
        <v>552.89</v>
      </c>
      <c r="AA32" s="2">
        <v>56793366</v>
      </c>
      <c r="AB32" s="2">
        <f t="shared" ref="AB32:AB38" si="35">ROUND((AC32+AD32+AF32),6)</f>
        <v>2062.2399999999998</v>
      </c>
      <c r="AC32" s="2">
        <f>ROUND(((ES32*1)),6)</f>
        <v>0</v>
      </c>
      <c r="AD32" s="2">
        <f>ROUND((((ET32)-(EU32))+AE32),6)</f>
        <v>0</v>
      </c>
      <c r="AE32" s="2">
        <f t="shared" ref="AE32:AF35" si="36">ROUND((EU32),6)</f>
        <v>0</v>
      </c>
      <c r="AF32" s="2">
        <f t="shared" si="36"/>
        <v>2062.2399999999998</v>
      </c>
      <c r="AG32" s="2">
        <f t="shared" ref="AG32:AG38" si="37">ROUND((AP32),6)</f>
        <v>0</v>
      </c>
      <c r="AH32" s="2">
        <f t="shared" ref="AH32:AI35" si="38">(EW32)</f>
        <v>196.03</v>
      </c>
      <c r="AI32" s="2">
        <f t="shared" si="38"/>
        <v>0</v>
      </c>
      <c r="AJ32" s="2">
        <f t="shared" ref="AJ32:AJ38" si="39">(AS32)</f>
        <v>0</v>
      </c>
      <c r="AK32" s="2">
        <v>2062.2399999999998</v>
      </c>
      <c r="AL32" s="2">
        <v>0</v>
      </c>
      <c r="AM32" s="2">
        <v>0</v>
      </c>
      <c r="AN32" s="2">
        <v>0</v>
      </c>
      <c r="AO32" s="2">
        <v>2062.2399999999998</v>
      </c>
      <c r="AP32" s="2">
        <v>0</v>
      </c>
      <c r="AQ32" s="2">
        <v>196.03</v>
      </c>
      <c r="AR32" s="2">
        <v>0</v>
      </c>
      <c r="AS32" s="2">
        <v>0</v>
      </c>
      <c r="AT32" s="2">
        <v>90</v>
      </c>
      <c r="AU32" s="2">
        <v>47</v>
      </c>
      <c r="AV32" s="2">
        <v>1</v>
      </c>
      <c r="AW32" s="2">
        <v>1</v>
      </c>
      <c r="AZ32" s="2">
        <v>1</v>
      </c>
      <c r="BA32" s="2">
        <v>57.05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23</v>
      </c>
      <c r="BM32" s="2">
        <v>93</v>
      </c>
      <c r="BN32" s="2">
        <v>0</v>
      </c>
      <c r="BO32" s="2" t="s">
        <v>20</v>
      </c>
      <c r="BP32" s="2">
        <v>1</v>
      </c>
      <c r="BQ32" s="2">
        <v>60</v>
      </c>
      <c r="BR32" s="2">
        <v>0</v>
      </c>
      <c r="BS32" s="2">
        <v>57.05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90</v>
      </c>
      <c r="CA32" s="2">
        <v>47</v>
      </c>
      <c r="CB32" s="2" t="s">
        <v>3</v>
      </c>
      <c r="CE32" s="2">
        <v>1566</v>
      </c>
      <c r="CF32" s="2">
        <v>0</v>
      </c>
      <c r="CG32" s="2">
        <v>0</v>
      </c>
      <c r="CM32" s="2">
        <v>0</v>
      </c>
      <c r="CN32" s="2" t="s">
        <v>518</v>
      </c>
      <c r="CO32" s="2">
        <v>0</v>
      </c>
      <c r="CP32" s="2">
        <f t="shared" ref="CP32:CP38" si="40">(P32+Q32+S32)</f>
        <v>1176.3699999999999</v>
      </c>
      <c r="CQ32" s="2">
        <f t="shared" ref="CQ32:CQ38" si="41">ROUND((ROUND((AC32*AW32*1),2)*BC32),2)</f>
        <v>0</v>
      </c>
      <c r="CR32" s="2">
        <f>(ROUND((ROUND(((ET32)*AV32*1),2)*BB32),2)+ROUND((ROUND(((AE32-(EU32))*AV32*1),2)*BS32),2))</f>
        <v>0</v>
      </c>
      <c r="CS32" s="2">
        <f>(ROUND((ROUND(((EU32)*AV32*1),2)*BS32),2)+ROUND((ROUND(((AE32-(EU32))*AV32*1),2)*BS32),2))</f>
        <v>0</v>
      </c>
      <c r="CT32" s="2">
        <f t="shared" ref="CT32:CT38" si="42">ROUND((ROUND((AF32*AV32*1),2)*BA32),2)</f>
        <v>117650.79</v>
      </c>
      <c r="CU32" s="2">
        <f t="shared" ref="CU32:CU38" si="43">AG32</f>
        <v>0</v>
      </c>
      <c r="CV32" s="2">
        <f t="shared" ref="CV32:CV38" si="44">(AH32*AV32)</f>
        <v>196.03</v>
      </c>
      <c r="CW32" s="2">
        <f t="shared" ref="CW32:CX38" si="45">AI32</f>
        <v>0</v>
      </c>
      <c r="CX32" s="2">
        <f t="shared" si="45"/>
        <v>0</v>
      </c>
      <c r="CY32" s="2">
        <f>(ROUND((((S32+ROUND((ROUND(((EU32)*AV32*1),2)*BS32),2))*AT32)/100),2)+ROUND(((ROUND((ROUND(((AE32-(EU32))*AV32*1),2)*BS32),2)*AT32)/100),2))</f>
        <v>1058.73</v>
      </c>
      <c r="CZ32" s="2">
        <f>(ROUND((((S32+ROUND((ROUND(((EU32)*AV32*1),2)*BS32),2))*AU32)/100),2)+ROUND(((ROUND((ROUND(((AE32-(EU32))*AV32*1),2)*BS32),2)*AU32)/100),2))</f>
        <v>552.89</v>
      </c>
      <c r="DC32" s="2" t="s">
        <v>3</v>
      </c>
      <c r="DD32" s="2" t="s">
        <v>24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U32" s="2">
        <v>1010</v>
      </c>
      <c r="DV32" s="2" t="s">
        <v>22</v>
      </c>
      <c r="DW32" s="2" t="s">
        <v>22</v>
      </c>
      <c r="DX32" s="2">
        <v>100</v>
      </c>
      <c r="DZ32" s="2" t="s">
        <v>3</v>
      </c>
      <c r="EA32" s="2" t="s">
        <v>3</v>
      </c>
      <c r="EB32" s="2" t="s">
        <v>3</v>
      </c>
      <c r="EC32" s="2" t="s">
        <v>3</v>
      </c>
      <c r="EE32" s="2">
        <v>55896178</v>
      </c>
      <c r="EF32" s="2">
        <v>60</v>
      </c>
      <c r="EG32" s="2" t="s">
        <v>25</v>
      </c>
      <c r="EH32" s="2">
        <v>0</v>
      </c>
      <c r="EI32" s="2" t="s">
        <v>3</v>
      </c>
      <c r="EJ32" s="2">
        <v>1</v>
      </c>
      <c r="EK32" s="2">
        <v>93</v>
      </c>
      <c r="EL32" s="2" t="s">
        <v>26</v>
      </c>
      <c r="EM32" s="2" t="s">
        <v>27</v>
      </c>
      <c r="EO32" s="2" t="s">
        <v>28</v>
      </c>
      <c r="EQ32" s="2">
        <v>0</v>
      </c>
      <c r="ER32" s="2">
        <v>2062.2399999999998</v>
      </c>
      <c r="ES32" s="2">
        <v>0</v>
      </c>
      <c r="ET32" s="2">
        <v>0</v>
      </c>
      <c r="EU32" s="2">
        <v>0</v>
      </c>
      <c r="EV32" s="2">
        <v>2062.2399999999998</v>
      </c>
      <c r="EW32" s="2">
        <v>196.03</v>
      </c>
      <c r="EX32" s="2">
        <v>0</v>
      </c>
      <c r="EY32" s="2">
        <v>0</v>
      </c>
      <c r="FQ32" s="2">
        <v>0</v>
      </c>
      <c r="FR32" s="2">
        <v>0</v>
      </c>
      <c r="FS32" s="2">
        <v>0</v>
      </c>
      <c r="FX32" s="2">
        <v>90</v>
      </c>
      <c r="FY32" s="2">
        <v>47</v>
      </c>
      <c r="GA32" s="2" t="s">
        <v>3</v>
      </c>
      <c r="GD32" s="2">
        <v>1</v>
      </c>
      <c r="GF32" s="2">
        <v>1464718196</v>
      </c>
      <c r="GG32" s="2">
        <v>2</v>
      </c>
      <c r="GH32" s="2">
        <v>1</v>
      </c>
      <c r="GI32" s="2">
        <v>2</v>
      </c>
      <c r="GJ32" s="2">
        <v>0</v>
      </c>
      <c r="GK32" s="2">
        <v>0</v>
      </c>
      <c r="GL32" s="2">
        <f t="shared" ref="GL32:GL38" si="46">ROUND(IF(AND(BH32=3,BI32=3,FS32&lt;&gt;0),P32,0),2)</f>
        <v>0</v>
      </c>
      <c r="GM32" s="2">
        <f t="shared" ref="GM32:GM38" si="47">ROUND(O32+X32+Y32,2)+GX32</f>
        <v>2787.99</v>
      </c>
      <c r="GN32" s="2">
        <f t="shared" ref="GN32:GN38" si="48">IF(OR(BI32=0,BI32=1),GM32-GX32,0)</f>
        <v>2787.99</v>
      </c>
      <c r="GO32" s="2">
        <f t="shared" ref="GO32:GO38" si="49">IF(BI32=2,GM32-GX32,0)</f>
        <v>0</v>
      </c>
      <c r="GP32" s="2">
        <f t="shared" ref="GP32:GP38" si="50">IF(BI32=4,GM32-GX32,0)</f>
        <v>0</v>
      </c>
      <c r="GR32" s="2">
        <v>0</v>
      </c>
      <c r="GS32" s="2">
        <v>3</v>
      </c>
      <c r="GT32" s="2">
        <v>0</v>
      </c>
      <c r="GU32" s="2" t="s">
        <v>3</v>
      </c>
      <c r="GV32" s="2">
        <f t="shared" ref="GV32:GV38" si="51">ROUND((GT32),6)</f>
        <v>0</v>
      </c>
      <c r="GW32" s="2">
        <v>1</v>
      </c>
      <c r="GX32" s="2">
        <f t="shared" ref="GX32:GX38" si="52">ROUND(HC32*I32,2)</f>
        <v>0</v>
      </c>
      <c r="HA32" s="2">
        <v>0</v>
      </c>
      <c r="HB32" s="2">
        <v>0</v>
      </c>
      <c r="HC32" s="2">
        <f t="shared" ref="HC32:HC38" si="53">GV32*GW32</f>
        <v>0</v>
      </c>
      <c r="HE32" s="2" t="s">
        <v>3</v>
      </c>
      <c r="HF32" s="2" t="s">
        <v>3</v>
      </c>
      <c r="HM32" s="2" t="s">
        <v>3</v>
      </c>
      <c r="HN32" s="2" t="s">
        <v>3</v>
      </c>
      <c r="HO32" s="2" t="s">
        <v>3</v>
      </c>
      <c r="HP32" s="2" t="s">
        <v>3</v>
      </c>
      <c r="HQ32" s="2" t="s">
        <v>3</v>
      </c>
      <c r="HS32" s="2">
        <v>0</v>
      </c>
      <c r="IK32" s="2">
        <v>0</v>
      </c>
    </row>
    <row r="33" spans="1:245" x14ac:dyDescent="0.2">
      <c r="A33" s="2">
        <v>17</v>
      </c>
      <c r="B33" s="2">
        <v>0</v>
      </c>
      <c r="C33" s="2">
        <f>ROW(SmtRes!A4)</f>
        <v>4</v>
      </c>
      <c r="D33" s="2">
        <f>ROW(EtalonRes!A4)</f>
        <v>4</v>
      </c>
      <c r="E33" s="2" t="s">
        <v>29</v>
      </c>
      <c r="F33" s="2" t="s">
        <v>30</v>
      </c>
      <c r="G33" s="2" t="s">
        <v>31</v>
      </c>
      <c r="H33" s="2" t="s">
        <v>32</v>
      </c>
      <c r="I33" s="2">
        <f>ROUND(1.8/100,9)</f>
        <v>1.7999999999999999E-2</v>
      </c>
      <c r="J33" s="2">
        <v>0</v>
      </c>
      <c r="K33" s="2">
        <f>ROUND(1.8/100,9)</f>
        <v>1.7999999999999999E-2</v>
      </c>
      <c r="O33" s="2">
        <f t="shared" si="28"/>
        <v>387.94</v>
      </c>
      <c r="P33" s="2">
        <f t="shared" si="29"/>
        <v>0</v>
      </c>
      <c r="Q33" s="2">
        <f>(ROUND((ROUND(((ET33)*AV33*I33),2)*BB33),2)+ROUND((ROUND(((AE33-(EU33))*AV33*I33),2)*BS33),2))</f>
        <v>0</v>
      </c>
      <c r="R33" s="2">
        <f>(ROUND((ROUND(((EU33)*AV33*I33),2)*BS33),2)+ROUND((ROUND(((AE33-(EU33))*AV33*I33),2)*BS33),2))</f>
        <v>0</v>
      </c>
      <c r="S33" s="2">
        <f t="shared" si="30"/>
        <v>387.94</v>
      </c>
      <c r="T33" s="2">
        <f t="shared" si="31"/>
        <v>0</v>
      </c>
      <c r="U33" s="2">
        <f t="shared" si="32"/>
        <v>0.65303999999999995</v>
      </c>
      <c r="V33" s="2">
        <f t="shared" si="33"/>
        <v>0</v>
      </c>
      <c r="W33" s="2">
        <f t="shared" si="34"/>
        <v>0</v>
      </c>
      <c r="X33" s="2">
        <f>(ROUND((((S33+ROUND((ROUND(((EU33)*AV33*I33),2)*BS33),2))*AT33)/100),2)+ROUND(((ROUND((ROUND(((AE33-(EU33))*AV33*I33),2)*BS33),2)*AT33)/100),2))</f>
        <v>349.15</v>
      </c>
      <c r="Y33" s="2">
        <f>(ROUND((((S33+ROUND((ROUND(((EU33)*AV33*I33),2)*BS33),2))*AU33)/100),2)+ROUND(((ROUND((ROUND(((AE33-(EU33))*AV33*I33),2)*BS33),2)*AU33)/100),2))</f>
        <v>182.33</v>
      </c>
      <c r="AA33" s="2">
        <v>56793366</v>
      </c>
      <c r="AB33" s="2">
        <f t="shared" si="35"/>
        <v>377.67</v>
      </c>
      <c r="AC33" s="2">
        <f>ROUND(((ES33*1)),6)</f>
        <v>0</v>
      </c>
      <c r="AD33" s="2">
        <f>ROUND((((ET33)-(EU33))+AE33),6)</f>
        <v>0</v>
      </c>
      <c r="AE33" s="2">
        <f t="shared" si="36"/>
        <v>0</v>
      </c>
      <c r="AF33" s="2">
        <f t="shared" si="36"/>
        <v>377.67</v>
      </c>
      <c r="AG33" s="2">
        <f t="shared" si="37"/>
        <v>0</v>
      </c>
      <c r="AH33" s="2">
        <f t="shared" si="38"/>
        <v>36.28</v>
      </c>
      <c r="AI33" s="2">
        <f t="shared" si="38"/>
        <v>0</v>
      </c>
      <c r="AJ33" s="2">
        <f t="shared" si="39"/>
        <v>0</v>
      </c>
      <c r="AK33" s="2">
        <v>377.67</v>
      </c>
      <c r="AL33" s="2">
        <v>0</v>
      </c>
      <c r="AM33" s="2">
        <v>0</v>
      </c>
      <c r="AN33" s="2">
        <v>0</v>
      </c>
      <c r="AO33" s="2">
        <v>377.67</v>
      </c>
      <c r="AP33" s="2">
        <v>0</v>
      </c>
      <c r="AQ33" s="2">
        <v>36.28</v>
      </c>
      <c r="AR33" s="2">
        <v>0</v>
      </c>
      <c r="AS33" s="2">
        <v>0</v>
      </c>
      <c r="AT33" s="2">
        <v>90</v>
      </c>
      <c r="AU33" s="2">
        <v>47</v>
      </c>
      <c r="AV33" s="2">
        <v>1</v>
      </c>
      <c r="AW33" s="2">
        <v>1</v>
      </c>
      <c r="AZ33" s="2">
        <v>1</v>
      </c>
      <c r="BA33" s="2">
        <v>57.05</v>
      </c>
      <c r="BB33" s="2">
        <v>1</v>
      </c>
      <c r="BC33" s="2">
        <v>1</v>
      </c>
      <c r="BD33" s="2" t="s">
        <v>3</v>
      </c>
      <c r="BE33" s="2" t="s">
        <v>3</v>
      </c>
      <c r="BF33" s="2" t="s">
        <v>3</v>
      </c>
      <c r="BG33" s="2" t="s">
        <v>3</v>
      </c>
      <c r="BH33" s="2">
        <v>0</v>
      </c>
      <c r="BI33" s="2">
        <v>1</v>
      </c>
      <c r="BJ33" s="2" t="s">
        <v>33</v>
      </c>
      <c r="BM33" s="2">
        <v>93</v>
      </c>
      <c r="BN33" s="2">
        <v>0</v>
      </c>
      <c r="BO33" s="2" t="s">
        <v>30</v>
      </c>
      <c r="BP33" s="2">
        <v>1</v>
      </c>
      <c r="BQ33" s="2">
        <v>60</v>
      </c>
      <c r="BR33" s="2">
        <v>0</v>
      </c>
      <c r="BS33" s="2">
        <v>57.05</v>
      </c>
      <c r="BT33" s="2">
        <v>1</v>
      </c>
      <c r="BU33" s="2">
        <v>1</v>
      </c>
      <c r="BV33" s="2">
        <v>1</v>
      </c>
      <c r="BW33" s="2">
        <v>1</v>
      </c>
      <c r="BX33" s="2">
        <v>1</v>
      </c>
      <c r="BY33" s="2" t="s">
        <v>3</v>
      </c>
      <c r="BZ33" s="2">
        <v>90</v>
      </c>
      <c r="CA33" s="2">
        <v>47</v>
      </c>
      <c r="CB33" s="2" t="s">
        <v>3</v>
      </c>
      <c r="CE33" s="2">
        <v>1566</v>
      </c>
      <c r="CF33" s="2">
        <v>0</v>
      </c>
      <c r="CG33" s="2">
        <v>0</v>
      </c>
      <c r="CM33" s="2">
        <v>0</v>
      </c>
      <c r="CN33" s="2" t="s">
        <v>518</v>
      </c>
      <c r="CO33" s="2">
        <v>0</v>
      </c>
      <c r="CP33" s="2">
        <f t="shared" si="40"/>
        <v>387.94</v>
      </c>
      <c r="CQ33" s="2">
        <f t="shared" si="41"/>
        <v>0</v>
      </c>
      <c r="CR33" s="2">
        <f>(ROUND((ROUND(((ET33)*AV33*1),2)*BB33),2)+ROUND((ROUND(((AE33-(EU33))*AV33*1),2)*BS33),2))</f>
        <v>0</v>
      </c>
      <c r="CS33" s="2">
        <f>(ROUND((ROUND(((EU33)*AV33*1),2)*BS33),2)+ROUND((ROUND(((AE33-(EU33))*AV33*1),2)*BS33),2))</f>
        <v>0</v>
      </c>
      <c r="CT33" s="2">
        <f t="shared" si="42"/>
        <v>21546.07</v>
      </c>
      <c r="CU33" s="2">
        <f t="shared" si="43"/>
        <v>0</v>
      </c>
      <c r="CV33" s="2">
        <f t="shared" si="44"/>
        <v>36.28</v>
      </c>
      <c r="CW33" s="2">
        <f t="shared" si="45"/>
        <v>0</v>
      </c>
      <c r="CX33" s="2">
        <f t="shared" si="45"/>
        <v>0</v>
      </c>
      <c r="CY33" s="2">
        <f>(ROUND((((S33+ROUND((ROUND(((EU33)*AV33*1),2)*BS33),2))*AT33)/100),2)+ROUND(((ROUND((ROUND(((AE33-(EU33))*AV33*1),2)*BS33),2)*AT33)/100),2))</f>
        <v>349.15</v>
      </c>
      <c r="CZ33" s="2">
        <f>(ROUND((((S33+ROUND((ROUND(((EU33)*AV33*1),2)*BS33),2))*AU33)/100),2)+ROUND(((ROUND((ROUND(((AE33-(EU33))*AV33*1),2)*BS33),2)*AU33)/100),2))</f>
        <v>182.33</v>
      </c>
      <c r="DC33" s="2" t="s">
        <v>3</v>
      </c>
      <c r="DD33" s="2" t="s">
        <v>24</v>
      </c>
      <c r="DE33" s="2" t="s">
        <v>3</v>
      </c>
      <c r="DF33" s="2" t="s">
        <v>3</v>
      </c>
      <c r="DG33" s="2" t="s">
        <v>3</v>
      </c>
      <c r="DH33" s="2" t="s">
        <v>3</v>
      </c>
      <c r="DI33" s="2" t="s">
        <v>3</v>
      </c>
      <c r="DJ33" s="2" t="s">
        <v>3</v>
      </c>
      <c r="DK33" s="2" t="s">
        <v>3</v>
      </c>
      <c r="DL33" s="2" t="s">
        <v>3</v>
      </c>
      <c r="DM33" s="2" t="s">
        <v>3</v>
      </c>
      <c r="DN33" s="2">
        <v>0</v>
      </c>
      <c r="DO33" s="2">
        <v>0</v>
      </c>
      <c r="DP33" s="2">
        <v>1</v>
      </c>
      <c r="DQ33" s="2">
        <v>1</v>
      </c>
      <c r="DU33" s="2">
        <v>1005</v>
      </c>
      <c r="DV33" s="2" t="s">
        <v>32</v>
      </c>
      <c r="DW33" s="2" t="s">
        <v>32</v>
      </c>
      <c r="DX33" s="2">
        <v>100</v>
      </c>
      <c r="DZ33" s="2" t="s">
        <v>3</v>
      </c>
      <c r="EA33" s="2" t="s">
        <v>3</v>
      </c>
      <c r="EB33" s="2" t="s">
        <v>3</v>
      </c>
      <c r="EC33" s="2" t="s">
        <v>3</v>
      </c>
      <c r="EE33" s="2">
        <v>55896178</v>
      </c>
      <c r="EF33" s="2">
        <v>60</v>
      </c>
      <c r="EG33" s="2" t="s">
        <v>25</v>
      </c>
      <c r="EH33" s="2">
        <v>0</v>
      </c>
      <c r="EI33" s="2" t="s">
        <v>3</v>
      </c>
      <c r="EJ33" s="2">
        <v>1</v>
      </c>
      <c r="EK33" s="2">
        <v>93</v>
      </c>
      <c r="EL33" s="2" t="s">
        <v>26</v>
      </c>
      <c r="EM33" s="2" t="s">
        <v>27</v>
      </c>
      <c r="EO33" s="2" t="s">
        <v>28</v>
      </c>
      <c r="EQ33" s="2">
        <v>0</v>
      </c>
      <c r="ER33" s="2">
        <v>377.67</v>
      </c>
      <c r="ES33" s="2">
        <v>0</v>
      </c>
      <c r="ET33" s="2">
        <v>0</v>
      </c>
      <c r="EU33" s="2">
        <v>0</v>
      </c>
      <c r="EV33" s="2">
        <v>377.67</v>
      </c>
      <c r="EW33" s="2">
        <v>36.28</v>
      </c>
      <c r="EX33" s="2">
        <v>0</v>
      </c>
      <c r="EY33" s="2">
        <v>0</v>
      </c>
      <c r="FQ33" s="2">
        <v>0</v>
      </c>
      <c r="FR33" s="2">
        <v>0</v>
      </c>
      <c r="FS33" s="2">
        <v>0</v>
      </c>
      <c r="FX33" s="2">
        <v>90</v>
      </c>
      <c r="FY33" s="2">
        <v>47</v>
      </c>
      <c r="GA33" s="2" t="s">
        <v>3</v>
      </c>
      <c r="GD33" s="2">
        <v>1</v>
      </c>
      <c r="GF33" s="2">
        <v>2020213974</v>
      </c>
      <c r="GG33" s="2">
        <v>2</v>
      </c>
      <c r="GH33" s="2">
        <v>1</v>
      </c>
      <c r="GI33" s="2">
        <v>2</v>
      </c>
      <c r="GJ33" s="2">
        <v>0</v>
      </c>
      <c r="GK33" s="2">
        <v>0</v>
      </c>
      <c r="GL33" s="2">
        <f t="shared" si="46"/>
        <v>0</v>
      </c>
      <c r="GM33" s="2">
        <f t="shared" si="47"/>
        <v>919.42</v>
      </c>
      <c r="GN33" s="2">
        <f t="shared" si="48"/>
        <v>919.42</v>
      </c>
      <c r="GO33" s="2">
        <f t="shared" si="49"/>
        <v>0</v>
      </c>
      <c r="GP33" s="2">
        <f t="shared" si="50"/>
        <v>0</v>
      </c>
      <c r="GR33" s="2">
        <v>0</v>
      </c>
      <c r="GS33" s="2">
        <v>3</v>
      </c>
      <c r="GT33" s="2">
        <v>0</v>
      </c>
      <c r="GU33" s="2" t="s">
        <v>3</v>
      </c>
      <c r="GV33" s="2">
        <f t="shared" si="51"/>
        <v>0</v>
      </c>
      <c r="GW33" s="2">
        <v>1</v>
      </c>
      <c r="GX33" s="2">
        <f t="shared" si="52"/>
        <v>0</v>
      </c>
      <c r="HA33" s="2">
        <v>0</v>
      </c>
      <c r="HB33" s="2">
        <v>0</v>
      </c>
      <c r="HC33" s="2">
        <f t="shared" si="53"/>
        <v>0</v>
      </c>
      <c r="HE33" s="2" t="s">
        <v>3</v>
      </c>
      <c r="HF33" s="2" t="s">
        <v>3</v>
      </c>
      <c r="HM33" s="2" t="s">
        <v>3</v>
      </c>
      <c r="HN33" s="2" t="s">
        <v>3</v>
      </c>
      <c r="HO33" s="2" t="s">
        <v>3</v>
      </c>
      <c r="HP33" s="2" t="s">
        <v>3</v>
      </c>
      <c r="HQ33" s="2" t="s">
        <v>3</v>
      </c>
      <c r="HS33" s="2">
        <v>0</v>
      </c>
      <c r="IK33" s="2">
        <v>0</v>
      </c>
    </row>
    <row r="34" spans="1:245" x14ac:dyDescent="0.2">
      <c r="A34" s="2">
        <v>17</v>
      </c>
      <c r="B34" s="2">
        <v>0</v>
      </c>
      <c r="C34" s="2">
        <f>ROW(SmtRes!A11)</f>
        <v>11</v>
      </c>
      <c r="D34" s="2">
        <f>ROW(EtalonRes!A11)</f>
        <v>11</v>
      </c>
      <c r="E34" s="2" t="s">
        <v>34</v>
      </c>
      <c r="F34" s="2" t="s">
        <v>35</v>
      </c>
      <c r="G34" s="2" t="s">
        <v>36</v>
      </c>
      <c r="H34" s="2" t="s">
        <v>32</v>
      </c>
      <c r="I34" s="2">
        <f>ROUND(2/100,9)</f>
        <v>0.02</v>
      </c>
      <c r="J34" s="2">
        <v>0</v>
      </c>
      <c r="K34" s="2">
        <f>ROUND(2/100,9)</f>
        <v>0.02</v>
      </c>
      <c r="O34" s="2">
        <f t="shared" si="28"/>
        <v>2772.55</v>
      </c>
      <c r="P34" s="2">
        <f t="shared" si="29"/>
        <v>310.83999999999997</v>
      </c>
      <c r="Q34" s="2">
        <f>(ROUND((ROUND(((ET34)*AV34*I34),2)*BB34),2)+ROUND((ROUND(((AE34-(EU34))*AV34*I34),2)*BS34),2))</f>
        <v>0</v>
      </c>
      <c r="R34" s="2">
        <f>(ROUND((ROUND(((EU34)*AV34*I34),2)*BS34),2)+ROUND((ROUND(((AE34-(EU34))*AV34*I34),2)*BS34),2))</f>
        <v>0</v>
      </c>
      <c r="S34" s="2">
        <f t="shared" si="30"/>
        <v>2461.71</v>
      </c>
      <c r="T34" s="2">
        <f t="shared" si="31"/>
        <v>0</v>
      </c>
      <c r="U34" s="2">
        <f t="shared" si="32"/>
        <v>3.86</v>
      </c>
      <c r="V34" s="2">
        <f t="shared" si="33"/>
        <v>0</v>
      </c>
      <c r="W34" s="2">
        <f t="shared" si="34"/>
        <v>0</v>
      </c>
      <c r="X34" s="2">
        <f>(ROUND((((S34+ROUND((ROUND(((EU34)*AV34*I34),2)*BS34),2))*AT34)/100),2)+ROUND(((ROUND((ROUND(((AE34-(EU34))*AV34*I34),2)*BS34),2)*AT34)/100),2))</f>
        <v>2215.54</v>
      </c>
      <c r="Y34" s="2">
        <f>(ROUND((((S34+ROUND((ROUND(((EU34)*AV34*I34),2)*BS34),2))*AU34)/100),2)+ROUND(((ROUND((ROUND(((AE34-(EU34))*AV34*I34),2)*BS34),2)*AU34)/100),2))</f>
        <v>1157</v>
      </c>
      <c r="AA34" s="2">
        <v>56793366</v>
      </c>
      <c r="AB34" s="2">
        <f t="shared" si="35"/>
        <v>3512.65</v>
      </c>
      <c r="AC34" s="2">
        <f>ROUND(((ES34*1)),6)</f>
        <v>1354.91</v>
      </c>
      <c r="AD34" s="2">
        <f>ROUND((((ET34)-(EU34))+AE34),6)</f>
        <v>0</v>
      </c>
      <c r="AE34" s="2">
        <f t="shared" si="36"/>
        <v>0</v>
      </c>
      <c r="AF34" s="2">
        <f t="shared" si="36"/>
        <v>2157.7399999999998</v>
      </c>
      <c r="AG34" s="2">
        <f t="shared" si="37"/>
        <v>0</v>
      </c>
      <c r="AH34" s="2">
        <f t="shared" si="38"/>
        <v>193</v>
      </c>
      <c r="AI34" s="2">
        <f t="shared" si="38"/>
        <v>0</v>
      </c>
      <c r="AJ34" s="2">
        <f t="shared" si="39"/>
        <v>0</v>
      </c>
      <c r="AK34" s="2">
        <v>3512.65</v>
      </c>
      <c r="AL34" s="2">
        <v>1354.91</v>
      </c>
      <c r="AM34" s="2">
        <v>0</v>
      </c>
      <c r="AN34" s="2">
        <v>0</v>
      </c>
      <c r="AO34" s="2">
        <v>2157.7399999999998</v>
      </c>
      <c r="AP34" s="2">
        <v>0</v>
      </c>
      <c r="AQ34" s="2">
        <v>193</v>
      </c>
      <c r="AR34" s="2">
        <v>0</v>
      </c>
      <c r="AS34" s="2">
        <v>0</v>
      </c>
      <c r="AT34" s="2">
        <v>90</v>
      </c>
      <c r="AU34" s="2">
        <v>47</v>
      </c>
      <c r="AV34" s="2">
        <v>1</v>
      </c>
      <c r="AW34" s="2">
        <v>1</v>
      </c>
      <c r="AZ34" s="2">
        <v>1</v>
      </c>
      <c r="BA34" s="2">
        <v>57.05</v>
      </c>
      <c r="BB34" s="2">
        <v>1</v>
      </c>
      <c r="BC34" s="2">
        <v>11.47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37</v>
      </c>
      <c r="BM34" s="2">
        <v>93</v>
      </c>
      <c r="BN34" s="2">
        <v>0</v>
      </c>
      <c r="BO34" s="2" t="s">
        <v>35</v>
      </c>
      <c r="BP34" s="2">
        <v>1</v>
      </c>
      <c r="BQ34" s="2">
        <v>60</v>
      </c>
      <c r="BR34" s="2">
        <v>0</v>
      </c>
      <c r="BS34" s="2">
        <v>57.05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90</v>
      </c>
      <c r="CA34" s="2">
        <v>47</v>
      </c>
      <c r="CB34" s="2" t="s">
        <v>3</v>
      </c>
      <c r="CE34" s="2">
        <v>1566</v>
      </c>
      <c r="CF34" s="2">
        <v>0</v>
      </c>
      <c r="CG34" s="2">
        <v>0</v>
      </c>
      <c r="CM34" s="2">
        <v>0</v>
      </c>
      <c r="CN34" s="2" t="s">
        <v>518</v>
      </c>
      <c r="CO34" s="2">
        <v>0</v>
      </c>
      <c r="CP34" s="2">
        <f t="shared" si="40"/>
        <v>2772.55</v>
      </c>
      <c r="CQ34" s="2">
        <f t="shared" si="41"/>
        <v>15540.82</v>
      </c>
      <c r="CR34" s="2">
        <f>(ROUND((ROUND(((ET34)*AV34*1),2)*BB34),2)+ROUND((ROUND(((AE34-(EU34))*AV34*1),2)*BS34),2))</f>
        <v>0</v>
      </c>
      <c r="CS34" s="2">
        <f>(ROUND((ROUND(((EU34)*AV34*1),2)*BS34),2)+ROUND((ROUND(((AE34-(EU34))*AV34*1),2)*BS34),2))</f>
        <v>0</v>
      </c>
      <c r="CT34" s="2">
        <f t="shared" si="42"/>
        <v>123099.07</v>
      </c>
      <c r="CU34" s="2">
        <f t="shared" si="43"/>
        <v>0</v>
      </c>
      <c r="CV34" s="2">
        <f t="shared" si="44"/>
        <v>193</v>
      </c>
      <c r="CW34" s="2">
        <f t="shared" si="45"/>
        <v>0</v>
      </c>
      <c r="CX34" s="2">
        <f t="shared" si="45"/>
        <v>0</v>
      </c>
      <c r="CY34" s="2">
        <f>(ROUND((((S34+ROUND((ROUND(((EU34)*AV34*1),2)*BS34),2))*AT34)/100),2)+ROUND(((ROUND((ROUND(((AE34-(EU34))*AV34*1),2)*BS34),2)*AT34)/100),2))</f>
        <v>2215.54</v>
      </c>
      <c r="CZ34" s="2">
        <f>(ROUND((((S34+ROUND((ROUND(((EU34)*AV34*1),2)*BS34),2))*AU34)/100),2)+ROUND(((ROUND((ROUND(((AE34-(EU34))*AV34*1),2)*BS34),2)*AU34)/100),2))</f>
        <v>1157</v>
      </c>
      <c r="DC34" s="2" t="s">
        <v>3</v>
      </c>
      <c r="DD34" s="2" t="s">
        <v>24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U34" s="2">
        <v>1005</v>
      </c>
      <c r="DV34" s="2" t="s">
        <v>32</v>
      </c>
      <c r="DW34" s="2" t="s">
        <v>32</v>
      </c>
      <c r="DX34" s="2">
        <v>100</v>
      </c>
      <c r="DZ34" s="2" t="s">
        <v>3</v>
      </c>
      <c r="EA34" s="2" t="s">
        <v>3</v>
      </c>
      <c r="EB34" s="2" t="s">
        <v>3</v>
      </c>
      <c r="EC34" s="2" t="s">
        <v>3</v>
      </c>
      <c r="EE34" s="2">
        <v>55896178</v>
      </c>
      <c r="EF34" s="2">
        <v>60</v>
      </c>
      <c r="EG34" s="2" t="s">
        <v>25</v>
      </c>
      <c r="EH34" s="2">
        <v>0</v>
      </c>
      <c r="EI34" s="2" t="s">
        <v>3</v>
      </c>
      <c r="EJ34" s="2">
        <v>1</v>
      </c>
      <c r="EK34" s="2">
        <v>93</v>
      </c>
      <c r="EL34" s="2" t="s">
        <v>26</v>
      </c>
      <c r="EM34" s="2" t="s">
        <v>27</v>
      </c>
      <c r="EO34" s="2" t="s">
        <v>28</v>
      </c>
      <c r="EQ34" s="2">
        <v>0</v>
      </c>
      <c r="ER34" s="2">
        <v>3512.65</v>
      </c>
      <c r="ES34" s="2">
        <v>1354.91</v>
      </c>
      <c r="ET34" s="2">
        <v>0</v>
      </c>
      <c r="EU34" s="2">
        <v>0</v>
      </c>
      <c r="EV34" s="2">
        <v>2157.7399999999998</v>
      </c>
      <c r="EW34" s="2">
        <v>193</v>
      </c>
      <c r="EX34" s="2">
        <v>0</v>
      </c>
      <c r="EY34" s="2">
        <v>0</v>
      </c>
      <c r="FQ34" s="2">
        <v>0</v>
      </c>
      <c r="FR34" s="2">
        <v>0</v>
      </c>
      <c r="FS34" s="2">
        <v>0</v>
      </c>
      <c r="FX34" s="2">
        <v>90</v>
      </c>
      <c r="FY34" s="2">
        <v>47</v>
      </c>
      <c r="GA34" s="2" t="s">
        <v>3</v>
      </c>
      <c r="GD34" s="2">
        <v>1</v>
      </c>
      <c r="GF34" s="2">
        <v>-582739231</v>
      </c>
      <c r="GG34" s="2">
        <v>2</v>
      </c>
      <c r="GH34" s="2">
        <v>1</v>
      </c>
      <c r="GI34" s="2">
        <v>2</v>
      </c>
      <c r="GJ34" s="2">
        <v>0</v>
      </c>
      <c r="GK34" s="2">
        <v>0</v>
      </c>
      <c r="GL34" s="2">
        <f t="shared" si="46"/>
        <v>0</v>
      </c>
      <c r="GM34" s="2">
        <f t="shared" si="47"/>
        <v>6145.09</v>
      </c>
      <c r="GN34" s="2">
        <f t="shared" si="48"/>
        <v>6145.09</v>
      </c>
      <c r="GO34" s="2">
        <f t="shared" si="49"/>
        <v>0</v>
      </c>
      <c r="GP34" s="2">
        <f t="shared" si="50"/>
        <v>0</v>
      </c>
      <c r="GR34" s="2">
        <v>0</v>
      </c>
      <c r="GS34" s="2">
        <v>3</v>
      </c>
      <c r="GT34" s="2">
        <v>0</v>
      </c>
      <c r="GU34" s="2" t="s">
        <v>3</v>
      </c>
      <c r="GV34" s="2">
        <f t="shared" si="51"/>
        <v>0</v>
      </c>
      <c r="GW34" s="2">
        <v>1</v>
      </c>
      <c r="GX34" s="2">
        <f t="shared" si="52"/>
        <v>0</v>
      </c>
      <c r="HA34" s="2">
        <v>0</v>
      </c>
      <c r="HB34" s="2">
        <v>0</v>
      </c>
      <c r="HC34" s="2">
        <f t="shared" si="53"/>
        <v>0</v>
      </c>
      <c r="HE34" s="2" t="s">
        <v>3</v>
      </c>
      <c r="HF34" s="2" t="s">
        <v>3</v>
      </c>
      <c r="HM34" s="2" t="s">
        <v>3</v>
      </c>
      <c r="HN34" s="2" t="s">
        <v>3</v>
      </c>
      <c r="HO34" s="2" t="s">
        <v>3</v>
      </c>
      <c r="HP34" s="2" t="s">
        <v>3</v>
      </c>
      <c r="HQ34" s="2" t="s">
        <v>3</v>
      </c>
      <c r="HS34" s="2">
        <v>0</v>
      </c>
      <c r="IK34" s="2">
        <v>0</v>
      </c>
    </row>
    <row r="35" spans="1:245" x14ac:dyDescent="0.2">
      <c r="A35" s="2">
        <v>18</v>
      </c>
      <c r="B35" s="2">
        <v>0</v>
      </c>
      <c r="C35" s="2">
        <v>11</v>
      </c>
      <c r="E35" s="2" t="s">
        <v>38</v>
      </c>
      <c r="F35" s="2" t="s">
        <v>39</v>
      </c>
      <c r="G35" s="2" t="s">
        <v>40</v>
      </c>
      <c r="H35" s="2" t="s">
        <v>41</v>
      </c>
      <c r="I35" s="2">
        <f>I34*J35</f>
        <v>1</v>
      </c>
      <c r="J35" s="2">
        <v>50</v>
      </c>
      <c r="K35" s="2">
        <v>50</v>
      </c>
      <c r="O35" s="2">
        <f t="shared" si="28"/>
        <v>2686.78</v>
      </c>
      <c r="P35" s="2">
        <f t="shared" si="29"/>
        <v>2686.78</v>
      </c>
      <c r="Q35" s="2">
        <f>(ROUND((ROUND(((ET35)*AV35*I35),2)*BB35),2)+ROUND((ROUND(((AE35-(EU35))*AV35*I35),2)*BS35),2))</f>
        <v>0</v>
      </c>
      <c r="R35" s="2">
        <f>(ROUND((ROUND(((EU35)*AV35*I35),2)*BS35),2)+ROUND((ROUND(((AE35-(EU35))*AV35*I35),2)*BS35),2))</f>
        <v>0</v>
      </c>
      <c r="S35" s="2">
        <f t="shared" si="30"/>
        <v>0</v>
      </c>
      <c r="T35" s="2">
        <f t="shared" si="31"/>
        <v>0</v>
      </c>
      <c r="U35" s="2">
        <f t="shared" si="32"/>
        <v>0</v>
      </c>
      <c r="V35" s="2">
        <f t="shared" si="33"/>
        <v>0</v>
      </c>
      <c r="W35" s="2">
        <f t="shared" si="34"/>
        <v>0</v>
      </c>
      <c r="X35" s="2">
        <f>(ROUND((((S35+ROUND((ROUND(((EU35)*AV35*I35),2)*BS35),2))*AT35)/100),2)+ROUND(((ROUND((ROUND(((AE35-(EU35))*AV35*I35),2)*BS35),2)*AT35)/100),2))</f>
        <v>0</v>
      </c>
      <c r="Y35" s="2">
        <f>(ROUND((((S35+ROUND((ROUND(((EU35)*AV35*I35),2)*BS35),2))*AU35)/100),2)+ROUND(((ROUND((ROUND(((AE35-(EU35))*AV35*I35),2)*BS35),2)*AU35)/100),2))</f>
        <v>0</v>
      </c>
      <c r="AA35" s="2">
        <v>56793366</v>
      </c>
      <c r="AB35" s="2">
        <f t="shared" si="35"/>
        <v>2686.78</v>
      </c>
      <c r="AC35" s="2">
        <f>ROUND((ES35),6)</f>
        <v>2686.78</v>
      </c>
      <c r="AD35" s="2">
        <f>ROUND((((ET35)-(EU35))+AE35),6)</f>
        <v>0</v>
      </c>
      <c r="AE35" s="2">
        <f t="shared" si="36"/>
        <v>0</v>
      </c>
      <c r="AF35" s="2">
        <f t="shared" si="36"/>
        <v>0</v>
      </c>
      <c r="AG35" s="2">
        <f t="shared" si="37"/>
        <v>0</v>
      </c>
      <c r="AH35" s="2">
        <f t="shared" si="38"/>
        <v>0</v>
      </c>
      <c r="AI35" s="2">
        <f t="shared" si="38"/>
        <v>0</v>
      </c>
      <c r="AJ35" s="2">
        <f t="shared" si="39"/>
        <v>0</v>
      </c>
      <c r="AK35" s="2">
        <v>2686.7799999999997</v>
      </c>
      <c r="AL35" s="2">
        <v>2686.7799999999997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90</v>
      </c>
      <c r="AU35" s="2">
        <v>47</v>
      </c>
      <c r="AV35" s="2">
        <v>1</v>
      </c>
      <c r="AW35" s="2">
        <v>1</v>
      </c>
      <c r="AZ35" s="2">
        <v>1</v>
      </c>
      <c r="BA35" s="2">
        <v>1</v>
      </c>
      <c r="BB35" s="2">
        <v>1</v>
      </c>
      <c r="BC35" s="2">
        <v>1</v>
      </c>
      <c r="BD35" s="2" t="s">
        <v>3</v>
      </c>
      <c r="BE35" s="2" t="s">
        <v>3</v>
      </c>
      <c r="BF35" s="2" t="s">
        <v>3</v>
      </c>
      <c r="BG35" s="2" t="s">
        <v>3</v>
      </c>
      <c r="BH35" s="2">
        <v>3</v>
      </c>
      <c r="BI35" s="2">
        <v>1</v>
      </c>
      <c r="BJ35" s="2" t="s">
        <v>3</v>
      </c>
      <c r="BM35" s="2">
        <v>93</v>
      </c>
      <c r="BN35" s="2">
        <v>0</v>
      </c>
      <c r="BO35" s="2" t="s">
        <v>3</v>
      </c>
      <c r="BP35" s="2">
        <v>0</v>
      </c>
      <c r="BQ35" s="2">
        <v>60</v>
      </c>
      <c r="BR35" s="2">
        <v>0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 t="s">
        <v>3</v>
      </c>
      <c r="BZ35" s="2">
        <v>90</v>
      </c>
      <c r="CA35" s="2">
        <v>47</v>
      </c>
      <c r="CB35" s="2" t="s">
        <v>3</v>
      </c>
      <c r="CE35" s="2">
        <v>1566</v>
      </c>
      <c r="CF35" s="2">
        <v>0</v>
      </c>
      <c r="CG35" s="2">
        <v>0</v>
      </c>
      <c r="CM35" s="2">
        <v>0</v>
      </c>
      <c r="CN35" s="2" t="s">
        <v>520</v>
      </c>
      <c r="CO35" s="2">
        <v>0</v>
      </c>
      <c r="CP35" s="2">
        <f t="shared" si="40"/>
        <v>2686.78</v>
      </c>
      <c r="CQ35" s="2">
        <f t="shared" si="41"/>
        <v>2686.78</v>
      </c>
      <c r="CR35" s="2">
        <f>(ROUND((ROUND(((ET35)*AV35*1),2)*BB35),2)+ROUND((ROUND(((AE35-(EU35))*AV35*1),2)*BS35),2))</f>
        <v>0</v>
      </c>
      <c r="CS35" s="2">
        <f>(ROUND((ROUND(((EU35)*AV35*1),2)*BS35),2)+ROUND((ROUND(((AE35-(EU35))*AV35*1),2)*BS35),2))</f>
        <v>0</v>
      </c>
      <c r="CT35" s="2">
        <f t="shared" si="42"/>
        <v>0</v>
      </c>
      <c r="CU35" s="2">
        <f t="shared" si="43"/>
        <v>0</v>
      </c>
      <c r="CV35" s="2">
        <f t="shared" si="44"/>
        <v>0</v>
      </c>
      <c r="CW35" s="2">
        <f t="shared" si="45"/>
        <v>0</v>
      </c>
      <c r="CX35" s="2">
        <f t="shared" si="45"/>
        <v>0</v>
      </c>
      <c r="CY35" s="2">
        <f>(ROUND((((S35+ROUND((ROUND(((EU35)*AV35*1),2)*BS35),2))*AT35)/100),2)+ROUND(((ROUND((ROUND(((AE35-(EU35))*AV35*1),2)*BS35),2)*AT35)/100),2))</f>
        <v>0</v>
      </c>
      <c r="CZ35" s="2">
        <f>(ROUND((((S35+ROUND((ROUND(((EU35)*AV35*1),2)*BS35),2))*AU35)/100),2)+ROUND(((ROUND((ROUND(((AE35-(EU35))*AV35*1),2)*BS35),2)*AU35)/100),2))</f>
        <v>0</v>
      </c>
      <c r="DC35" s="2" t="s">
        <v>3</v>
      </c>
      <c r="DD35" s="2" t="s">
        <v>3</v>
      </c>
      <c r="DE35" s="2" t="s">
        <v>3</v>
      </c>
      <c r="DF35" s="2" t="s">
        <v>3</v>
      </c>
      <c r="DG35" s="2" t="s">
        <v>3</v>
      </c>
      <c r="DH35" s="2" t="s">
        <v>3</v>
      </c>
      <c r="DI35" s="2" t="s">
        <v>3</v>
      </c>
      <c r="DJ35" s="2" t="s">
        <v>3</v>
      </c>
      <c r="DK35" s="2" t="s">
        <v>3</v>
      </c>
      <c r="DL35" s="2" t="s">
        <v>3</v>
      </c>
      <c r="DM35" s="2" t="s">
        <v>3</v>
      </c>
      <c r="DN35" s="2">
        <v>0</v>
      </c>
      <c r="DO35" s="2">
        <v>0</v>
      </c>
      <c r="DP35" s="2">
        <v>1</v>
      </c>
      <c r="DQ35" s="2">
        <v>1</v>
      </c>
      <c r="DU35" s="2">
        <v>1013</v>
      </c>
      <c r="DV35" s="2" t="s">
        <v>41</v>
      </c>
      <c r="DW35" s="2" t="s">
        <v>41</v>
      </c>
      <c r="DX35" s="2">
        <v>1</v>
      </c>
      <c r="DZ35" s="2" t="s">
        <v>3</v>
      </c>
      <c r="EA35" s="2" t="s">
        <v>3</v>
      </c>
      <c r="EB35" s="2" t="s">
        <v>3</v>
      </c>
      <c r="EC35" s="2" t="s">
        <v>3</v>
      </c>
      <c r="EE35" s="2">
        <v>55896178</v>
      </c>
      <c r="EF35" s="2">
        <v>60</v>
      </c>
      <c r="EG35" s="2" t="s">
        <v>25</v>
      </c>
      <c r="EH35" s="2">
        <v>0</v>
      </c>
      <c r="EI35" s="2" t="s">
        <v>3</v>
      </c>
      <c r="EJ35" s="2">
        <v>1</v>
      </c>
      <c r="EK35" s="2">
        <v>93</v>
      </c>
      <c r="EL35" s="2" t="s">
        <v>26</v>
      </c>
      <c r="EM35" s="2" t="s">
        <v>27</v>
      </c>
      <c r="EO35" s="2" t="s">
        <v>28</v>
      </c>
      <c r="EQ35" s="2">
        <v>0</v>
      </c>
      <c r="ER35" s="2">
        <v>2686.7799999999997</v>
      </c>
      <c r="ES35" s="2">
        <v>2686.7799999999997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Z35" s="2">
        <v>5</v>
      </c>
      <c r="FC35" s="2">
        <v>1</v>
      </c>
      <c r="FD35" s="2">
        <v>18</v>
      </c>
      <c r="FF35" s="2">
        <v>3120</v>
      </c>
      <c r="FQ35" s="2">
        <v>0</v>
      </c>
      <c r="FR35" s="2">
        <v>0</v>
      </c>
      <c r="FS35" s="2">
        <v>0</v>
      </c>
      <c r="FX35" s="2">
        <v>90</v>
      </c>
      <c r="FY35" s="2">
        <v>47</v>
      </c>
      <c r="GA35" s="2" t="s">
        <v>42</v>
      </c>
      <c r="GD35" s="2">
        <v>1</v>
      </c>
      <c r="GF35" s="2">
        <v>773301147</v>
      </c>
      <c r="GG35" s="2">
        <v>2</v>
      </c>
      <c r="GH35" s="2">
        <v>3</v>
      </c>
      <c r="GI35" s="2">
        <v>-2</v>
      </c>
      <c r="GJ35" s="2">
        <v>0</v>
      </c>
      <c r="GK35" s="2">
        <v>0</v>
      </c>
      <c r="GL35" s="2">
        <f t="shared" si="46"/>
        <v>0</v>
      </c>
      <c r="GM35" s="2">
        <f t="shared" si="47"/>
        <v>2686.78</v>
      </c>
      <c r="GN35" s="2">
        <f t="shared" si="48"/>
        <v>2686.78</v>
      </c>
      <c r="GO35" s="2">
        <f t="shared" si="49"/>
        <v>0</v>
      </c>
      <c r="GP35" s="2">
        <f t="shared" si="50"/>
        <v>0</v>
      </c>
      <c r="GR35" s="2">
        <v>1</v>
      </c>
      <c r="GS35" s="2">
        <v>1</v>
      </c>
      <c r="GT35" s="2">
        <v>0</v>
      </c>
      <c r="GU35" s="2" t="s">
        <v>3</v>
      </c>
      <c r="GV35" s="2">
        <f t="shared" si="51"/>
        <v>0</v>
      </c>
      <c r="GW35" s="2">
        <v>1</v>
      </c>
      <c r="GX35" s="2">
        <f t="shared" si="52"/>
        <v>0</v>
      </c>
      <c r="HA35" s="2">
        <v>0</v>
      </c>
      <c r="HB35" s="2">
        <v>0</v>
      </c>
      <c r="HC35" s="2">
        <f t="shared" si="53"/>
        <v>0</v>
      </c>
      <c r="HE35" s="2" t="s">
        <v>34</v>
      </c>
      <c r="HF35" s="2" t="s">
        <v>29</v>
      </c>
      <c r="HM35" s="2" t="s">
        <v>24</v>
      </c>
      <c r="HN35" s="2" t="s">
        <v>3</v>
      </c>
      <c r="HO35" s="2" t="s">
        <v>3</v>
      </c>
      <c r="HP35" s="2" t="s">
        <v>3</v>
      </c>
      <c r="HQ35" s="2" t="s">
        <v>3</v>
      </c>
      <c r="HS35" s="2">
        <v>0</v>
      </c>
      <c r="IK35" s="2">
        <v>0</v>
      </c>
    </row>
    <row r="36" spans="1:245" x14ac:dyDescent="0.2">
      <c r="A36" s="2">
        <v>17</v>
      </c>
      <c r="B36" s="2">
        <v>0</v>
      </c>
      <c r="C36" s="2">
        <f>ROW(SmtRes!A26)</f>
        <v>26</v>
      </c>
      <c r="D36" s="2">
        <f>ROW(EtalonRes!A26)</f>
        <v>26</v>
      </c>
      <c r="E36" s="2" t="s">
        <v>43</v>
      </c>
      <c r="F36" s="2" t="s">
        <v>44</v>
      </c>
      <c r="G36" s="2" t="s">
        <v>45</v>
      </c>
      <c r="H36" s="2" t="s">
        <v>46</v>
      </c>
      <c r="I36" s="2">
        <f>ROUND(1.8/100,9)</f>
        <v>1.7999999999999999E-2</v>
      </c>
      <c r="J36" s="2">
        <v>0</v>
      </c>
      <c r="K36" s="2">
        <f>ROUND(1.8/100,9)</f>
        <v>1.7999999999999999E-2</v>
      </c>
      <c r="O36" s="2">
        <f t="shared" si="28"/>
        <v>1863.2</v>
      </c>
      <c r="P36" s="2">
        <f t="shared" si="29"/>
        <v>438.93</v>
      </c>
      <c r="Q36" s="2">
        <f>(ROUND((ROUND((((ET36*1.15))*AV36*I36),2)*BB36),2)+ROUND((ROUND(((AE36-((EU36*1.15)))*AV36*I36),2)*BS36),2))</f>
        <v>146.91999999999999</v>
      </c>
      <c r="R36" s="2">
        <f>(ROUND((ROUND((((EU36*1.15))*AV36*I36),2)*BS36),2)+ROUND((ROUND(((AE36-((EU36*1.15)))*AV36*I36),2)*BS36),2))</f>
        <v>57.62</v>
      </c>
      <c r="S36" s="2">
        <f t="shared" si="30"/>
        <v>1277.3499999999999</v>
      </c>
      <c r="T36" s="2">
        <f t="shared" si="31"/>
        <v>0</v>
      </c>
      <c r="U36" s="2">
        <f t="shared" si="32"/>
        <v>1.86093</v>
      </c>
      <c r="V36" s="2">
        <f t="shared" si="33"/>
        <v>0</v>
      </c>
      <c r="W36" s="2">
        <f t="shared" si="34"/>
        <v>0</v>
      </c>
      <c r="X36" s="2">
        <f>(ROUND((((S36+ROUND((ROUND((((EU36*1.15))*AV36*I36),2)*BS36),2))*AT36)/100),2)+ROUND(((ROUND((ROUND(((AE36-((EU36*1.15)))*AV36*I36),2)*BS36),2)*AT36)/100),2))</f>
        <v>1294.92</v>
      </c>
      <c r="Y36" s="2">
        <f>(ROUND((((S36+ROUND((ROUND((((EU36*1.15))*AV36*I36),2)*BS36),2))*AU36)/100),2)+ROUND(((ROUND((ROUND(((AE36-((EU36*1.15)))*AV36*I36),2)*BS36),2)*AU36)/100),2))</f>
        <v>627.44000000000005</v>
      </c>
      <c r="AA36" s="2">
        <v>56793366</v>
      </c>
      <c r="AB36" s="2">
        <f t="shared" si="35"/>
        <v>4387.5140000000001</v>
      </c>
      <c r="AC36" s="2">
        <f>ROUND(((ES36*1)),6)</f>
        <v>2630.36</v>
      </c>
      <c r="AD36" s="2">
        <f>ROUND(((((ET36*1.15))-((EU36*1.15)))+AE36),6)</f>
        <v>513.42899999999997</v>
      </c>
      <c r="AE36" s="2">
        <f>ROUND(((EU36*1.15)),6)</f>
        <v>56.154499999999999</v>
      </c>
      <c r="AF36" s="2">
        <f>ROUND(((EV36*1.15)),6)</f>
        <v>1243.7249999999999</v>
      </c>
      <c r="AG36" s="2">
        <f t="shared" si="37"/>
        <v>0</v>
      </c>
      <c r="AH36" s="2">
        <f>((EW36*1.15))</f>
        <v>103.38500000000001</v>
      </c>
      <c r="AI36" s="2">
        <f>((EX36*1.15))</f>
        <v>0</v>
      </c>
      <c r="AJ36" s="2">
        <f t="shared" si="39"/>
        <v>0</v>
      </c>
      <c r="AK36" s="2">
        <v>4158.32</v>
      </c>
      <c r="AL36" s="2">
        <v>2630.36</v>
      </c>
      <c r="AM36" s="2">
        <v>446.46</v>
      </c>
      <c r="AN36" s="2">
        <v>48.83</v>
      </c>
      <c r="AO36" s="2">
        <v>1081.5</v>
      </c>
      <c r="AP36" s="2">
        <v>0</v>
      </c>
      <c r="AQ36" s="2">
        <v>89.9</v>
      </c>
      <c r="AR36" s="2">
        <v>0</v>
      </c>
      <c r="AS36" s="2">
        <v>0</v>
      </c>
      <c r="AT36" s="2">
        <v>97</v>
      </c>
      <c r="AU36" s="2">
        <v>47</v>
      </c>
      <c r="AV36" s="2">
        <v>1</v>
      </c>
      <c r="AW36" s="2">
        <v>1</v>
      </c>
      <c r="AZ36" s="2">
        <v>1</v>
      </c>
      <c r="BA36" s="2">
        <v>57.05</v>
      </c>
      <c r="BB36" s="2">
        <v>15.9</v>
      </c>
      <c r="BC36" s="2">
        <v>9.27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1</v>
      </c>
      <c r="BJ36" s="2" t="s">
        <v>47</v>
      </c>
      <c r="BM36" s="2">
        <v>14</v>
      </c>
      <c r="BN36" s="2">
        <v>0</v>
      </c>
      <c r="BO36" s="2" t="s">
        <v>44</v>
      </c>
      <c r="BP36" s="2">
        <v>1</v>
      </c>
      <c r="BQ36" s="2">
        <v>30</v>
      </c>
      <c r="BR36" s="2">
        <v>0</v>
      </c>
      <c r="BS36" s="2">
        <v>57.05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97</v>
      </c>
      <c r="CA36" s="2">
        <v>47</v>
      </c>
      <c r="CB36" s="2" t="s">
        <v>3</v>
      </c>
      <c r="CE36" s="2">
        <v>1566</v>
      </c>
      <c r="CF36" s="2">
        <v>0</v>
      </c>
      <c r="CG36" s="2">
        <v>0</v>
      </c>
      <c r="CM36" s="2">
        <v>0</v>
      </c>
      <c r="CN36" s="2" t="s">
        <v>518</v>
      </c>
      <c r="CO36" s="2">
        <v>0</v>
      </c>
      <c r="CP36" s="2">
        <f t="shared" si="40"/>
        <v>1863.1999999999998</v>
      </c>
      <c r="CQ36" s="2">
        <f t="shared" si="41"/>
        <v>24383.439999999999</v>
      </c>
      <c r="CR36" s="2">
        <f>(ROUND((ROUND((((ET36*1.15))*AV36*1),2)*BB36),2)+ROUND((ROUND(((AE36-((EU36*1.15)))*AV36*1),2)*BS36),2))</f>
        <v>8163.54</v>
      </c>
      <c r="CS36" s="2">
        <f>(ROUND((ROUND((((EU36*1.15))*AV36*1),2)*BS36),2)+ROUND((ROUND(((AE36-((EU36*1.15)))*AV36*1),2)*BS36),2))</f>
        <v>3203.36</v>
      </c>
      <c r="CT36" s="2">
        <f t="shared" si="42"/>
        <v>70954.8</v>
      </c>
      <c r="CU36" s="2">
        <f t="shared" si="43"/>
        <v>0</v>
      </c>
      <c r="CV36" s="2">
        <f t="shared" si="44"/>
        <v>103.38500000000001</v>
      </c>
      <c r="CW36" s="2">
        <f t="shared" si="45"/>
        <v>0</v>
      </c>
      <c r="CX36" s="2">
        <f t="shared" si="45"/>
        <v>0</v>
      </c>
      <c r="CY36" s="2">
        <f>(ROUND((((S36+ROUND((ROUND((((EU36*1.15))*AV36*1),2)*BS36),2))*AT36)/100),2)+ROUND(((ROUND((ROUND(((AE36-((EU36*1.15)))*AV36*1),2)*BS36),2)*AT36)/100),2))</f>
        <v>4346.29</v>
      </c>
      <c r="CZ36" s="2">
        <f>(ROUND((((S36+ROUND((ROUND((((EU36*1.15))*AV36*1),2)*BS36),2))*AU36)/100),2)+ROUND(((ROUND((ROUND(((AE36-((EU36*1.15)))*AV36*1),2)*BS36),2)*AU36)/100),2))</f>
        <v>2105.9299999999998</v>
      </c>
      <c r="DB36" s="2">
        <v>1</v>
      </c>
      <c r="DC36" s="2" t="s">
        <v>3</v>
      </c>
      <c r="DD36" s="2" t="s">
        <v>24</v>
      </c>
      <c r="DE36" s="2" t="s">
        <v>48</v>
      </c>
      <c r="DF36" s="2" t="s">
        <v>48</v>
      </c>
      <c r="DG36" s="2" t="s">
        <v>48</v>
      </c>
      <c r="DH36" s="2" t="s">
        <v>3</v>
      </c>
      <c r="DI36" s="2" t="s">
        <v>48</v>
      </c>
      <c r="DJ36" s="2" t="s">
        <v>48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U36" s="2">
        <v>1013</v>
      </c>
      <c r="DV36" s="2" t="s">
        <v>46</v>
      </c>
      <c r="DW36" s="2" t="s">
        <v>46</v>
      </c>
      <c r="DX36" s="2">
        <v>1</v>
      </c>
      <c r="DZ36" s="2" t="s">
        <v>3</v>
      </c>
      <c r="EA36" s="2" t="s">
        <v>3</v>
      </c>
      <c r="EB36" s="2" t="s">
        <v>3</v>
      </c>
      <c r="EC36" s="2" t="s">
        <v>3</v>
      </c>
      <c r="EE36" s="2">
        <v>55896062</v>
      </c>
      <c r="EF36" s="2">
        <v>30</v>
      </c>
      <c r="EG36" s="2" t="s">
        <v>49</v>
      </c>
      <c r="EH36" s="2">
        <v>0</v>
      </c>
      <c r="EI36" s="2" t="s">
        <v>3</v>
      </c>
      <c r="EJ36" s="2">
        <v>1</v>
      </c>
      <c r="EK36" s="2">
        <v>14</v>
      </c>
      <c r="EL36" s="2" t="s">
        <v>50</v>
      </c>
      <c r="EM36" s="2" t="s">
        <v>51</v>
      </c>
      <c r="EO36" s="2" t="s">
        <v>28</v>
      </c>
      <c r="EQ36" s="2">
        <v>0</v>
      </c>
      <c r="ER36" s="2">
        <v>4158.32</v>
      </c>
      <c r="ES36" s="2">
        <v>2630.36</v>
      </c>
      <c r="ET36" s="2">
        <v>446.46</v>
      </c>
      <c r="EU36" s="2">
        <v>48.83</v>
      </c>
      <c r="EV36" s="2">
        <v>1081.5</v>
      </c>
      <c r="EW36" s="2">
        <v>89.9</v>
      </c>
      <c r="EX36" s="2">
        <v>0</v>
      </c>
      <c r="EY36" s="2">
        <v>0</v>
      </c>
      <c r="FQ36" s="2">
        <v>0</v>
      </c>
      <c r="FR36" s="2">
        <v>0</v>
      </c>
      <c r="FS36" s="2">
        <v>0</v>
      </c>
      <c r="FX36" s="2">
        <v>97</v>
      </c>
      <c r="FY36" s="2">
        <v>47</v>
      </c>
      <c r="GA36" s="2" t="s">
        <v>3</v>
      </c>
      <c r="GD36" s="2">
        <v>1</v>
      </c>
      <c r="GF36" s="2">
        <v>-1457885320</v>
      </c>
      <c r="GG36" s="2">
        <v>2</v>
      </c>
      <c r="GH36" s="2">
        <v>1</v>
      </c>
      <c r="GI36" s="2">
        <v>2</v>
      </c>
      <c r="GJ36" s="2">
        <v>0</v>
      </c>
      <c r="GK36" s="2">
        <v>0</v>
      </c>
      <c r="GL36" s="2">
        <f t="shared" si="46"/>
        <v>0</v>
      </c>
      <c r="GM36" s="2">
        <f t="shared" si="47"/>
        <v>3785.56</v>
      </c>
      <c r="GN36" s="2">
        <f t="shared" si="48"/>
        <v>3785.56</v>
      </c>
      <c r="GO36" s="2">
        <f t="shared" si="49"/>
        <v>0</v>
      </c>
      <c r="GP36" s="2">
        <f t="shared" si="50"/>
        <v>0</v>
      </c>
      <c r="GR36" s="2">
        <v>0</v>
      </c>
      <c r="GS36" s="2">
        <v>3</v>
      </c>
      <c r="GT36" s="2">
        <v>0</v>
      </c>
      <c r="GU36" s="2" t="s">
        <v>3</v>
      </c>
      <c r="GV36" s="2">
        <f t="shared" si="51"/>
        <v>0</v>
      </c>
      <c r="GW36" s="2">
        <v>1</v>
      </c>
      <c r="GX36" s="2">
        <f t="shared" si="52"/>
        <v>0</v>
      </c>
      <c r="HA36" s="2">
        <v>0</v>
      </c>
      <c r="HB36" s="2">
        <v>0</v>
      </c>
      <c r="HC36" s="2">
        <f t="shared" si="53"/>
        <v>0</v>
      </c>
      <c r="HE36" s="2" t="s">
        <v>3</v>
      </c>
      <c r="HF36" s="2" t="s">
        <v>3</v>
      </c>
      <c r="HM36" s="2" t="s">
        <v>3</v>
      </c>
      <c r="HN36" s="2" t="s">
        <v>3</v>
      </c>
      <c r="HO36" s="2" t="s">
        <v>3</v>
      </c>
      <c r="HP36" s="2" t="s">
        <v>3</v>
      </c>
      <c r="HQ36" s="2" t="s">
        <v>3</v>
      </c>
      <c r="HS36" s="2">
        <v>0</v>
      </c>
      <c r="IK36" s="2">
        <v>0</v>
      </c>
    </row>
    <row r="37" spans="1:245" x14ac:dyDescent="0.2">
      <c r="A37" s="2">
        <v>18</v>
      </c>
      <c r="B37" s="2">
        <v>0</v>
      </c>
      <c r="C37" s="2">
        <v>26</v>
      </c>
      <c r="E37" s="2" t="s">
        <v>52</v>
      </c>
      <c r="F37" s="2" t="s">
        <v>39</v>
      </c>
      <c r="G37" s="2" t="s">
        <v>53</v>
      </c>
      <c r="H37" s="2" t="s">
        <v>54</v>
      </c>
      <c r="I37" s="2">
        <f>I36*J37</f>
        <v>1</v>
      </c>
      <c r="J37" s="2">
        <v>55.555555555555557</v>
      </c>
      <c r="K37" s="2">
        <v>55.555556000000003</v>
      </c>
      <c r="O37" s="2">
        <f t="shared" si="28"/>
        <v>10333.77</v>
      </c>
      <c r="P37" s="2">
        <f t="shared" si="29"/>
        <v>10333.77</v>
      </c>
      <c r="Q37" s="2">
        <f>(ROUND((ROUND(((ET37)*AV37*I37),2)*BB37),2)+ROUND((ROUND(((AE37-(EU37))*AV37*I37),2)*BS37),2))</f>
        <v>0</v>
      </c>
      <c r="R37" s="2">
        <f>(ROUND((ROUND(((EU37)*AV37*I37),2)*BS37),2)+ROUND((ROUND(((AE37-(EU37))*AV37*I37),2)*BS37),2))</f>
        <v>0</v>
      </c>
      <c r="S37" s="2">
        <f t="shared" si="30"/>
        <v>0</v>
      </c>
      <c r="T37" s="2">
        <f t="shared" si="31"/>
        <v>0</v>
      </c>
      <c r="U37" s="2">
        <f t="shared" si="32"/>
        <v>0</v>
      </c>
      <c r="V37" s="2">
        <f t="shared" si="33"/>
        <v>0</v>
      </c>
      <c r="W37" s="2">
        <f t="shared" si="34"/>
        <v>0</v>
      </c>
      <c r="X37" s="2">
        <f>(ROUND((((S37+ROUND((ROUND(((EU37)*AV37*I37),2)*BS37),2))*AT37)/100),2)+ROUND(((ROUND((ROUND(((AE37-(EU37))*AV37*I37),2)*BS37),2)*AT37)/100),2))</f>
        <v>0</v>
      </c>
      <c r="Y37" s="2">
        <f>(ROUND((((S37+ROUND((ROUND(((EU37)*AV37*I37),2)*BS37),2))*AU37)/100),2)+ROUND(((ROUND((ROUND(((AE37-(EU37))*AV37*I37),2)*BS37),2)*AU37)/100),2))</f>
        <v>0</v>
      </c>
      <c r="AA37" s="2">
        <v>56793366</v>
      </c>
      <c r="AB37" s="2">
        <f t="shared" si="35"/>
        <v>10333.77</v>
      </c>
      <c r="AC37" s="2">
        <f>ROUND((ES37),6)</f>
        <v>10333.77</v>
      </c>
      <c r="AD37" s="2">
        <f>ROUND((((ET37)-(EU37))+AE37),6)</f>
        <v>0</v>
      </c>
      <c r="AE37" s="2">
        <f>ROUND((EU37),6)</f>
        <v>0</v>
      </c>
      <c r="AF37" s="2">
        <f>ROUND((EV37),6)</f>
        <v>0</v>
      </c>
      <c r="AG37" s="2">
        <f t="shared" si="37"/>
        <v>0</v>
      </c>
      <c r="AH37" s="2">
        <f>(EW37)</f>
        <v>0</v>
      </c>
      <c r="AI37" s="2">
        <f>(EX37)</f>
        <v>0</v>
      </c>
      <c r="AJ37" s="2">
        <f t="shared" si="39"/>
        <v>0</v>
      </c>
      <c r="AK37" s="2">
        <v>10333.77</v>
      </c>
      <c r="AL37" s="2">
        <v>10333.77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97</v>
      </c>
      <c r="AU37" s="2">
        <v>47</v>
      </c>
      <c r="AV37" s="2">
        <v>1</v>
      </c>
      <c r="AW37" s="2">
        <v>1</v>
      </c>
      <c r="AZ37" s="2">
        <v>1</v>
      </c>
      <c r="BA37" s="2">
        <v>1</v>
      </c>
      <c r="BB37" s="2">
        <v>1</v>
      </c>
      <c r="BC37" s="2">
        <v>1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3</v>
      </c>
      <c r="BI37" s="2">
        <v>1</v>
      </c>
      <c r="BJ37" s="2" t="s">
        <v>3</v>
      </c>
      <c r="BM37" s="2">
        <v>14</v>
      </c>
      <c r="BN37" s="2">
        <v>0</v>
      </c>
      <c r="BO37" s="2" t="s">
        <v>3</v>
      </c>
      <c r="BP37" s="2">
        <v>0</v>
      </c>
      <c r="BQ37" s="2">
        <v>30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97</v>
      </c>
      <c r="CA37" s="2">
        <v>47</v>
      </c>
      <c r="CB37" s="2" t="s">
        <v>3</v>
      </c>
      <c r="CE37" s="2">
        <v>1566</v>
      </c>
      <c r="CF37" s="2">
        <v>0</v>
      </c>
      <c r="CG37" s="2">
        <v>0</v>
      </c>
      <c r="CM37" s="2">
        <v>0</v>
      </c>
      <c r="CN37" s="2" t="s">
        <v>3</v>
      </c>
      <c r="CO37" s="2">
        <v>0</v>
      </c>
      <c r="CP37" s="2">
        <f t="shared" si="40"/>
        <v>10333.77</v>
      </c>
      <c r="CQ37" s="2">
        <f t="shared" si="41"/>
        <v>10333.77</v>
      </c>
      <c r="CR37" s="2">
        <f>(ROUND((ROUND(((ET37)*AV37*1),2)*BB37),2)+ROUND((ROUND(((AE37-(EU37))*AV37*1),2)*BS37),2))</f>
        <v>0</v>
      </c>
      <c r="CS37" s="2">
        <f>(ROUND((ROUND(((EU37)*AV37*1),2)*BS37),2)+ROUND((ROUND(((AE37-(EU37))*AV37*1),2)*BS37),2))</f>
        <v>0</v>
      </c>
      <c r="CT37" s="2">
        <f t="shared" si="42"/>
        <v>0</v>
      </c>
      <c r="CU37" s="2">
        <f t="shared" si="43"/>
        <v>0</v>
      </c>
      <c r="CV37" s="2">
        <f t="shared" si="44"/>
        <v>0</v>
      </c>
      <c r="CW37" s="2">
        <f t="shared" si="45"/>
        <v>0</v>
      </c>
      <c r="CX37" s="2">
        <f t="shared" si="45"/>
        <v>0</v>
      </c>
      <c r="CY37" s="2">
        <f>(ROUND((((S37+ROUND((ROUND(((EU37)*AV37*1),2)*BS37),2))*AT37)/100),2)+ROUND(((ROUND((ROUND(((AE37-(EU37))*AV37*1),2)*BS37),2)*AT37)/100),2))</f>
        <v>0</v>
      </c>
      <c r="CZ37" s="2">
        <f>(ROUND((((S37+ROUND((ROUND(((EU37)*AV37*1),2)*BS37),2))*AU37)/100),2)+ROUND(((ROUND((ROUND(((AE37-(EU37))*AV37*1),2)*BS37),2)*AU37)/100),2))</f>
        <v>0</v>
      </c>
      <c r="DC37" s="2" t="s">
        <v>3</v>
      </c>
      <c r="DD37" s="2" t="s">
        <v>3</v>
      </c>
      <c r="DE37" s="2" t="s">
        <v>3</v>
      </c>
      <c r="DF37" s="2" t="s">
        <v>3</v>
      </c>
      <c r="DG37" s="2" t="s">
        <v>3</v>
      </c>
      <c r="DH37" s="2" t="s">
        <v>3</v>
      </c>
      <c r="DI37" s="2" t="s">
        <v>3</v>
      </c>
      <c r="DJ37" s="2" t="s">
        <v>3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U37" s="2">
        <v>1010</v>
      </c>
      <c r="DV37" s="2" t="s">
        <v>54</v>
      </c>
      <c r="DW37" s="2" t="s">
        <v>54</v>
      </c>
      <c r="DX37" s="2">
        <v>1</v>
      </c>
      <c r="DZ37" s="2" t="s">
        <v>3</v>
      </c>
      <c r="EA37" s="2" t="s">
        <v>3</v>
      </c>
      <c r="EB37" s="2" t="s">
        <v>3</v>
      </c>
      <c r="EC37" s="2" t="s">
        <v>3</v>
      </c>
      <c r="EE37" s="2">
        <v>55896062</v>
      </c>
      <c r="EF37" s="2">
        <v>30</v>
      </c>
      <c r="EG37" s="2" t="s">
        <v>49</v>
      </c>
      <c r="EH37" s="2">
        <v>0</v>
      </c>
      <c r="EI37" s="2" t="s">
        <v>3</v>
      </c>
      <c r="EJ37" s="2">
        <v>1</v>
      </c>
      <c r="EK37" s="2">
        <v>14</v>
      </c>
      <c r="EL37" s="2" t="s">
        <v>50</v>
      </c>
      <c r="EM37" s="2" t="s">
        <v>51</v>
      </c>
      <c r="EO37" s="2" t="s">
        <v>3</v>
      </c>
      <c r="EQ37" s="2">
        <v>0</v>
      </c>
      <c r="ER37" s="2">
        <v>10333.77</v>
      </c>
      <c r="ES37" s="2">
        <v>10333.77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Z37" s="2">
        <v>5</v>
      </c>
      <c r="FC37" s="2">
        <v>1</v>
      </c>
      <c r="FD37" s="2">
        <v>18</v>
      </c>
      <c r="FF37" s="2">
        <v>12000</v>
      </c>
      <c r="FQ37" s="2">
        <v>0</v>
      </c>
      <c r="FR37" s="2">
        <v>0</v>
      </c>
      <c r="FS37" s="2">
        <v>0</v>
      </c>
      <c r="FX37" s="2">
        <v>97</v>
      </c>
      <c r="FY37" s="2">
        <v>47</v>
      </c>
      <c r="GA37" s="2" t="s">
        <v>55</v>
      </c>
      <c r="GD37" s="2">
        <v>1</v>
      </c>
      <c r="GF37" s="2">
        <v>-930287362</v>
      </c>
      <c r="GG37" s="2">
        <v>2</v>
      </c>
      <c r="GH37" s="2">
        <v>3</v>
      </c>
      <c r="GI37" s="2">
        <v>-2</v>
      </c>
      <c r="GJ37" s="2">
        <v>0</v>
      </c>
      <c r="GK37" s="2">
        <v>0</v>
      </c>
      <c r="GL37" s="2">
        <f t="shared" si="46"/>
        <v>0</v>
      </c>
      <c r="GM37" s="2">
        <f t="shared" si="47"/>
        <v>10333.77</v>
      </c>
      <c r="GN37" s="2">
        <f t="shared" si="48"/>
        <v>10333.77</v>
      </c>
      <c r="GO37" s="2">
        <f t="shared" si="49"/>
        <v>0</v>
      </c>
      <c r="GP37" s="2">
        <f t="shared" si="50"/>
        <v>0</v>
      </c>
      <c r="GR37" s="2">
        <v>1</v>
      </c>
      <c r="GS37" s="2">
        <v>1</v>
      </c>
      <c r="GT37" s="2">
        <v>0</v>
      </c>
      <c r="GU37" s="2" t="s">
        <v>3</v>
      </c>
      <c r="GV37" s="2">
        <f t="shared" si="51"/>
        <v>0</v>
      </c>
      <c r="GW37" s="2">
        <v>1</v>
      </c>
      <c r="GX37" s="2">
        <f t="shared" si="52"/>
        <v>0</v>
      </c>
      <c r="HA37" s="2">
        <v>0</v>
      </c>
      <c r="HB37" s="2">
        <v>0</v>
      </c>
      <c r="HC37" s="2">
        <f t="shared" si="53"/>
        <v>0</v>
      </c>
      <c r="HE37" s="2" t="s">
        <v>34</v>
      </c>
      <c r="HF37" s="2" t="s">
        <v>29</v>
      </c>
      <c r="HM37" s="2" t="s">
        <v>3</v>
      </c>
      <c r="HN37" s="2" t="s">
        <v>3</v>
      </c>
      <c r="HO37" s="2" t="s">
        <v>3</v>
      </c>
      <c r="HP37" s="2" t="s">
        <v>3</v>
      </c>
      <c r="HQ37" s="2" t="s">
        <v>3</v>
      </c>
      <c r="HS37" s="2">
        <v>0</v>
      </c>
      <c r="IK37" s="2">
        <v>0</v>
      </c>
    </row>
    <row r="38" spans="1:245" x14ac:dyDescent="0.2">
      <c r="A38" s="2">
        <v>18</v>
      </c>
      <c r="B38" s="2">
        <v>0</v>
      </c>
      <c r="C38" s="2">
        <v>25</v>
      </c>
      <c r="E38" s="2" t="s">
        <v>56</v>
      </c>
      <c r="F38" s="2" t="s">
        <v>57</v>
      </c>
      <c r="G38" s="2" t="s">
        <v>58</v>
      </c>
      <c r="H38" s="2" t="s">
        <v>59</v>
      </c>
      <c r="I38" s="2">
        <f>I36*J38</f>
        <v>1</v>
      </c>
      <c r="J38" s="2">
        <v>55.555555555555557</v>
      </c>
      <c r="K38" s="2">
        <v>55.555556000000003</v>
      </c>
      <c r="O38" s="2">
        <f t="shared" si="28"/>
        <v>763.17</v>
      </c>
      <c r="P38" s="2">
        <f t="shared" si="29"/>
        <v>763.17</v>
      </c>
      <c r="Q38" s="2">
        <f>(ROUND((ROUND(((ET38)*AV38*I38),2)*BB38),2)+ROUND((ROUND(((AE38-(EU38))*AV38*I38),2)*BS38),2))</f>
        <v>0</v>
      </c>
      <c r="R38" s="2">
        <f>(ROUND((ROUND(((EU38)*AV38*I38),2)*BS38),2)+ROUND((ROUND(((AE38-(EU38))*AV38*I38),2)*BS38),2))</f>
        <v>0</v>
      </c>
      <c r="S38" s="2">
        <f t="shared" si="30"/>
        <v>0</v>
      </c>
      <c r="T38" s="2">
        <f t="shared" si="31"/>
        <v>0</v>
      </c>
      <c r="U38" s="2">
        <f t="shared" si="32"/>
        <v>0</v>
      </c>
      <c r="V38" s="2">
        <f t="shared" si="33"/>
        <v>0</v>
      </c>
      <c r="W38" s="2">
        <f t="shared" si="34"/>
        <v>0</v>
      </c>
      <c r="X38" s="2">
        <f>(ROUND((((S38+ROUND((ROUND(((EU38)*AV38*I38),2)*BS38),2))*AT38)/100),2)+ROUND(((ROUND((ROUND(((AE38-(EU38))*AV38*I38),2)*BS38),2)*AT38)/100),2))</f>
        <v>0</v>
      </c>
      <c r="Y38" s="2">
        <f>(ROUND((((S38+ROUND((ROUND(((EU38)*AV38*I38),2)*BS38),2))*AU38)/100),2)+ROUND(((ROUND((ROUND(((AE38-(EU38))*AV38*I38),2)*BS38),2)*AU38)/100),2))</f>
        <v>0</v>
      </c>
      <c r="AA38" s="2">
        <v>56793366</v>
      </c>
      <c r="AB38" s="2">
        <f t="shared" si="35"/>
        <v>72.27</v>
      </c>
      <c r="AC38" s="2">
        <f>ROUND((ES38),6)</f>
        <v>72.27</v>
      </c>
      <c r="AD38" s="2">
        <f>ROUND((((ET38)-(EU38))+AE38),6)</f>
        <v>0</v>
      </c>
      <c r="AE38" s="2">
        <f>ROUND((EU38),6)</f>
        <v>0</v>
      </c>
      <c r="AF38" s="2">
        <f>ROUND((EV38),6)</f>
        <v>0</v>
      </c>
      <c r="AG38" s="2">
        <f t="shared" si="37"/>
        <v>0</v>
      </c>
      <c r="AH38" s="2">
        <f>(EW38)</f>
        <v>0</v>
      </c>
      <c r="AI38" s="2">
        <f>(EX38)</f>
        <v>0</v>
      </c>
      <c r="AJ38" s="2">
        <f t="shared" si="39"/>
        <v>0</v>
      </c>
      <c r="AK38" s="2">
        <v>72.27</v>
      </c>
      <c r="AL38" s="2">
        <v>72.27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97</v>
      </c>
      <c r="AU38" s="2">
        <v>47</v>
      </c>
      <c r="AV38" s="2">
        <v>1</v>
      </c>
      <c r="AW38" s="2">
        <v>1</v>
      </c>
      <c r="AZ38" s="2">
        <v>1</v>
      </c>
      <c r="BA38" s="2">
        <v>1</v>
      </c>
      <c r="BB38" s="2">
        <v>1</v>
      </c>
      <c r="BC38" s="2">
        <v>10.56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1</v>
      </c>
      <c r="BJ38" s="2" t="s">
        <v>60</v>
      </c>
      <c r="BM38" s="2">
        <v>14</v>
      </c>
      <c r="BN38" s="2">
        <v>0</v>
      </c>
      <c r="BO38" s="2" t="s">
        <v>57</v>
      </c>
      <c r="BP38" s="2">
        <v>1</v>
      </c>
      <c r="BQ38" s="2">
        <v>30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97</v>
      </c>
      <c r="CA38" s="2">
        <v>47</v>
      </c>
      <c r="CB38" s="2" t="s">
        <v>3</v>
      </c>
      <c r="CE38" s="2">
        <v>1566</v>
      </c>
      <c r="CF38" s="2">
        <v>0</v>
      </c>
      <c r="CG38" s="2">
        <v>0</v>
      </c>
      <c r="CM38" s="2">
        <v>0</v>
      </c>
      <c r="CN38" s="2" t="s">
        <v>3</v>
      </c>
      <c r="CO38" s="2">
        <v>0</v>
      </c>
      <c r="CP38" s="2">
        <f t="shared" si="40"/>
        <v>763.17</v>
      </c>
      <c r="CQ38" s="2">
        <f t="shared" si="41"/>
        <v>763.17</v>
      </c>
      <c r="CR38" s="2">
        <f>(ROUND((ROUND(((ET38)*AV38*1),2)*BB38),2)+ROUND((ROUND(((AE38-(EU38))*AV38*1),2)*BS38),2))</f>
        <v>0</v>
      </c>
      <c r="CS38" s="2">
        <f>(ROUND((ROUND(((EU38)*AV38*1),2)*BS38),2)+ROUND((ROUND(((AE38-(EU38))*AV38*1),2)*BS38),2))</f>
        <v>0</v>
      </c>
      <c r="CT38" s="2">
        <f t="shared" si="42"/>
        <v>0</v>
      </c>
      <c r="CU38" s="2">
        <f t="shared" si="43"/>
        <v>0</v>
      </c>
      <c r="CV38" s="2">
        <f t="shared" si="44"/>
        <v>0</v>
      </c>
      <c r="CW38" s="2">
        <f t="shared" si="45"/>
        <v>0</v>
      </c>
      <c r="CX38" s="2">
        <f t="shared" si="45"/>
        <v>0</v>
      </c>
      <c r="CY38" s="2">
        <f>(ROUND((((S38+ROUND((ROUND(((EU38)*AV38*1),2)*BS38),2))*AT38)/100),2)+ROUND(((ROUND((ROUND(((AE38-(EU38))*AV38*1),2)*BS38),2)*AT38)/100),2))</f>
        <v>0</v>
      </c>
      <c r="CZ38" s="2">
        <f>(ROUND((((S38+ROUND((ROUND(((EU38)*AV38*1),2)*BS38),2))*AU38)/100),2)+ROUND(((ROUND((ROUND(((AE38-(EU38))*AV38*1),2)*BS38),2)*AU38)/100),2))</f>
        <v>0</v>
      </c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U38" s="2">
        <v>1013</v>
      </c>
      <c r="DV38" s="2" t="s">
        <v>59</v>
      </c>
      <c r="DW38" s="2" t="s">
        <v>59</v>
      </c>
      <c r="DX38" s="2">
        <v>1</v>
      </c>
      <c r="DZ38" s="2" t="s">
        <v>3</v>
      </c>
      <c r="EA38" s="2" t="s">
        <v>3</v>
      </c>
      <c r="EB38" s="2" t="s">
        <v>3</v>
      </c>
      <c r="EC38" s="2" t="s">
        <v>3</v>
      </c>
      <c r="EE38" s="2">
        <v>55896062</v>
      </c>
      <c r="EF38" s="2">
        <v>30</v>
      </c>
      <c r="EG38" s="2" t="s">
        <v>49</v>
      </c>
      <c r="EH38" s="2">
        <v>0</v>
      </c>
      <c r="EI38" s="2" t="s">
        <v>3</v>
      </c>
      <c r="EJ38" s="2">
        <v>1</v>
      </c>
      <c r="EK38" s="2">
        <v>14</v>
      </c>
      <c r="EL38" s="2" t="s">
        <v>50</v>
      </c>
      <c r="EM38" s="2" t="s">
        <v>51</v>
      </c>
      <c r="EO38" s="2" t="s">
        <v>3</v>
      </c>
      <c r="EQ38" s="2">
        <v>0</v>
      </c>
      <c r="ER38" s="2">
        <v>72.27</v>
      </c>
      <c r="ES38" s="2">
        <v>72.27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FQ38" s="2">
        <v>0</v>
      </c>
      <c r="FR38" s="2">
        <v>0</v>
      </c>
      <c r="FS38" s="2">
        <v>0</v>
      </c>
      <c r="FX38" s="2">
        <v>97</v>
      </c>
      <c r="FY38" s="2">
        <v>47</v>
      </c>
      <c r="GA38" s="2" t="s">
        <v>3</v>
      </c>
      <c r="GD38" s="2">
        <v>1</v>
      </c>
      <c r="GF38" s="2">
        <v>575964981</v>
      </c>
      <c r="GG38" s="2">
        <v>2</v>
      </c>
      <c r="GH38" s="2">
        <v>1</v>
      </c>
      <c r="GI38" s="2">
        <v>2</v>
      </c>
      <c r="GJ38" s="2">
        <v>0</v>
      </c>
      <c r="GK38" s="2">
        <v>0</v>
      </c>
      <c r="GL38" s="2">
        <f t="shared" si="46"/>
        <v>0</v>
      </c>
      <c r="GM38" s="2">
        <f t="shared" si="47"/>
        <v>763.17</v>
      </c>
      <c r="GN38" s="2">
        <f t="shared" si="48"/>
        <v>763.17</v>
      </c>
      <c r="GO38" s="2">
        <f t="shared" si="49"/>
        <v>0</v>
      </c>
      <c r="GP38" s="2">
        <f t="shared" si="50"/>
        <v>0</v>
      </c>
      <c r="GR38" s="2">
        <v>0</v>
      </c>
      <c r="GS38" s="2">
        <v>3</v>
      </c>
      <c r="GT38" s="2">
        <v>0</v>
      </c>
      <c r="GU38" s="2" t="s">
        <v>3</v>
      </c>
      <c r="GV38" s="2">
        <f t="shared" si="51"/>
        <v>0</v>
      </c>
      <c r="GW38" s="2">
        <v>1</v>
      </c>
      <c r="GX38" s="2">
        <f t="shared" si="52"/>
        <v>0</v>
      </c>
      <c r="HA38" s="2">
        <v>0</v>
      </c>
      <c r="HB38" s="2">
        <v>0</v>
      </c>
      <c r="HC38" s="2">
        <f t="shared" si="53"/>
        <v>0</v>
      </c>
      <c r="HE38" s="2" t="s">
        <v>3</v>
      </c>
      <c r="HF38" s="2" t="s">
        <v>3</v>
      </c>
      <c r="HM38" s="2" t="s">
        <v>3</v>
      </c>
      <c r="HN38" s="2" t="s">
        <v>3</v>
      </c>
      <c r="HO38" s="2" t="s">
        <v>3</v>
      </c>
      <c r="HP38" s="2" t="s">
        <v>3</v>
      </c>
      <c r="HQ38" s="2" t="s">
        <v>3</v>
      </c>
      <c r="HS38" s="2">
        <v>0</v>
      </c>
      <c r="IK38" s="2">
        <v>0</v>
      </c>
    </row>
    <row r="40" spans="1:245" x14ac:dyDescent="0.2">
      <c r="A40" s="9">
        <v>51</v>
      </c>
      <c r="B40" s="9">
        <f>B28</f>
        <v>0</v>
      </c>
      <c r="C40" s="9">
        <f>A28</f>
        <v>5</v>
      </c>
      <c r="D40" s="9">
        <f>ROW(A28)</f>
        <v>28</v>
      </c>
      <c r="E40" s="9"/>
      <c r="F40" s="9" t="str">
        <f>IF(F28&lt;&gt;"",F28,"")</f>
        <v>Новый подраздел</v>
      </c>
      <c r="G40" s="9" t="str">
        <f>IF(G28&lt;&gt;"",G28,"")</f>
        <v>Проемы</v>
      </c>
      <c r="H40" s="9">
        <v>0</v>
      </c>
      <c r="I40" s="9"/>
      <c r="J40" s="9"/>
      <c r="K40" s="9"/>
      <c r="L40" s="9"/>
      <c r="M40" s="9"/>
      <c r="N40" s="9"/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>
        <f t="shared" ref="AO40:BD40" si="54">ROUND(BX40,2)</f>
        <v>0</v>
      </c>
      <c r="AP40" s="9">
        <f t="shared" si="54"/>
        <v>0</v>
      </c>
      <c r="AQ40" s="9">
        <f t="shared" si="54"/>
        <v>0</v>
      </c>
      <c r="AR40" s="9">
        <f t="shared" si="54"/>
        <v>0</v>
      </c>
      <c r="AS40" s="9">
        <f t="shared" si="54"/>
        <v>0</v>
      </c>
      <c r="AT40" s="9">
        <f t="shared" si="54"/>
        <v>0</v>
      </c>
      <c r="AU40" s="9">
        <f t="shared" si="54"/>
        <v>0</v>
      </c>
      <c r="AV40" s="9">
        <f t="shared" si="54"/>
        <v>0</v>
      </c>
      <c r="AW40" s="9">
        <f t="shared" si="54"/>
        <v>0</v>
      </c>
      <c r="AX40" s="9">
        <f t="shared" si="54"/>
        <v>0</v>
      </c>
      <c r="AY40" s="9">
        <f t="shared" si="54"/>
        <v>0</v>
      </c>
      <c r="AZ40" s="9">
        <f t="shared" si="54"/>
        <v>0</v>
      </c>
      <c r="BA40" s="9">
        <f t="shared" si="54"/>
        <v>0</v>
      </c>
      <c r="BB40" s="9">
        <f t="shared" si="54"/>
        <v>0</v>
      </c>
      <c r="BC40" s="9">
        <f t="shared" si="54"/>
        <v>0</v>
      </c>
      <c r="BD40" s="9">
        <f t="shared" si="54"/>
        <v>0</v>
      </c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>
        <v>0</v>
      </c>
    </row>
    <row r="42" spans="1:245" x14ac:dyDescent="0.2">
      <c r="A42" s="11">
        <v>50</v>
      </c>
      <c r="B42" s="11">
        <v>0</v>
      </c>
      <c r="C42" s="11">
        <v>0</v>
      </c>
      <c r="D42" s="11">
        <v>1</v>
      </c>
      <c r="E42" s="11">
        <v>201</v>
      </c>
      <c r="F42" s="11">
        <f>ROUND(Source!O40,O42)</f>
        <v>0</v>
      </c>
      <c r="G42" s="11" t="s">
        <v>61</v>
      </c>
      <c r="H42" s="11" t="s">
        <v>62</v>
      </c>
      <c r="I42" s="11"/>
      <c r="J42" s="11"/>
      <c r="K42" s="11">
        <v>-201</v>
      </c>
      <c r="L42" s="11">
        <v>1</v>
      </c>
      <c r="M42" s="11">
        <v>3</v>
      </c>
      <c r="N42" s="11" t="s">
        <v>3</v>
      </c>
      <c r="O42" s="11">
        <v>2</v>
      </c>
      <c r="P42" s="11"/>
      <c r="Q42" s="11"/>
      <c r="R42" s="11"/>
      <c r="S42" s="11"/>
      <c r="T42" s="11"/>
      <c r="U42" s="11"/>
      <c r="V42" s="11"/>
      <c r="W42" s="11">
        <v>0</v>
      </c>
      <c r="X42" s="11">
        <v>1</v>
      </c>
      <c r="Y42" s="11">
        <v>0</v>
      </c>
      <c r="Z42" s="11"/>
      <c r="AA42" s="11"/>
      <c r="AB42" s="11"/>
    </row>
    <row r="43" spans="1:245" x14ac:dyDescent="0.2">
      <c r="A43" s="11">
        <v>50</v>
      </c>
      <c r="B43" s="11">
        <v>0</v>
      </c>
      <c r="C43" s="11">
        <v>0</v>
      </c>
      <c r="D43" s="11">
        <v>1</v>
      </c>
      <c r="E43" s="11">
        <v>202</v>
      </c>
      <c r="F43" s="11">
        <f>ROUND(Source!P40,O43)</f>
        <v>0</v>
      </c>
      <c r="G43" s="11" t="s">
        <v>63</v>
      </c>
      <c r="H43" s="11" t="s">
        <v>64</v>
      </c>
      <c r="I43" s="11"/>
      <c r="J43" s="11"/>
      <c r="K43" s="11">
        <v>-202</v>
      </c>
      <c r="L43" s="11">
        <v>2</v>
      </c>
      <c r="M43" s="11">
        <v>3</v>
      </c>
      <c r="N43" s="11" t="s">
        <v>3</v>
      </c>
      <c r="O43" s="11">
        <v>2</v>
      </c>
      <c r="P43" s="11"/>
      <c r="Q43" s="11"/>
      <c r="R43" s="11"/>
      <c r="S43" s="11"/>
      <c r="T43" s="11"/>
      <c r="U43" s="11"/>
      <c r="V43" s="11"/>
      <c r="W43" s="11">
        <v>0</v>
      </c>
      <c r="X43" s="11">
        <v>1</v>
      </c>
      <c r="Y43" s="11">
        <v>0</v>
      </c>
      <c r="Z43" s="11"/>
      <c r="AA43" s="11"/>
      <c r="AB43" s="11"/>
    </row>
    <row r="44" spans="1:245" x14ac:dyDescent="0.2">
      <c r="A44" s="11">
        <v>50</v>
      </c>
      <c r="B44" s="11">
        <v>0</v>
      </c>
      <c r="C44" s="11">
        <v>0</v>
      </c>
      <c r="D44" s="11">
        <v>1</v>
      </c>
      <c r="E44" s="11">
        <v>222</v>
      </c>
      <c r="F44" s="11">
        <f>ROUND(Source!AO40,O44)</f>
        <v>0</v>
      </c>
      <c r="G44" s="11" t="s">
        <v>65</v>
      </c>
      <c r="H44" s="11" t="s">
        <v>66</v>
      </c>
      <c r="I44" s="11"/>
      <c r="J44" s="11"/>
      <c r="K44" s="11">
        <v>-222</v>
      </c>
      <c r="L44" s="11">
        <v>3</v>
      </c>
      <c r="M44" s="11">
        <v>3</v>
      </c>
      <c r="N44" s="11" t="s">
        <v>3</v>
      </c>
      <c r="O44" s="11">
        <v>2</v>
      </c>
      <c r="P44" s="11"/>
      <c r="Q44" s="11"/>
      <c r="R44" s="11"/>
      <c r="S44" s="11"/>
      <c r="T44" s="11"/>
      <c r="U44" s="11"/>
      <c r="V44" s="11"/>
      <c r="W44" s="11">
        <v>0</v>
      </c>
      <c r="X44" s="11">
        <v>1</v>
      </c>
      <c r="Y44" s="11">
        <v>0</v>
      </c>
      <c r="Z44" s="11"/>
      <c r="AA44" s="11"/>
      <c r="AB44" s="11"/>
    </row>
    <row r="45" spans="1:245" x14ac:dyDescent="0.2">
      <c r="A45" s="11">
        <v>50</v>
      </c>
      <c r="B45" s="11">
        <v>0</v>
      </c>
      <c r="C45" s="11">
        <v>0</v>
      </c>
      <c r="D45" s="11">
        <v>1</v>
      </c>
      <c r="E45" s="11">
        <v>225</v>
      </c>
      <c r="F45" s="11">
        <f>ROUND(Source!AV40,O45)</f>
        <v>0</v>
      </c>
      <c r="G45" s="11" t="s">
        <v>67</v>
      </c>
      <c r="H45" s="11" t="s">
        <v>68</v>
      </c>
      <c r="I45" s="11"/>
      <c r="J45" s="11"/>
      <c r="K45" s="11">
        <v>-225</v>
      </c>
      <c r="L45" s="11">
        <v>4</v>
      </c>
      <c r="M45" s="11">
        <v>3</v>
      </c>
      <c r="N45" s="11" t="s">
        <v>3</v>
      </c>
      <c r="O45" s="11">
        <v>2</v>
      </c>
      <c r="P45" s="11"/>
      <c r="Q45" s="11"/>
      <c r="R45" s="11"/>
      <c r="S45" s="11"/>
      <c r="T45" s="11"/>
      <c r="U45" s="11"/>
      <c r="V45" s="11"/>
      <c r="W45" s="11">
        <v>0</v>
      </c>
      <c r="X45" s="11">
        <v>1</v>
      </c>
      <c r="Y45" s="11">
        <v>0</v>
      </c>
      <c r="Z45" s="11"/>
      <c r="AA45" s="11"/>
      <c r="AB45" s="11"/>
    </row>
    <row r="46" spans="1:245" x14ac:dyDescent="0.2">
      <c r="A46" s="11">
        <v>50</v>
      </c>
      <c r="B46" s="11">
        <v>0</v>
      </c>
      <c r="C46" s="11">
        <v>0</v>
      </c>
      <c r="D46" s="11">
        <v>1</v>
      </c>
      <c r="E46" s="11">
        <v>226</v>
      </c>
      <c r="F46" s="11">
        <f>ROUND(Source!AW40,O46)</f>
        <v>0</v>
      </c>
      <c r="G46" s="11" t="s">
        <v>69</v>
      </c>
      <c r="H46" s="11" t="s">
        <v>70</v>
      </c>
      <c r="I46" s="11"/>
      <c r="J46" s="11"/>
      <c r="K46" s="11">
        <v>-226</v>
      </c>
      <c r="L46" s="11">
        <v>5</v>
      </c>
      <c r="M46" s="11">
        <v>3</v>
      </c>
      <c r="N46" s="11" t="s">
        <v>3</v>
      </c>
      <c r="O46" s="11">
        <v>2</v>
      </c>
      <c r="P46" s="11"/>
      <c r="Q46" s="11"/>
      <c r="R46" s="11"/>
      <c r="S46" s="11"/>
      <c r="T46" s="11"/>
      <c r="U46" s="11"/>
      <c r="V46" s="11"/>
      <c r="W46" s="11">
        <v>0</v>
      </c>
      <c r="X46" s="11">
        <v>1</v>
      </c>
      <c r="Y46" s="11">
        <v>0</v>
      </c>
      <c r="Z46" s="11"/>
      <c r="AA46" s="11"/>
      <c r="AB46" s="11"/>
    </row>
    <row r="47" spans="1:245" x14ac:dyDescent="0.2">
      <c r="A47" s="11">
        <v>50</v>
      </c>
      <c r="B47" s="11">
        <v>0</v>
      </c>
      <c r="C47" s="11">
        <v>0</v>
      </c>
      <c r="D47" s="11">
        <v>1</v>
      </c>
      <c r="E47" s="11">
        <v>227</v>
      </c>
      <c r="F47" s="11">
        <f>ROUND(Source!AX40,O47)</f>
        <v>0</v>
      </c>
      <c r="G47" s="11" t="s">
        <v>71</v>
      </c>
      <c r="H47" s="11" t="s">
        <v>72</v>
      </c>
      <c r="I47" s="11"/>
      <c r="J47" s="11"/>
      <c r="K47" s="11">
        <v>-227</v>
      </c>
      <c r="L47" s="11">
        <v>6</v>
      </c>
      <c r="M47" s="11">
        <v>3</v>
      </c>
      <c r="N47" s="11" t="s">
        <v>3</v>
      </c>
      <c r="O47" s="11">
        <v>2</v>
      </c>
      <c r="P47" s="11"/>
      <c r="Q47" s="11"/>
      <c r="R47" s="11"/>
      <c r="S47" s="11"/>
      <c r="T47" s="11"/>
      <c r="U47" s="11"/>
      <c r="V47" s="11"/>
      <c r="W47" s="11">
        <v>0</v>
      </c>
      <c r="X47" s="11">
        <v>1</v>
      </c>
      <c r="Y47" s="11">
        <v>0</v>
      </c>
      <c r="Z47" s="11"/>
      <c r="AA47" s="11"/>
      <c r="AB47" s="11"/>
    </row>
    <row r="48" spans="1:245" x14ac:dyDescent="0.2">
      <c r="A48" s="11">
        <v>50</v>
      </c>
      <c r="B48" s="11">
        <v>0</v>
      </c>
      <c r="C48" s="11">
        <v>0</v>
      </c>
      <c r="D48" s="11">
        <v>1</v>
      </c>
      <c r="E48" s="11">
        <v>228</v>
      </c>
      <c r="F48" s="11">
        <f>ROUND(Source!AY40,O48)</f>
        <v>0</v>
      </c>
      <c r="G48" s="11" t="s">
        <v>73</v>
      </c>
      <c r="H48" s="11" t="s">
        <v>74</v>
      </c>
      <c r="I48" s="11"/>
      <c r="J48" s="11"/>
      <c r="K48" s="11">
        <v>-228</v>
      </c>
      <c r="L48" s="11">
        <v>7</v>
      </c>
      <c r="M48" s="11">
        <v>3</v>
      </c>
      <c r="N48" s="11" t="s">
        <v>3</v>
      </c>
      <c r="O48" s="11">
        <v>2</v>
      </c>
      <c r="P48" s="11"/>
      <c r="Q48" s="11"/>
      <c r="R48" s="11"/>
      <c r="S48" s="11"/>
      <c r="T48" s="11"/>
      <c r="U48" s="11"/>
      <c r="V48" s="11"/>
      <c r="W48" s="11">
        <v>0</v>
      </c>
      <c r="X48" s="11">
        <v>1</v>
      </c>
      <c r="Y48" s="11">
        <v>0</v>
      </c>
      <c r="Z48" s="11"/>
      <c r="AA48" s="11"/>
      <c r="AB48" s="11"/>
    </row>
    <row r="49" spans="1:28" x14ac:dyDescent="0.2">
      <c r="A49" s="11">
        <v>50</v>
      </c>
      <c r="B49" s="11">
        <v>0</v>
      </c>
      <c r="C49" s="11">
        <v>0</v>
      </c>
      <c r="D49" s="11">
        <v>1</v>
      </c>
      <c r="E49" s="11">
        <v>216</v>
      </c>
      <c r="F49" s="11">
        <f>ROUND(Source!AP40,O49)</f>
        <v>0</v>
      </c>
      <c r="G49" s="11" t="s">
        <v>75</v>
      </c>
      <c r="H49" s="11" t="s">
        <v>76</v>
      </c>
      <c r="I49" s="11"/>
      <c r="J49" s="11"/>
      <c r="K49" s="11">
        <v>-216</v>
      </c>
      <c r="L49" s="11">
        <v>8</v>
      </c>
      <c r="M49" s="11">
        <v>3</v>
      </c>
      <c r="N49" s="11" t="s">
        <v>3</v>
      </c>
      <c r="O49" s="11">
        <v>2</v>
      </c>
      <c r="P49" s="11"/>
      <c r="Q49" s="11"/>
      <c r="R49" s="11"/>
      <c r="S49" s="11"/>
      <c r="T49" s="11"/>
      <c r="U49" s="11"/>
      <c r="V49" s="11"/>
      <c r="W49" s="11">
        <v>0</v>
      </c>
      <c r="X49" s="11">
        <v>1</v>
      </c>
      <c r="Y49" s="11">
        <v>0</v>
      </c>
      <c r="Z49" s="11"/>
      <c r="AA49" s="11"/>
      <c r="AB49" s="11"/>
    </row>
    <row r="50" spans="1:28" x14ac:dyDescent="0.2">
      <c r="A50" s="11">
        <v>50</v>
      </c>
      <c r="B50" s="11">
        <v>0</v>
      </c>
      <c r="C50" s="11">
        <v>0</v>
      </c>
      <c r="D50" s="11">
        <v>1</v>
      </c>
      <c r="E50" s="11">
        <v>223</v>
      </c>
      <c r="F50" s="11">
        <f>ROUND(Source!AQ40,O50)</f>
        <v>0</v>
      </c>
      <c r="G50" s="11" t="s">
        <v>77</v>
      </c>
      <c r="H50" s="11" t="s">
        <v>78</v>
      </c>
      <c r="I50" s="11"/>
      <c r="J50" s="11"/>
      <c r="K50" s="11">
        <v>-223</v>
      </c>
      <c r="L50" s="11">
        <v>9</v>
      </c>
      <c r="M50" s="11">
        <v>3</v>
      </c>
      <c r="N50" s="11" t="s">
        <v>3</v>
      </c>
      <c r="O50" s="11">
        <v>2</v>
      </c>
      <c r="P50" s="11"/>
      <c r="Q50" s="11"/>
      <c r="R50" s="11"/>
      <c r="S50" s="11"/>
      <c r="T50" s="11"/>
      <c r="U50" s="11"/>
      <c r="V50" s="11"/>
      <c r="W50" s="11">
        <v>0</v>
      </c>
      <c r="X50" s="11">
        <v>1</v>
      </c>
      <c r="Y50" s="11">
        <v>0</v>
      </c>
      <c r="Z50" s="11"/>
      <c r="AA50" s="11"/>
      <c r="AB50" s="11"/>
    </row>
    <row r="51" spans="1:28" x14ac:dyDescent="0.2">
      <c r="A51" s="11">
        <v>50</v>
      </c>
      <c r="B51" s="11">
        <v>0</v>
      </c>
      <c r="C51" s="11">
        <v>0</v>
      </c>
      <c r="D51" s="11">
        <v>1</v>
      </c>
      <c r="E51" s="11">
        <v>229</v>
      </c>
      <c r="F51" s="11">
        <f>ROUND(Source!AZ40,O51)</f>
        <v>0</v>
      </c>
      <c r="G51" s="11" t="s">
        <v>79</v>
      </c>
      <c r="H51" s="11" t="s">
        <v>80</v>
      </c>
      <c r="I51" s="11"/>
      <c r="J51" s="11"/>
      <c r="K51" s="11">
        <v>-229</v>
      </c>
      <c r="L51" s="11">
        <v>10</v>
      </c>
      <c r="M51" s="11">
        <v>3</v>
      </c>
      <c r="N51" s="11" t="s">
        <v>3</v>
      </c>
      <c r="O51" s="11">
        <v>2</v>
      </c>
      <c r="P51" s="11"/>
      <c r="Q51" s="11"/>
      <c r="R51" s="11"/>
      <c r="S51" s="11"/>
      <c r="T51" s="11"/>
      <c r="U51" s="11"/>
      <c r="V51" s="11"/>
      <c r="W51" s="11">
        <v>0</v>
      </c>
      <c r="X51" s="11">
        <v>1</v>
      </c>
      <c r="Y51" s="11">
        <v>0</v>
      </c>
      <c r="Z51" s="11"/>
      <c r="AA51" s="11"/>
      <c r="AB51" s="11"/>
    </row>
    <row r="52" spans="1:28" x14ac:dyDescent="0.2">
      <c r="A52" s="11">
        <v>50</v>
      </c>
      <c r="B52" s="11">
        <v>0</v>
      </c>
      <c r="C52" s="11">
        <v>0</v>
      </c>
      <c r="D52" s="11">
        <v>1</v>
      </c>
      <c r="E52" s="11">
        <v>203</v>
      </c>
      <c r="F52" s="11">
        <f>ROUND(Source!Q40,O52)</f>
        <v>0</v>
      </c>
      <c r="G52" s="11" t="s">
        <v>81</v>
      </c>
      <c r="H52" s="11" t="s">
        <v>82</v>
      </c>
      <c r="I52" s="11"/>
      <c r="J52" s="11"/>
      <c r="K52" s="11">
        <v>-203</v>
      </c>
      <c r="L52" s="11">
        <v>11</v>
      </c>
      <c r="M52" s="11">
        <v>3</v>
      </c>
      <c r="N52" s="11" t="s">
        <v>3</v>
      </c>
      <c r="O52" s="11">
        <v>2</v>
      </c>
      <c r="P52" s="11"/>
      <c r="Q52" s="11"/>
      <c r="R52" s="11"/>
      <c r="S52" s="11"/>
      <c r="T52" s="11"/>
      <c r="U52" s="11"/>
      <c r="V52" s="11"/>
      <c r="W52" s="11">
        <v>0</v>
      </c>
      <c r="X52" s="11">
        <v>1</v>
      </c>
      <c r="Y52" s="11">
        <v>0</v>
      </c>
      <c r="Z52" s="11"/>
      <c r="AA52" s="11"/>
      <c r="AB52" s="11"/>
    </row>
    <row r="53" spans="1:28" x14ac:dyDescent="0.2">
      <c r="A53" s="11">
        <v>50</v>
      </c>
      <c r="B53" s="11">
        <v>0</v>
      </c>
      <c r="C53" s="11">
        <v>0</v>
      </c>
      <c r="D53" s="11">
        <v>1</v>
      </c>
      <c r="E53" s="11">
        <v>231</v>
      </c>
      <c r="F53" s="11">
        <f>ROUND(Source!BB40,O53)</f>
        <v>0</v>
      </c>
      <c r="G53" s="11" t="s">
        <v>83</v>
      </c>
      <c r="H53" s="11" t="s">
        <v>84</v>
      </c>
      <c r="I53" s="11"/>
      <c r="J53" s="11"/>
      <c r="K53" s="11">
        <v>-231</v>
      </c>
      <c r="L53" s="11">
        <v>12</v>
      </c>
      <c r="M53" s="11">
        <v>3</v>
      </c>
      <c r="N53" s="11" t="s">
        <v>3</v>
      </c>
      <c r="O53" s="11">
        <v>2</v>
      </c>
      <c r="P53" s="11"/>
      <c r="Q53" s="11"/>
      <c r="R53" s="11"/>
      <c r="S53" s="11"/>
      <c r="T53" s="11"/>
      <c r="U53" s="11"/>
      <c r="V53" s="11"/>
      <c r="W53" s="11">
        <v>0</v>
      </c>
      <c r="X53" s="11">
        <v>1</v>
      </c>
      <c r="Y53" s="11">
        <v>0</v>
      </c>
      <c r="Z53" s="11"/>
      <c r="AA53" s="11"/>
      <c r="AB53" s="11"/>
    </row>
    <row r="54" spans="1:28" x14ac:dyDescent="0.2">
      <c r="A54" s="11">
        <v>50</v>
      </c>
      <c r="B54" s="11">
        <v>0</v>
      </c>
      <c r="C54" s="11">
        <v>0</v>
      </c>
      <c r="D54" s="11">
        <v>1</v>
      </c>
      <c r="E54" s="11">
        <v>204</v>
      </c>
      <c r="F54" s="11">
        <f>ROUND(Source!R40,O54)</f>
        <v>0</v>
      </c>
      <c r="G54" s="11" t="s">
        <v>85</v>
      </c>
      <c r="H54" s="11" t="s">
        <v>86</v>
      </c>
      <c r="I54" s="11"/>
      <c r="J54" s="11"/>
      <c r="K54" s="11">
        <v>-204</v>
      </c>
      <c r="L54" s="11">
        <v>13</v>
      </c>
      <c r="M54" s="11">
        <v>3</v>
      </c>
      <c r="N54" s="11" t="s">
        <v>3</v>
      </c>
      <c r="O54" s="11">
        <v>2</v>
      </c>
      <c r="P54" s="11"/>
      <c r="Q54" s="11"/>
      <c r="R54" s="11"/>
      <c r="S54" s="11"/>
      <c r="T54" s="11"/>
      <c r="U54" s="11"/>
      <c r="V54" s="11"/>
      <c r="W54" s="11">
        <v>0</v>
      </c>
      <c r="X54" s="11">
        <v>1</v>
      </c>
      <c r="Y54" s="11">
        <v>0</v>
      </c>
      <c r="Z54" s="11"/>
      <c r="AA54" s="11"/>
      <c r="AB54" s="11"/>
    </row>
    <row r="55" spans="1:28" x14ac:dyDescent="0.2">
      <c r="A55" s="11">
        <v>50</v>
      </c>
      <c r="B55" s="11">
        <v>0</v>
      </c>
      <c r="C55" s="11">
        <v>0</v>
      </c>
      <c r="D55" s="11">
        <v>1</v>
      </c>
      <c r="E55" s="11">
        <v>205</v>
      </c>
      <c r="F55" s="11">
        <f>ROUND(Source!S40,O55)</f>
        <v>0</v>
      </c>
      <c r="G55" s="11" t="s">
        <v>87</v>
      </c>
      <c r="H55" s="11" t="s">
        <v>88</v>
      </c>
      <c r="I55" s="11"/>
      <c r="J55" s="11"/>
      <c r="K55" s="11">
        <v>-205</v>
      </c>
      <c r="L55" s="11">
        <v>14</v>
      </c>
      <c r="M55" s="11">
        <v>3</v>
      </c>
      <c r="N55" s="11" t="s">
        <v>3</v>
      </c>
      <c r="O55" s="11">
        <v>2</v>
      </c>
      <c r="P55" s="11"/>
      <c r="Q55" s="11"/>
      <c r="R55" s="11"/>
      <c r="S55" s="11"/>
      <c r="T55" s="11"/>
      <c r="U55" s="11"/>
      <c r="V55" s="11"/>
      <c r="W55" s="11">
        <v>0</v>
      </c>
      <c r="X55" s="11">
        <v>1</v>
      </c>
      <c r="Y55" s="11">
        <v>0</v>
      </c>
      <c r="Z55" s="11"/>
      <c r="AA55" s="11"/>
      <c r="AB55" s="11"/>
    </row>
    <row r="56" spans="1:28" x14ac:dyDescent="0.2">
      <c r="A56" s="11">
        <v>50</v>
      </c>
      <c r="B56" s="11">
        <v>0</v>
      </c>
      <c r="C56" s="11">
        <v>0</v>
      </c>
      <c r="D56" s="11">
        <v>1</v>
      </c>
      <c r="E56" s="11">
        <v>232</v>
      </c>
      <c r="F56" s="11">
        <f>ROUND(Source!BC40,O56)</f>
        <v>0</v>
      </c>
      <c r="G56" s="11" t="s">
        <v>89</v>
      </c>
      <c r="H56" s="11" t="s">
        <v>90</v>
      </c>
      <c r="I56" s="11"/>
      <c r="J56" s="11"/>
      <c r="K56" s="11">
        <v>-232</v>
      </c>
      <c r="L56" s="11">
        <v>15</v>
      </c>
      <c r="M56" s="11">
        <v>3</v>
      </c>
      <c r="N56" s="11" t="s">
        <v>3</v>
      </c>
      <c r="O56" s="11">
        <v>2</v>
      </c>
      <c r="P56" s="11"/>
      <c r="Q56" s="11"/>
      <c r="R56" s="11"/>
      <c r="S56" s="11"/>
      <c r="T56" s="11"/>
      <c r="U56" s="11"/>
      <c r="V56" s="11"/>
      <c r="W56" s="11">
        <v>0</v>
      </c>
      <c r="X56" s="11">
        <v>1</v>
      </c>
      <c r="Y56" s="11">
        <v>0</v>
      </c>
      <c r="Z56" s="11"/>
      <c r="AA56" s="11"/>
      <c r="AB56" s="11"/>
    </row>
    <row r="57" spans="1:28" x14ac:dyDescent="0.2">
      <c r="A57" s="11">
        <v>50</v>
      </c>
      <c r="B57" s="11">
        <v>0</v>
      </c>
      <c r="C57" s="11">
        <v>0</v>
      </c>
      <c r="D57" s="11">
        <v>1</v>
      </c>
      <c r="E57" s="11">
        <v>214</v>
      </c>
      <c r="F57" s="11">
        <f>ROUND(Source!AS40,O57)</f>
        <v>0</v>
      </c>
      <c r="G57" s="11" t="s">
        <v>91</v>
      </c>
      <c r="H57" s="11" t="s">
        <v>92</v>
      </c>
      <c r="I57" s="11"/>
      <c r="J57" s="11"/>
      <c r="K57" s="11">
        <v>-214</v>
      </c>
      <c r="L57" s="11">
        <v>16</v>
      </c>
      <c r="M57" s="11">
        <v>3</v>
      </c>
      <c r="N57" s="11" t="s">
        <v>3</v>
      </c>
      <c r="O57" s="11">
        <v>2</v>
      </c>
      <c r="P57" s="11"/>
      <c r="Q57" s="11"/>
      <c r="R57" s="11"/>
      <c r="S57" s="11"/>
      <c r="T57" s="11"/>
      <c r="U57" s="11"/>
      <c r="V57" s="11"/>
      <c r="W57" s="11">
        <v>0</v>
      </c>
      <c r="X57" s="11">
        <v>1</v>
      </c>
      <c r="Y57" s="11">
        <v>0</v>
      </c>
      <c r="Z57" s="11"/>
      <c r="AA57" s="11"/>
      <c r="AB57" s="11"/>
    </row>
    <row r="58" spans="1:28" x14ac:dyDescent="0.2">
      <c r="A58" s="11">
        <v>50</v>
      </c>
      <c r="B58" s="11">
        <v>0</v>
      </c>
      <c r="C58" s="11">
        <v>0</v>
      </c>
      <c r="D58" s="11">
        <v>1</v>
      </c>
      <c r="E58" s="11">
        <v>215</v>
      </c>
      <c r="F58" s="11">
        <f>ROUND(Source!AT40,O58)</f>
        <v>0</v>
      </c>
      <c r="G58" s="11" t="s">
        <v>93</v>
      </c>
      <c r="H58" s="11" t="s">
        <v>94</v>
      </c>
      <c r="I58" s="11"/>
      <c r="J58" s="11"/>
      <c r="K58" s="11">
        <v>-215</v>
      </c>
      <c r="L58" s="11">
        <v>17</v>
      </c>
      <c r="M58" s="11">
        <v>3</v>
      </c>
      <c r="N58" s="11" t="s">
        <v>3</v>
      </c>
      <c r="O58" s="11">
        <v>2</v>
      </c>
      <c r="P58" s="11"/>
      <c r="Q58" s="11"/>
      <c r="R58" s="11"/>
      <c r="S58" s="11"/>
      <c r="T58" s="11"/>
      <c r="U58" s="11"/>
      <c r="V58" s="11"/>
      <c r="W58" s="11">
        <v>0</v>
      </c>
      <c r="X58" s="11">
        <v>1</v>
      </c>
      <c r="Y58" s="11">
        <v>0</v>
      </c>
      <c r="Z58" s="11"/>
      <c r="AA58" s="11"/>
      <c r="AB58" s="11"/>
    </row>
    <row r="59" spans="1:28" x14ac:dyDescent="0.2">
      <c r="A59" s="11">
        <v>50</v>
      </c>
      <c r="B59" s="11">
        <v>0</v>
      </c>
      <c r="C59" s="11">
        <v>0</v>
      </c>
      <c r="D59" s="11">
        <v>1</v>
      </c>
      <c r="E59" s="11">
        <v>217</v>
      </c>
      <c r="F59" s="11">
        <f>ROUND(Source!AU40,O59)</f>
        <v>0</v>
      </c>
      <c r="G59" s="11" t="s">
        <v>95</v>
      </c>
      <c r="H59" s="11" t="s">
        <v>96</v>
      </c>
      <c r="I59" s="11"/>
      <c r="J59" s="11"/>
      <c r="K59" s="11">
        <v>-217</v>
      </c>
      <c r="L59" s="11">
        <v>18</v>
      </c>
      <c r="M59" s="11">
        <v>3</v>
      </c>
      <c r="N59" s="11" t="s">
        <v>3</v>
      </c>
      <c r="O59" s="11">
        <v>2</v>
      </c>
      <c r="P59" s="11"/>
      <c r="Q59" s="11"/>
      <c r="R59" s="11"/>
      <c r="S59" s="11"/>
      <c r="T59" s="11"/>
      <c r="U59" s="11"/>
      <c r="V59" s="11"/>
      <c r="W59" s="11">
        <v>0</v>
      </c>
      <c r="X59" s="11">
        <v>1</v>
      </c>
      <c r="Y59" s="11">
        <v>0</v>
      </c>
      <c r="Z59" s="11"/>
      <c r="AA59" s="11"/>
      <c r="AB59" s="11"/>
    </row>
    <row r="60" spans="1:28" x14ac:dyDescent="0.2">
      <c r="A60" s="11">
        <v>50</v>
      </c>
      <c r="B60" s="11">
        <v>0</v>
      </c>
      <c r="C60" s="11">
        <v>0</v>
      </c>
      <c r="D60" s="11">
        <v>1</v>
      </c>
      <c r="E60" s="11">
        <v>230</v>
      </c>
      <c r="F60" s="11">
        <f>ROUND(Source!BA40,O60)</f>
        <v>0</v>
      </c>
      <c r="G60" s="11" t="s">
        <v>97</v>
      </c>
      <c r="H60" s="11" t="s">
        <v>98</v>
      </c>
      <c r="I60" s="11"/>
      <c r="J60" s="11"/>
      <c r="K60" s="11">
        <v>-230</v>
      </c>
      <c r="L60" s="11">
        <v>19</v>
      </c>
      <c r="M60" s="11">
        <v>3</v>
      </c>
      <c r="N60" s="11" t="s">
        <v>3</v>
      </c>
      <c r="O60" s="11">
        <v>2</v>
      </c>
      <c r="P60" s="11"/>
      <c r="Q60" s="11"/>
      <c r="R60" s="11"/>
      <c r="S60" s="11"/>
      <c r="T60" s="11"/>
      <c r="U60" s="11"/>
      <c r="V60" s="11"/>
      <c r="W60" s="11">
        <v>0</v>
      </c>
      <c r="X60" s="11">
        <v>1</v>
      </c>
      <c r="Y60" s="11">
        <v>0</v>
      </c>
      <c r="Z60" s="11"/>
      <c r="AA60" s="11"/>
      <c r="AB60" s="11"/>
    </row>
    <row r="61" spans="1:28" x14ac:dyDescent="0.2">
      <c r="A61" s="11">
        <v>50</v>
      </c>
      <c r="B61" s="11">
        <v>0</v>
      </c>
      <c r="C61" s="11">
        <v>0</v>
      </c>
      <c r="D61" s="11">
        <v>1</v>
      </c>
      <c r="E61" s="11">
        <v>206</v>
      </c>
      <c r="F61" s="11">
        <f>ROUND(Source!T40,O61)</f>
        <v>0</v>
      </c>
      <c r="G61" s="11" t="s">
        <v>99</v>
      </c>
      <c r="H61" s="11" t="s">
        <v>100</v>
      </c>
      <c r="I61" s="11"/>
      <c r="J61" s="11"/>
      <c r="K61" s="11">
        <v>-206</v>
      </c>
      <c r="L61" s="11">
        <v>20</v>
      </c>
      <c r="M61" s="11">
        <v>3</v>
      </c>
      <c r="N61" s="11" t="s">
        <v>3</v>
      </c>
      <c r="O61" s="11">
        <v>2</v>
      </c>
      <c r="P61" s="11"/>
      <c r="Q61" s="11"/>
      <c r="R61" s="11"/>
      <c r="S61" s="11"/>
      <c r="T61" s="11"/>
      <c r="U61" s="11"/>
      <c r="V61" s="11"/>
      <c r="W61" s="11">
        <v>0</v>
      </c>
      <c r="X61" s="11">
        <v>1</v>
      </c>
      <c r="Y61" s="11">
        <v>0</v>
      </c>
      <c r="Z61" s="11"/>
      <c r="AA61" s="11"/>
      <c r="AB61" s="11"/>
    </row>
    <row r="62" spans="1:28" x14ac:dyDescent="0.2">
      <c r="A62" s="11">
        <v>50</v>
      </c>
      <c r="B62" s="11">
        <v>0</v>
      </c>
      <c r="C62" s="11">
        <v>0</v>
      </c>
      <c r="D62" s="11">
        <v>1</v>
      </c>
      <c r="E62" s="11">
        <v>207</v>
      </c>
      <c r="F62" s="11">
        <f>Source!U40</f>
        <v>0</v>
      </c>
      <c r="G62" s="11" t="s">
        <v>101</v>
      </c>
      <c r="H62" s="11" t="s">
        <v>102</v>
      </c>
      <c r="I62" s="11"/>
      <c r="J62" s="11"/>
      <c r="K62" s="11">
        <v>-207</v>
      </c>
      <c r="L62" s="11">
        <v>21</v>
      </c>
      <c r="M62" s="11">
        <v>3</v>
      </c>
      <c r="N62" s="11" t="s">
        <v>3</v>
      </c>
      <c r="O62" s="11">
        <v>-1</v>
      </c>
      <c r="P62" s="11"/>
      <c r="Q62" s="11"/>
      <c r="R62" s="11"/>
      <c r="S62" s="11"/>
      <c r="T62" s="11"/>
      <c r="U62" s="11"/>
      <c r="V62" s="11"/>
      <c r="W62" s="11">
        <v>0</v>
      </c>
      <c r="X62" s="11">
        <v>1</v>
      </c>
      <c r="Y62" s="11">
        <v>0</v>
      </c>
      <c r="Z62" s="11"/>
      <c r="AA62" s="11"/>
      <c r="AB62" s="11"/>
    </row>
    <row r="63" spans="1:28" x14ac:dyDescent="0.2">
      <c r="A63" s="11">
        <v>50</v>
      </c>
      <c r="B63" s="11">
        <v>0</v>
      </c>
      <c r="C63" s="11">
        <v>0</v>
      </c>
      <c r="D63" s="11">
        <v>1</v>
      </c>
      <c r="E63" s="11">
        <v>208</v>
      </c>
      <c r="F63" s="11">
        <f>Source!V40</f>
        <v>0</v>
      </c>
      <c r="G63" s="11" t="s">
        <v>103</v>
      </c>
      <c r="H63" s="11" t="s">
        <v>104</v>
      </c>
      <c r="I63" s="11"/>
      <c r="J63" s="11"/>
      <c r="K63" s="11">
        <v>-208</v>
      </c>
      <c r="L63" s="11">
        <v>22</v>
      </c>
      <c r="M63" s="11">
        <v>3</v>
      </c>
      <c r="N63" s="11" t="s">
        <v>3</v>
      </c>
      <c r="O63" s="11">
        <v>-1</v>
      </c>
      <c r="P63" s="11"/>
      <c r="Q63" s="11"/>
      <c r="R63" s="11"/>
      <c r="S63" s="11"/>
      <c r="T63" s="11"/>
      <c r="U63" s="11"/>
      <c r="V63" s="11"/>
      <c r="W63" s="11">
        <v>0</v>
      </c>
      <c r="X63" s="11">
        <v>1</v>
      </c>
      <c r="Y63" s="11">
        <v>0</v>
      </c>
      <c r="Z63" s="11"/>
      <c r="AA63" s="11"/>
      <c r="AB63" s="11"/>
    </row>
    <row r="64" spans="1:28" x14ac:dyDescent="0.2">
      <c r="A64" s="11">
        <v>50</v>
      </c>
      <c r="B64" s="11">
        <v>0</v>
      </c>
      <c r="C64" s="11">
        <v>0</v>
      </c>
      <c r="D64" s="11">
        <v>1</v>
      </c>
      <c r="E64" s="11">
        <v>209</v>
      </c>
      <c r="F64" s="11">
        <f>ROUND(Source!W40,O64)</f>
        <v>0</v>
      </c>
      <c r="G64" s="11" t="s">
        <v>105</v>
      </c>
      <c r="H64" s="11" t="s">
        <v>106</v>
      </c>
      <c r="I64" s="11"/>
      <c r="J64" s="11"/>
      <c r="K64" s="11">
        <v>-209</v>
      </c>
      <c r="L64" s="11">
        <v>23</v>
      </c>
      <c r="M64" s="11">
        <v>3</v>
      </c>
      <c r="N64" s="11" t="s">
        <v>3</v>
      </c>
      <c r="O64" s="11">
        <v>2</v>
      </c>
      <c r="P64" s="11"/>
      <c r="Q64" s="11"/>
      <c r="R64" s="11"/>
      <c r="S64" s="11"/>
      <c r="T64" s="11"/>
      <c r="U64" s="11"/>
      <c r="V64" s="11"/>
      <c r="W64" s="11">
        <v>0</v>
      </c>
      <c r="X64" s="11">
        <v>1</v>
      </c>
      <c r="Y64" s="11">
        <v>0</v>
      </c>
      <c r="Z64" s="11"/>
      <c r="AA64" s="11"/>
      <c r="AB64" s="11"/>
    </row>
    <row r="65" spans="1:245" x14ac:dyDescent="0.2">
      <c r="A65" s="11">
        <v>50</v>
      </c>
      <c r="B65" s="11">
        <v>0</v>
      </c>
      <c r="C65" s="11">
        <v>0</v>
      </c>
      <c r="D65" s="11">
        <v>1</v>
      </c>
      <c r="E65" s="11">
        <v>233</v>
      </c>
      <c r="F65" s="11">
        <f>ROUND(Source!BD40,O65)</f>
        <v>0</v>
      </c>
      <c r="G65" s="11" t="s">
        <v>107</v>
      </c>
      <c r="H65" s="11" t="s">
        <v>108</v>
      </c>
      <c r="I65" s="11"/>
      <c r="J65" s="11"/>
      <c r="K65" s="11">
        <v>-233</v>
      </c>
      <c r="L65" s="11">
        <v>24</v>
      </c>
      <c r="M65" s="11">
        <v>3</v>
      </c>
      <c r="N65" s="11" t="s">
        <v>3</v>
      </c>
      <c r="O65" s="11">
        <v>2</v>
      </c>
      <c r="P65" s="11"/>
      <c r="Q65" s="11"/>
      <c r="R65" s="11"/>
      <c r="S65" s="11"/>
      <c r="T65" s="11"/>
      <c r="U65" s="11"/>
      <c r="V65" s="11"/>
      <c r="W65" s="11">
        <v>0</v>
      </c>
      <c r="X65" s="11">
        <v>1</v>
      </c>
      <c r="Y65" s="11">
        <v>0</v>
      </c>
      <c r="Z65" s="11"/>
      <c r="AA65" s="11"/>
      <c r="AB65" s="11"/>
    </row>
    <row r="66" spans="1:245" x14ac:dyDescent="0.2">
      <c r="A66" s="11">
        <v>50</v>
      </c>
      <c r="B66" s="11">
        <v>0</v>
      </c>
      <c r="C66" s="11">
        <v>0</v>
      </c>
      <c r="D66" s="11">
        <v>1</v>
      </c>
      <c r="E66" s="11">
        <v>210</v>
      </c>
      <c r="F66" s="11">
        <f>ROUND(Source!X40,O66)</f>
        <v>0</v>
      </c>
      <c r="G66" s="11" t="s">
        <v>109</v>
      </c>
      <c r="H66" s="11" t="s">
        <v>110</v>
      </c>
      <c r="I66" s="11"/>
      <c r="J66" s="11"/>
      <c r="K66" s="11">
        <v>-210</v>
      </c>
      <c r="L66" s="11">
        <v>25</v>
      </c>
      <c r="M66" s="11">
        <v>3</v>
      </c>
      <c r="N66" s="11" t="s">
        <v>3</v>
      </c>
      <c r="O66" s="11">
        <v>2</v>
      </c>
      <c r="P66" s="11"/>
      <c r="Q66" s="11"/>
      <c r="R66" s="11"/>
      <c r="S66" s="11"/>
      <c r="T66" s="11"/>
      <c r="U66" s="11"/>
      <c r="V66" s="11"/>
      <c r="W66" s="11">
        <v>0</v>
      </c>
      <c r="X66" s="11">
        <v>1</v>
      </c>
      <c r="Y66" s="11">
        <v>0</v>
      </c>
      <c r="Z66" s="11"/>
      <c r="AA66" s="11"/>
      <c r="AB66" s="11"/>
    </row>
    <row r="67" spans="1:245" x14ac:dyDescent="0.2">
      <c r="A67" s="11">
        <v>50</v>
      </c>
      <c r="B67" s="11">
        <v>0</v>
      </c>
      <c r="C67" s="11">
        <v>0</v>
      </c>
      <c r="D67" s="11">
        <v>1</v>
      </c>
      <c r="E67" s="11">
        <v>211</v>
      </c>
      <c r="F67" s="11">
        <f>ROUND(Source!Y40,O67)</f>
        <v>0</v>
      </c>
      <c r="G67" s="11" t="s">
        <v>111</v>
      </c>
      <c r="H67" s="11" t="s">
        <v>112</v>
      </c>
      <c r="I67" s="11"/>
      <c r="J67" s="11"/>
      <c r="K67" s="11">
        <v>-211</v>
      </c>
      <c r="L67" s="11">
        <v>26</v>
      </c>
      <c r="M67" s="11">
        <v>3</v>
      </c>
      <c r="N67" s="11" t="s">
        <v>3</v>
      </c>
      <c r="O67" s="11">
        <v>2</v>
      </c>
      <c r="P67" s="11"/>
      <c r="Q67" s="11"/>
      <c r="R67" s="11"/>
      <c r="S67" s="11"/>
      <c r="T67" s="11"/>
      <c r="U67" s="11"/>
      <c r="V67" s="11"/>
      <c r="W67" s="11">
        <v>0</v>
      </c>
      <c r="X67" s="11">
        <v>1</v>
      </c>
      <c r="Y67" s="11">
        <v>0</v>
      </c>
      <c r="Z67" s="11"/>
      <c r="AA67" s="11"/>
      <c r="AB67" s="11"/>
    </row>
    <row r="68" spans="1:245" x14ac:dyDescent="0.2">
      <c r="A68" s="11">
        <v>50</v>
      </c>
      <c r="B68" s="11">
        <v>0</v>
      </c>
      <c r="C68" s="11">
        <v>0</v>
      </c>
      <c r="D68" s="11">
        <v>1</v>
      </c>
      <c r="E68" s="11">
        <v>224</v>
      </c>
      <c r="F68" s="11">
        <f>ROUND(Source!AR40,O68)</f>
        <v>0</v>
      </c>
      <c r="G68" s="11" t="s">
        <v>113</v>
      </c>
      <c r="H68" s="11" t="s">
        <v>114</v>
      </c>
      <c r="I68" s="11"/>
      <c r="J68" s="11"/>
      <c r="K68" s="11">
        <v>-224</v>
      </c>
      <c r="L68" s="11">
        <v>27</v>
      </c>
      <c r="M68" s="11">
        <v>3</v>
      </c>
      <c r="N68" s="11" t="s">
        <v>3</v>
      </c>
      <c r="O68" s="11">
        <v>2</v>
      </c>
      <c r="P68" s="11"/>
      <c r="Q68" s="11"/>
      <c r="R68" s="11"/>
      <c r="S68" s="11"/>
      <c r="T68" s="11"/>
      <c r="U68" s="11"/>
      <c r="V68" s="11"/>
      <c r="W68" s="11">
        <v>0</v>
      </c>
      <c r="X68" s="11">
        <v>1</v>
      </c>
      <c r="Y68" s="11">
        <v>0</v>
      </c>
      <c r="Z68" s="11"/>
      <c r="AA68" s="11"/>
      <c r="AB68" s="11"/>
    </row>
    <row r="70" spans="1:245" x14ac:dyDescent="0.2">
      <c r="A70" s="8">
        <v>5</v>
      </c>
      <c r="B70" s="8">
        <v>1</v>
      </c>
      <c r="C70" s="8"/>
      <c r="D70" s="8">
        <f>ROW(A97)</f>
        <v>97</v>
      </c>
      <c r="E70" s="8"/>
      <c r="F70" s="8" t="s">
        <v>17</v>
      </c>
      <c r="G70" s="8" t="s">
        <v>115</v>
      </c>
      <c r="H70" s="8" t="s">
        <v>3</v>
      </c>
      <c r="I70" s="8">
        <v>0</v>
      </c>
      <c r="J70" s="8"/>
      <c r="K70" s="8">
        <v>0</v>
      </c>
      <c r="L70" s="8"/>
      <c r="M70" s="8" t="s">
        <v>3</v>
      </c>
      <c r="N70" s="8"/>
      <c r="O70" s="8"/>
      <c r="P70" s="8"/>
      <c r="Q70" s="8"/>
      <c r="R70" s="8"/>
      <c r="S70" s="8">
        <v>0</v>
      </c>
      <c r="T70" s="8"/>
      <c r="U70" s="8" t="s">
        <v>3</v>
      </c>
      <c r="V70" s="8">
        <v>0</v>
      </c>
      <c r="W70" s="8"/>
      <c r="X70" s="8"/>
      <c r="Y70" s="8"/>
      <c r="Z70" s="8"/>
      <c r="AA70" s="8"/>
      <c r="AB70" s="8" t="s">
        <v>3</v>
      </c>
      <c r="AC70" s="8" t="s">
        <v>3</v>
      </c>
      <c r="AD70" s="8" t="s">
        <v>3</v>
      </c>
      <c r="AE70" s="8" t="s">
        <v>3</v>
      </c>
      <c r="AF70" s="8" t="s">
        <v>3</v>
      </c>
      <c r="AG70" s="8" t="s">
        <v>3</v>
      </c>
      <c r="AH70" s="8"/>
      <c r="AI70" s="8"/>
      <c r="AJ70" s="8"/>
      <c r="AK70" s="8"/>
      <c r="AL70" s="8"/>
      <c r="AM70" s="8"/>
      <c r="AN70" s="8"/>
      <c r="AO70" s="8"/>
      <c r="AP70" s="8" t="s">
        <v>3</v>
      </c>
      <c r="AQ70" s="8" t="s">
        <v>3</v>
      </c>
      <c r="AR70" s="8" t="s">
        <v>3</v>
      </c>
      <c r="AS70" s="8"/>
      <c r="AT70" s="8"/>
      <c r="AU70" s="8"/>
      <c r="AV70" s="8"/>
      <c r="AW70" s="8"/>
      <c r="AX70" s="8"/>
      <c r="AY70" s="8"/>
      <c r="AZ70" s="8" t="s">
        <v>3</v>
      </c>
      <c r="BA70" s="8"/>
      <c r="BB70" s="8" t="s">
        <v>3</v>
      </c>
      <c r="BC70" s="8" t="s">
        <v>3</v>
      </c>
      <c r="BD70" s="8" t="s">
        <v>3</v>
      </c>
      <c r="BE70" s="8" t="s">
        <v>3</v>
      </c>
      <c r="BF70" s="8" t="s">
        <v>3</v>
      </c>
      <c r="BG70" s="8" t="s">
        <v>3</v>
      </c>
      <c r="BH70" s="8" t="s">
        <v>3</v>
      </c>
      <c r="BI70" s="8" t="s">
        <v>3</v>
      </c>
      <c r="BJ70" s="8" t="s">
        <v>3</v>
      </c>
      <c r="BK70" s="8" t="s">
        <v>3</v>
      </c>
      <c r="BL70" s="8" t="s">
        <v>3</v>
      </c>
      <c r="BM70" s="8" t="s">
        <v>3</v>
      </c>
      <c r="BN70" s="8" t="s">
        <v>3</v>
      </c>
      <c r="BO70" s="8" t="s">
        <v>3</v>
      </c>
      <c r="BP70" s="8" t="s">
        <v>3</v>
      </c>
      <c r="BQ70" s="8"/>
      <c r="BR70" s="8"/>
      <c r="BS70" s="8"/>
      <c r="BT70" s="8"/>
      <c r="BU70" s="8"/>
      <c r="BV70" s="8"/>
      <c r="BW70" s="8"/>
      <c r="BX70" s="8">
        <v>0</v>
      </c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>
        <v>0</v>
      </c>
    </row>
    <row r="72" spans="1:245" x14ac:dyDescent="0.2">
      <c r="A72" s="9">
        <v>52</v>
      </c>
      <c r="B72" s="9">
        <f t="shared" ref="B72:G72" si="55">B97</f>
        <v>1</v>
      </c>
      <c r="C72" s="9">
        <f t="shared" si="55"/>
        <v>5</v>
      </c>
      <c r="D72" s="9">
        <f t="shared" si="55"/>
        <v>70</v>
      </c>
      <c r="E72" s="9">
        <f t="shared" si="55"/>
        <v>0</v>
      </c>
      <c r="F72" s="9" t="str">
        <f t="shared" si="55"/>
        <v>Новый подраздел</v>
      </c>
      <c r="G72" s="9" t="str">
        <f t="shared" si="55"/>
        <v>Полы</v>
      </c>
      <c r="H72" s="9"/>
      <c r="I72" s="9"/>
      <c r="J72" s="9"/>
      <c r="K72" s="9"/>
      <c r="L72" s="9"/>
      <c r="M72" s="9"/>
      <c r="N72" s="9"/>
      <c r="O72" s="9">
        <f t="shared" ref="O72:AT72" si="56">O97</f>
        <v>39315.629999999997</v>
      </c>
      <c r="P72" s="9">
        <f t="shared" si="56"/>
        <v>15059.84</v>
      </c>
      <c r="Q72" s="9">
        <f t="shared" si="56"/>
        <v>172.12</v>
      </c>
      <c r="R72" s="9">
        <f t="shared" si="56"/>
        <v>47.92</v>
      </c>
      <c r="S72" s="9">
        <f t="shared" si="56"/>
        <v>24083.67</v>
      </c>
      <c r="T72" s="9">
        <f t="shared" si="56"/>
        <v>0</v>
      </c>
      <c r="U72" s="9">
        <f t="shared" si="56"/>
        <v>35.422045900000001</v>
      </c>
      <c r="V72" s="9">
        <f t="shared" si="56"/>
        <v>0</v>
      </c>
      <c r="W72" s="9">
        <f t="shared" si="56"/>
        <v>0</v>
      </c>
      <c r="X72" s="9">
        <f t="shared" si="56"/>
        <v>23512.57</v>
      </c>
      <c r="Y72" s="9">
        <f t="shared" si="56"/>
        <v>12842.21</v>
      </c>
      <c r="Z72" s="9">
        <f t="shared" si="56"/>
        <v>0</v>
      </c>
      <c r="AA72" s="9">
        <f t="shared" si="56"/>
        <v>0</v>
      </c>
      <c r="AB72" s="9">
        <f t="shared" si="56"/>
        <v>39315.629999999997</v>
      </c>
      <c r="AC72" s="9">
        <f t="shared" si="56"/>
        <v>15059.84</v>
      </c>
      <c r="AD72" s="9">
        <f t="shared" si="56"/>
        <v>172.12</v>
      </c>
      <c r="AE72" s="9">
        <f t="shared" si="56"/>
        <v>47.92</v>
      </c>
      <c r="AF72" s="9">
        <f t="shared" si="56"/>
        <v>24083.67</v>
      </c>
      <c r="AG72" s="9">
        <f t="shared" si="56"/>
        <v>0</v>
      </c>
      <c r="AH72" s="9">
        <f t="shared" si="56"/>
        <v>35.422045900000001</v>
      </c>
      <c r="AI72" s="9">
        <f t="shared" si="56"/>
        <v>0</v>
      </c>
      <c r="AJ72" s="9">
        <f t="shared" si="56"/>
        <v>0</v>
      </c>
      <c r="AK72" s="9">
        <f t="shared" si="56"/>
        <v>23512.57</v>
      </c>
      <c r="AL72" s="9">
        <f t="shared" si="56"/>
        <v>12842.21</v>
      </c>
      <c r="AM72" s="9">
        <f t="shared" si="56"/>
        <v>0</v>
      </c>
      <c r="AN72" s="9">
        <f t="shared" si="56"/>
        <v>0</v>
      </c>
      <c r="AO72" s="9">
        <f t="shared" si="56"/>
        <v>0</v>
      </c>
      <c r="AP72" s="9">
        <f t="shared" si="56"/>
        <v>0</v>
      </c>
      <c r="AQ72" s="9">
        <f t="shared" si="56"/>
        <v>0</v>
      </c>
      <c r="AR72" s="9">
        <f t="shared" si="56"/>
        <v>75670.41</v>
      </c>
      <c r="AS72" s="9">
        <f t="shared" si="56"/>
        <v>75670.41</v>
      </c>
      <c r="AT72" s="9">
        <f t="shared" si="56"/>
        <v>0</v>
      </c>
      <c r="AU72" s="9">
        <f t="shared" ref="AU72:BZ72" si="57">AU97</f>
        <v>0</v>
      </c>
      <c r="AV72" s="9">
        <f t="shared" si="57"/>
        <v>15059.84</v>
      </c>
      <c r="AW72" s="9">
        <f t="shared" si="57"/>
        <v>15059.84</v>
      </c>
      <c r="AX72" s="9">
        <f t="shared" si="57"/>
        <v>0</v>
      </c>
      <c r="AY72" s="9">
        <f t="shared" si="57"/>
        <v>15059.84</v>
      </c>
      <c r="AZ72" s="9">
        <f t="shared" si="57"/>
        <v>0</v>
      </c>
      <c r="BA72" s="9">
        <f t="shared" si="57"/>
        <v>0</v>
      </c>
      <c r="BB72" s="9">
        <f t="shared" si="57"/>
        <v>0</v>
      </c>
      <c r="BC72" s="9">
        <f t="shared" si="57"/>
        <v>0</v>
      </c>
      <c r="BD72" s="9">
        <f t="shared" si="57"/>
        <v>0</v>
      </c>
      <c r="BE72" s="9">
        <f t="shared" si="57"/>
        <v>0</v>
      </c>
      <c r="BF72" s="9">
        <f t="shared" si="57"/>
        <v>0</v>
      </c>
      <c r="BG72" s="9">
        <f t="shared" si="57"/>
        <v>0</v>
      </c>
      <c r="BH72" s="9">
        <f t="shared" si="57"/>
        <v>0</v>
      </c>
      <c r="BI72" s="9">
        <f t="shared" si="57"/>
        <v>0</v>
      </c>
      <c r="BJ72" s="9">
        <f t="shared" si="57"/>
        <v>0</v>
      </c>
      <c r="BK72" s="9">
        <f t="shared" si="57"/>
        <v>0</v>
      </c>
      <c r="BL72" s="9">
        <f t="shared" si="57"/>
        <v>0</v>
      </c>
      <c r="BM72" s="9">
        <f t="shared" si="57"/>
        <v>0</v>
      </c>
      <c r="BN72" s="9">
        <f t="shared" si="57"/>
        <v>0</v>
      </c>
      <c r="BO72" s="9">
        <f t="shared" si="57"/>
        <v>0</v>
      </c>
      <c r="BP72" s="9">
        <f t="shared" si="57"/>
        <v>0</v>
      </c>
      <c r="BQ72" s="9">
        <f t="shared" si="57"/>
        <v>0</v>
      </c>
      <c r="BR72" s="9">
        <f t="shared" si="57"/>
        <v>0</v>
      </c>
      <c r="BS72" s="9">
        <f t="shared" si="57"/>
        <v>0</v>
      </c>
      <c r="BT72" s="9">
        <f t="shared" si="57"/>
        <v>0</v>
      </c>
      <c r="BU72" s="9">
        <f t="shared" si="57"/>
        <v>0</v>
      </c>
      <c r="BV72" s="9">
        <f t="shared" si="57"/>
        <v>0</v>
      </c>
      <c r="BW72" s="9">
        <f t="shared" si="57"/>
        <v>0</v>
      </c>
      <c r="BX72" s="9">
        <f t="shared" si="57"/>
        <v>0</v>
      </c>
      <c r="BY72" s="9">
        <f t="shared" si="57"/>
        <v>0</v>
      </c>
      <c r="BZ72" s="9">
        <f t="shared" si="57"/>
        <v>0</v>
      </c>
      <c r="CA72" s="9">
        <f t="shared" ref="CA72:DF72" si="58">CA97</f>
        <v>75670.41</v>
      </c>
      <c r="CB72" s="9">
        <f t="shared" si="58"/>
        <v>75670.41</v>
      </c>
      <c r="CC72" s="9">
        <f t="shared" si="58"/>
        <v>0</v>
      </c>
      <c r="CD72" s="9">
        <f t="shared" si="58"/>
        <v>0</v>
      </c>
      <c r="CE72" s="9">
        <f t="shared" si="58"/>
        <v>15059.84</v>
      </c>
      <c r="CF72" s="9">
        <f t="shared" si="58"/>
        <v>15059.84</v>
      </c>
      <c r="CG72" s="9">
        <f t="shared" si="58"/>
        <v>0</v>
      </c>
      <c r="CH72" s="9">
        <f t="shared" si="58"/>
        <v>15059.84</v>
      </c>
      <c r="CI72" s="9">
        <f t="shared" si="58"/>
        <v>0</v>
      </c>
      <c r="CJ72" s="9">
        <f t="shared" si="58"/>
        <v>0</v>
      </c>
      <c r="CK72" s="9">
        <f t="shared" si="58"/>
        <v>0</v>
      </c>
      <c r="CL72" s="9">
        <f t="shared" si="58"/>
        <v>0</v>
      </c>
      <c r="CM72" s="9">
        <f t="shared" si="58"/>
        <v>0</v>
      </c>
      <c r="CN72" s="9">
        <f t="shared" si="58"/>
        <v>0</v>
      </c>
      <c r="CO72" s="9">
        <f t="shared" si="58"/>
        <v>0</v>
      </c>
      <c r="CP72" s="9">
        <f t="shared" si="58"/>
        <v>0</v>
      </c>
      <c r="CQ72" s="9">
        <f t="shared" si="58"/>
        <v>0</v>
      </c>
      <c r="CR72" s="9">
        <f t="shared" si="58"/>
        <v>0</v>
      </c>
      <c r="CS72" s="9">
        <f t="shared" si="58"/>
        <v>0</v>
      </c>
      <c r="CT72" s="9">
        <f t="shared" si="58"/>
        <v>0</v>
      </c>
      <c r="CU72" s="9">
        <f t="shared" si="58"/>
        <v>0</v>
      </c>
      <c r="CV72" s="9">
        <f t="shared" si="58"/>
        <v>0</v>
      </c>
      <c r="CW72" s="9">
        <f t="shared" si="58"/>
        <v>0</v>
      </c>
      <c r="CX72" s="9">
        <f t="shared" si="58"/>
        <v>0</v>
      </c>
      <c r="CY72" s="9">
        <f t="shared" si="58"/>
        <v>0</v>
      </c>
      <c r="CZ72" s="9">
        <f t="shared" si="58"/>
        <v>0</v>
      </c>
      <c r="DA72" s="9">
        <f t="shared" si="58"/>
        <v>0</v>
      </c>
      <c r="DB72" s="9">
        <f t="shared" si="58"/>
        <v>0</v>
      </c>
      <c r="DC72" s="9">
        <f t="shared" si="58"/>
        <v>0</v>
      </c>
      <c r="DD72" s="9">
        <f t="shared" si="58"/>
        <v>0</v>
      </c>
      <c r="DE72" s="9">
        <f t="shared" si="58"/>
        <v>0</v>
      </c>
      <c r="DF72" s="9">
        <f t="shared" si="58"/>
        <v>0</v>
      </c>
      <c r="DG72" s="10">
        <f t="shared" ref="DG72:EL72" si="59">DG97</f>
        <v>0</v>
      </c>
      <c r="DH72" s="10">
        <f t="shared" si="59"/>
        <v>0</v>
      </c>
      <c r="DI72" s="10">
        <f t="shared" si="59"/>
        <v>0</v>
      </c>
      <c r="DJ72" s="10">
        <f t="shared" si="59"/>
        <v>0</v>
      </c>
      <c r="DK72" s="10">
        <f t="shared" si="59"/>
        <v>0</v>
      </c>
      <c r="DL72" s="10">
        <f t="shared" si="59"/>
        <v>0</v>
      </c>
      <c r="DM72" s="10">
        <f t="shared" si="59"/>
        <v>0</v>
      </c>
      <c r="DN72" s="10">
        <f t="shared" si="59"/>
        <v>0</v>
      </c>
      <c r="DO72" s="10">
        <f t="shared" si="59"/>
        <v>0</v>
      </c>
      <c r="DP72" s="10">
        <f t="shared" si="59"/>
        <v>0</v>
      </c>
      <c r="DQ72" s="10">
        <f t="shared" si="59"/>
        <v>0</v>
      </c>
      <c r="DR72" s="10">
        <f t="shared" si="59"/>
        <v>0</v>
      </c>
      <c r="DS72" s="10">
        <f t="shared" si="59"/>
        <v>0</v>
      </c>
      <c r="DT72" s="10">
        <f t="shared" si="59"/>
        <v>0</v>
      </c>
      <c r="DU72" s="10">
        <f t="shared" si="59"/>
        <v>0</v>
      </c>
      <c r="DV72" s="10">
        <f t="shared" si="59"/>
        <v>0</v>
      </c>
      <c r="DW72" s="10">
        <f t="shared" si="59"/>
        <v>0</v>
      </c>
      <c r="DX72" s="10">
        <f t="shared" si="59"/>
        <v>0</v>
      </c>
      <c r="DY72" s="10">
        <f t="shared" si="59"/>
        <v>0</v>
      </c>
      <c r="DZ72" s="10">
        <f t="shared" si="59"/>
        <v>0</v>
      </c>
      <c r="EA72" s="10">
        <f t="shared" si="59"/>
        <v>0</v>
      </c>
      <c r="EB72" s="10">
        <f t="shared" si="59"/>
        <v>0</v>
      </c>
      <c r="EC72" s="10">
        <f t="shared" si="59"/>
        <v>0</v>
      </c>
      <c r="ED72" s="10">
        <f t="shared" si="59"/>
        <v>0</v>
      </c>
      <c r="EE72" s="10">
        <f t="shared" si="59"/>
        <v>0</v>
      </c>
      <c r="EF72" s="10">
        <f t="shared" si="59"/>
        <v>0</v>
      </c>
      <c r="EG72" s="10">
        <f t="shared" si="59"/>
        <v>0</v>
      </c>
      <c r="EH72" s="10">
        <f t="shared" si="59"/>
        <v>0</v>
      </c>
      <c r="EI72" s="10">
        <f t="shared" si="59"/>
        <v>0</v>
      </c>
      <c r="EJ72" s="10">
        <f t="shared" si="59"/>
        <v>0</v>
      </c>
      <c r="EK72" s="10">
        <f t="shared" si="59"/>
        <v>0</v>
      </c>
      <c r="EL72" s="10">
        <f t="shared" si="59"/>
        <v>0</v>
      </c>
      <c r="EM72" s="10">
        <f t="shared" ref="EM72:FR72" si="60">EM97</f>
        <v>0</v>
      </c>
      <c r="EN72" s="10">
        <f t="shared" si="60"/>
        <v>0</v>
      </c>
      <c r="EO72" s="10">
        <f t="shared" si="60"/>
        <v>0</v>
      </c>
      <c r="EP72" s="10">
        <f t="shared" si="60"/>
        <v>0</v>
      </c>
      <c r="EQ72" s="10">
        <f t="shared" si="60"/>
        <v>0</v>
      </c>
      <c r="ER72" s="10">
        <f t="shared" si="60"/>
        <v>0</v>
      </c>
      <c r="ES72" s="10">
        <f t="shared" si="60"/>
        <v>0</v>
      </c>
      <c r="ET72" s="10">
        <f t="shared" si="60"/>
        <v>0</v>
      </c>
      <c r="EU72" s="10">
        <f t="shared" si="60"/>
        <v>0</v>
      </c>
      <c r="EV72" s="10">
        <f t="shared" si="60"/>
        <v>0</v>
      </c>
      <c r="EW72" s="10">
        <f t="shared" si="60"/>
        <v>0</v>
      </c>
      <c r="EX72" s="10">
        <f t="shared" si="60"/>
        <v>0</v>
      </c>
      <c r="EY72" s="10">
        <f t="shared" si="60"/>
        <v>0</v>
      </c>
      <c r="EZ72" s="10">
        <f t="shared" si="60"/>
        <v>0</v>
      </c>
      <c r="FA72" s="10">
        <f t="shared" si="60"/>
        <v>0</v>
      </c>
      <c r="FB72" s="10">
        <f t="shared" si="60"/>
        <v>0</v>
      </c>
      <c r="FC72" s="10">
        <f t="shared" si="60"/>
        <v>0</v>
      </c>
      <c r="FD72" s="10">
        <f t="shared" si="60"/>
        <v>0</v>
      </c>
      <c r="FE72" s="10">
        <f t="shared" si="60"/>
        <v>0</v>
      </c>
      <c r="FF72" s="10">
        <f t="shared" si="60"/>
        <v>0</v>
      </c>
      <c r="FG72" s="10">
        <f t="shared" si="60"/>
        <v>0</v>
      </c>
      <c r="FH72" s="10">
        <f t="shared" si="60"/>
        <v>0</v>
      </c>
      <c r="FI72" s="10">
        <f t="shared" si="60"/>
        <v>0</v>
      </c>
      <c r="FJ72" s="10">
        <f t="shared" si="60"/>
        <v>0</v>
      </c>
      <c r="FK72" s="10">
        <f t="shared" si="60"/>
        <v>0</v>
      </c>
      <c r="FL72" s="10">
        <f t="shared" si="60"/>
        <v>0</v>
      </c>
      <c r="FM72" s="10">
        <f t="shared" si="60"/>
        <v>0</v>
      </c>
      <c r="FN72" s="10">
        <f t="shared" si="60"/>
        <v>0</v>
      </c>
      <c r="FO72" s="10">
        <f t="shared" si="60"/>
        <v>0</v>
      </c>
      <c r="FP72" s="10">
        <f t="shared" si="60"/>
        <v>0</v>
      </c>
      <c r="FQ72" s="10">
        <f t="shared" si="60"/>
        <v>0</v>
      </c>
      <c r="FR72" s="10">
        <f t="shared" si="60"/>
        <v>0</v>
      </c>
      <c r="FS72" s="10">
        <f t="shared" ref="FS72:GX72" si="61">FS97</f>
        <v>0</v>
      </c>
      <c r="FT72" s="10">
        <f t="shared" si="61"/>
        <v>0</v>
      </c>
      <c r="FU72" s="10">
        <f t="shared" si="61"/>
        <v>0</v>
      </c>
      <c r="FV72" s="10">
        <f t="shared" si="61"/>
        <v>0</v>
      </c>
      <c r="FW72" s="10">
        <f t="shared" si="61"/>
        <v>0</v>
      </c>
      <c r="FX72" s="10">
        <f t="shared" si="61"/>
        <v>0</v>
      </c>
      <c r="FY72" s="10">
        <f t="shared" si="61"/>
        <v>0</v>
      </c>
      <c r="FZ72" s="10">
        <f t="shared" si="61"/>
        <v>0</v>
      </c>
      <c r="GA72" s="10">
        <f t="shared" si="61"/>
        <v>0</v>
      </c>
      <c r="GB72" s="10">
        <f t="shared" si="61"/>
        <v>0</v>
      </c>
      <c r="GC72" s="10">
        <f t="shared" si="61"/>
        <v>0</v>
      </c>
      <c r="GD72" s="10">
        <f t="shared" si="61"/>
        <v>0</v>
      </c>
      <c r="GE72" s="10">
        <f t="shared" si="61"/>
        <v>0</v>
      </c>
      <c r="GF72" s="10">
        <f t="shared" si="61"/>
        <v>0</v>
      </c>
      <c r="GG72" s="10">
        <f t="shared" si="61"/>
        <v>0</v>
      </c>
      <c r="GH72" s="10">
        <f t="shared" si="61"/>
        <v>0</v>
      </c>
      <c r="GI72" s="10">
        <f t="shared" si="61"/>
        <v>0</v>
      </c>
      <c r="GJ72" s="10">
        <f t="shared" si="61"/>
        <v>0</v>
      </c>
      <c r="GK72" s="10">
        <f t="shared" si="61"/>
        <v>0</v>
      </c>
      <c r="GL72" s="10">
        <f t="shared" si="61"/>
        <v>0</v>
      </c>
      <c r="GM72" s="10">
        <f t="shared" si="61"/>
        <v>0</v>
      </c>
      <c r="GN72" s="10">
        <f t="shared" si="61"/>
        <v>0</v>
      </c>
      <c r="GO72" s="10">
        <f t="shared" si="61"/>
        <v>0</v>
      </c>
      <c r="GP72" s="10">
        <f t="shared" si="61"/>
        <v>0</v>
      </c>
      <c r="GQ72" s="10">
        <f t="shared" si="61"/>
        <v>0</v>
      </c>
      <c r="GR72" s="10">
        <f t="shared" si="61"/>
        <v>0</v>
      </c>
      <c r="GS72" s="10">
        <f t="shared" si="61"/>
        <v>0</v>
      </c>
      <c r="GT72" s="10">
        <f t="shared" si="61"/>
        <v>0</v>
      </c>
      <c r="GU72" s="10">
        <f t="shared" si="61"/>
        <v>0</v>
      </c>
      <c r="GV72" s="10">
        <f t="shared" si="61"/>
        <v>0</v>
      </c>
      <c r="GW72" s="10">
        <f t="shared" si="61"/>
        <v>0</v>
      </c>
      <c r="GX72" s="10">
        <f t="shared" si="61"/>
        <v>0</v>
      </c>
    </row>
    <row r="74" spans="1:245" x14ac:dyDescent="0.2">
      <c r="A74" s="2">
        <v>17</v>
      </c>
      <c r="B74" s="2">
        <v>1</v>
      </c>
      <c r="C74" s="2">
        <f>ROW(SmtRes!A28)</f>
        <v>28</v>
      </c>
      <c r="D74" s="2">
        <f>ROW(EtalonRes!A28)</f>
        <v>28</v>
      </c>
      <c r="E74" s="2" t="s">
        <v>116</v>
      </c>
      <c r="F74" s="2" t="s">
        <v>117</v>
      </c>
      <c r="G74" s="2" t="s">
        <v>118</v>
      </c>
      <c r="H74" s="2" t="s">
        <v>119</v>
      </c>
      <c r="I74" s="2">
        <f>ROUND(17.4/100,9)</f>
        <v>0.17399999999999999</v>
      </c>
      <c r="J74" s="2">
        <v>0</v>
      </c>
      <c r="K74" s="2">
        <f>ROUND(17.4/100,9)</f>
        <v>0.17399999999999999</v>
      </c>
      <c r="O74" s="2">
        <f t="shared" ref="O74:O95" si="62">ROUND(CP74,2)</f>
        <v>382.24</v>
      </c>
      <c r="P74" s="2">
        <f t="shared" ref="P74:P95" si="63">ROUND((ROUND((AC74*AW74*I74),2)*BC74),2)</f>
        <v>0</v>
      </c>
      <c r="Q74" s="2">
        <f>(ROUND((ROUND(((ET74)*AV74*I74),2)*BB74),2)+ROUND((ROUND(((AE74-(EU74))*AV74*I74),2)*BS74),2))</f>
        <v>0</v>
      </c>
      <c r="R74" s="2">
        <f>(ROUND((ROUND(((EU74)*AV74*I74),2)*BS74),2)+ROUND((ROUND(((AE74-(EU74))*AV74*I74),2)*BS74),2))</f>
        <v>0</v>
      </c>
      <c r="S74" s="2">
        <f t="shared" ref="S74:S95" si="64">ROUND((ROUND((AF74*AV74*I74),2)*BA74),2)</f>
        <v>382.24</v>
      </c>
      <c r="T74" s="2">
        <f t="shared" ref="T74:T95" si="65">ROUND(CU74*I74,2)</f>
        <v>0</v>
      </c>
      <c r="U74" s="2">
        <f t="shared" ref="U74:U95" si="66">CV74*I74</f>
        <v>0.65598000000000001</v>
      </c>
      <c r="V74" s="2">
        <f t="shared" ref="V74:V95" si="67">CW74*I74</f>
        <v>0</v>
      </c>
      <c r="W74" s="2">
        <f t="shared" ref="W74:W95" si="68">ROUND(CX74*I74,2)</f>
        <v>0</v>
      </c>
      <c r="X74" s="2">
        <f>(ROUND((((S74+ROUND((ROUND(((EU74)*AV74*I74),2)*BS74),2))*AT74)/100),2)+ROUND(((ROUND((ROUND(((AE74-(EU74))*AV74*I74),2)*BS74),2)*AT74)/100),2))</f>
        <v>340.19</v>
      </c>
      <c r="Y74" s="2">
        <f>(ROUND((((S74+ROUND((ROUND(((EU74)*AV74*I74),2)*BS74),2))*AU74)/100),2)+ROUND(((ROUND((ROUND(((AE74-(EU74))*AV74*I74),2)*BS74),2)*AU74)/100),2))</f>
        <v>187.3</v>
      </c>
      <c r="AA74" s="2">
        <v>56793366</v>
      </c>
      <c r="AB74" s="2">
        <f t="shared" ref="AB74:AB95" si="69">ROUND((AC74+AD74+AF74),6)</f>
        <v>38.53</v>
      </c>
      <c r="AC74" s="2">
        <f>ROUND(((ES74*1)),6)</f>
        <v>0</v>
      </c>
      <c r="AD74" s="2">
        <f>ROUND((((ET74)-(EU74))+AE74),6)</f>
        <v>0</v>
      </c>
      <c r="AE74" s="2">
        <f t="shared" ref="AE74:AF76" si="70">ROUND((EU74),6)</f>
        <v>0</v>
      </c>
      <c r="AF74" s="2">
        <f t="shared" si="70"/>
        <v>38.53</v>
      </c>
      <c r="AG74" s="2">
        <f t="shared" ref="AG74:AG95" si="71">ROUND((AP74),6)</f>
        <v>0</v>
      </c>
      <c r="AH74" s="2">
        <f t="shared" ref="AH74:AI76" si="72">(EW74)</f>
        <v>3.77</v>
      </c>
      <c r="AI74" s="2">
        <f t="shared" si="72"/>
        <v>0</v>
      </c>
      <c r="AJ74" s="2">
        <f t="shared" ref="AJ74:AJ95" si="73">(AS74)</f>
        <v>0</v>
      </c>
      <c r="AK74" s="2">
        <v>38.53</v>
      </c>
      <c r="AL74" s="2">
        <v>0</v>
      </c>
      <c r="AM74" s="2">
        <v>0</v>
      </c>
      <c r="AN74" s="2">
        <v>0</v>
      </c>
      <c r="AO74" s="2">
        <v>38.53</v>
      </c>
      <c r="AP74" s="2">
        <v>0</v>
      </c>
      <c r="AQ74" s="2">
        <v>3.77</v>
      </c>
      <c r="AR74" s="2">
        <v>0</v>
      </c>
      <c r="AS74" s="2">
        <v>0</v>
      </c>
      <c r="AT74" s="2">
        <v>89</v>
      </c>
      <c r="AU74" s="2">
        <v>49</v>
      </c>
      <c r="AV74" s="2">
        <v>1</v>
      </c>
      <c r="AW74" s="2">
        <v>1</v>
      </c>
      <c r="AZ74" s="2">
        <v>1</v>
      </c>
      <c r="BA74" s="2">
        <v>57.05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0</v>
      </c>
      <c r="BI74" s="2">
        <v>1</v>
      </c>
      <c r="BJ74" s="2" t="s">
        <v>120</v>
      </c>
      <c r="BM74" s="2">
        <v>94</v>
      </c>
      <c r="BN74" s="2">
        <v>0</v>
      </c>
      <c r="BO74" s="2" t="s">
        <v>117</v>
      </c>
      <c r="BP74" s="2">
        <v>1</v>
      </c>
      <c r="BQ74" s="2">
        <v>60</v>
      </c>
      <c r="BR74" s="2">
        <v>0</v>
      </c>
      <c r="BS74" s="2">
        <v>57.05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89</v>
      </c>
      <c r="CA74" s="2">
        <v>49</v>
      </c>
      <c r="CB74" s="2" t="s">
        <v>3</v>
      </c>
      <c r="CE74" s="2">
        <v>1566</v>
      </c>
      <c r="CF74" s="2">
        <v>0</v>
      </c>
      <c r="CG74" s="2">
        <v>0</v>
      </c>
      <c r="CM74" s="2">
        <v>0</v>
      </c>
      <c r="CN74" s="2" t="s">
        <v>518</v>
      </c>
      <c r="CO74" s="2">
        <v>0</v>
      </c>
      <c r="CP74" s="2">
        <f t="shared" ref="CP74:CP95" si="74">(P74+Q74+S74)</f>
        <v>382.24</v>
      </c>
      <c r="CQ74" s="2">
        <f t="shared" ref="CQ74:CQ95" si="75">ROUND((ROUND((AC74*AW74*1),2)*BC74),2)</f>
        <v>0</v>
      </c>
      <c r="CR74" s="2">
        <f>(ROUND((ROUND(((ET74)*AV74*1),2)*BB74),2)+ROUND((ROUND(((AE74-(EU74))*AV74*1),2)*BS74),2))</f>
        <v>0</v>
      </c>
      <c r="CS74" s="2">
        <f>(ROUND((ROUND(((EU74)*AV74*1),2)*BS74),2)+ROUND((ROUND(((AE74-(EU74))*AV74*1),2)*BS74),2))</f>
        <v>0</v>
      </c>
      <c r="CT74" s="2">
        <f t="shared" ref="CT74:CT95" si="76">ROUND((ROUND((AF74*AV74*1),2)*BA74),2)</f>
        <v>2198.14</v>
      </c>
      <c r="CU74" s="2">
        <f t="shared" ref="CU74:CU95" si="77">AG74</f>
        <v>0</v>
      </c>
      <c r="CV74" s="2">
        <f t="shared" ref="CV74:CV95" si="78">(AH74*AV74)</f>
        <v>3.77</v>
      </c>
      <c r="CW74" s="2">
        <f t="shared" ref="CW74:CW95" si="79">AI74</f>
        <v>0</v>
      </c>
      <c r="CX74" s="2">
        <f t="shared" ref="CX74:CX95" si="80">AJ74</f>
        <v>0</v>
      </c>
      <c r="CY74" s="2">
        <f>(ROUND((((S74+ROUND((ROUND(((EU74)*AV74*1),2)*BS74),2))*AT74)/100),2)+ROUND(((ROUND((ROUND(((AE74-(EU74))*AV74*1),2)*BS74),2)*AT74)/100),2))</f>
        <v>340.19</v>
      </c>
      <c r="CZ74" s="2">
        <f>(ROUND((((S74+ROUND((ROUND(((EU74)*AV74*1),2)*BS74),2))*AU74)/100),2)+ROUND(((ROUND((ROUND(((AE74-(EU74))*AV74*1),2)*BS74),2)*AU74)/100),2))</f>
        <v>187.3</v>
      </c>
      <c r="DC74" s="2" t="s">
        <v>3</v>
      </c>
      <c r="DD74" s="2" t="s">
        <v>24</v>
      </c>
      <c r="DE74" s="2" t="s">
        <v>3</v>
      </c>
      <c r="DF74" s="2" t="s">
        <v>3</v>
      </c>
      <c r="DG74" s="2" t="s">
        <v>3</v>
      </c>
      <c r="DH74" s="2" t="s">
        <v>3</v>
      </c>
      <c r="DI74" s="2" t="s">
        <v>3</v>
      </c>
      <c r="DJ74" s="2" t="s">
        <v>3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</v>
      </c>
      <c r="DQ74" s="2">
        <v>1</v>
      </c>
      <c r="DU74" s="2">
        <v>1013</v>
      </c>
      <c r="DV74" s="2" t="s">
        <v>119</v>
      </c>
      <c r="DW74" s="2" t="s">
        <v>119</v>
      </c>
      <c r="DX74" s="2">
        <v>1</v>
      </c>
      <c r="DZ74" s="2" t="s">
        <v>3</v>
      </c>
      <c r="EA74" s="2" t="s">
        <v>3</v>
      </c>
      <c r="EB74" s="2" t="s">
        <v>3</v>
      </c>
      <c r="EC74" s="2" t="s">
        <v>3</v>
      </c>
      <c r="EE74" s="2">
        <v>55896179</v>
      </c>
      <c r="EF74" s="2">
        <v>60</v>
      </c>
      <c r="EG74" s="2" t="s">
        <v>25</v>
      </c>
      <c r="EH74" s="2">
        <v>0</v>
      </c>
      <c r="EI74" s="2" t="s">
        <v>3</v>
      </c>
      <c r="EJ74" s="2">
        <v>1</v>
      </c>
      <c r="EK74" s="2">
        <v>94</v>
      </c>
      <c r="EL74" s="2" t="s">
        <v>121</v>
      </c>
      <c r="EM74" s="2" t="s">
        <v>122</v>
      </c>
      <c r="EO74" s="2" t="s">
        <v>28</v>
      </c>
      <c r="EQ74" s="2">
        <v>0</v>
      </c>
      <c r="ER74" s="2">
        <v>38.53</v>
      </c>
      <c r="ES74" s="2">
        <v>0</v>
      </c>
      <c r="ET74" s="2">
        <v>0</v>
      </c>
      <c r="EU74" s="2">
        <v>0</v>
      </c>
      <c r="EV74" s="2">
        <v>38.53</v>
      </c>
      <c r="EW74" s="2">
        <v>3.77</v>
      </c>
      <c r="EX74" s="2">
        <v>0</v>
      </c>
      <c r="EY74" s="2">
        <v>0</v>
      </c>
      <c r="FQ74" s="2">
        <v>0</v>
      </c>
      <c r="FR74" s="2">
        <v>0</v>
      </c>
      <c r="FS74" s="2">
        <v>0</v>
      </c>
      <c r="FX74" s="2">
        <v>89</v>
      </c>
      <c r="FY74" s="2">
        <v>49</v>
      </c>
      <c r="GA74" s="2" t="s">
        <v>3</v>
      </c>
      <c r="GD74" s="2">
        <v>1</v>
      </c>
      <c r="GF74" s="2">
        <v>1202353107</v>
      </c>
      <c r="GG74" s="2">
        <v>2</v>
      </c>
      <c r="GH74" s="2">
        <v>1</v>
      </c>
      <c r="GI74" s="2">
        <v>2</v>
      </c>
      <c r="GJ74" s="2">
        <v>0</v>
      </c>
      <c r="GK74" s="2">
        <v>0</v>
      </c>
      <c r="GL74" s="2">
        <f t="shared" ref="GL74:GL95" si="81">ROUND(IF(AND(BH74=3,BI74=3,FS74&lt;&gt;0),P74,0),2)</f>
        <v>0</v>
      </c>
      <c r="GM74" s="2">
        <f t="shared" ref="GM74:GM95" si="82">ROUND(O74+X74+Y74,2)+GX74</f>
        <v>909.73</v>
      </c>
      <c r="GN74" s="2">
        <f t="shared" ref="GN74:GN95" si="83">IF(OR(BI74=0,BI74=1),GM74-GX74,0)</f>
        <v>909.73</v>
      </c>
      <c r="GO74" s="2">
        <f t="shared" ref="GO74:GO95" si="84">IF(BI74=2,GM74-GX74,0)</f>
        <v>0</v>
      </c>
      <c r="GP74" s="2">
        <f t="shared" ref="GP74:GP95" si="85">IF(BI74=4,GM74-GX74,0)</f>
        <v>0</v>
      </c>
      <c r="GR74" s="2">
        <v>0</v>
      </c>
      <c r="GS74" s="2">
        <v>3</v>
      </c>
      <c r="GT74" s="2">
        <v>0</v>
      </c>
      <c r="GU74" s="2" t="s">
        <v>3</v>
      </c>
      <c r="GV74" s="2">
        <f t="shared" ref="GV74:GV95" si="86">ROUND((GT74),6)</f>
        <v>0</v>
      </c>
      <c r="GW74" s="2">
        <v>1</v>
      </c>
      <c r="GX74" s="2">
        <f t="shared" ref="GX74:GX95" si="87">ROUND(HC74*I74,2)</f>
        <v>0</v>
      </c>
      <c r="HA74" s="2">
        <v>0</v>
      </c>
      <c r="HB74" s="2">
        <v>0</v>
      </c>
      <c r="HC74" s="2">
        <f t="shared" ref="HC74:HC95" si="88">GV74*GW74</f>
        <v>0</v>
      </c>
      <c r="HE74" s="2" t="s">
        <v>3</v>
      </c>
      <c r="HF74" s="2" t="s">
        <v>3</v>
      </c>
      <c r="HM74" s="2" t="s">
        <v>3</v>
      </c>
      <c r="HN74" s="2" t="s">
        <v>3</v>
      </c>
      <c r="HO74" s="2" t="s">
        <v>3</v>
      </c>
      <c r="HP74" s="2" t="s">
        <v>3</v>
      </c>
      <c r="HQ74" s="2" t="s">
        <v>3</v>
      </c>
      <c r="HS74" s="2">
        <v>0</v>
      </c>
      <c r="IK74" s="2">
        <v>0</v>
      </c>
    </row>
    <row r="75" spans="1:245" x14ac:dyDescent="0.2">
      <c r="A75" s="2">
        <v>17</v>
      </c>
      <c r="B75" s="2">
        <v>1</v>
      </c>
      <c r="C75" s="2">
        <f>ROW(SmtRes!A30)</f>
        <v>30</v>
      </c>
      <c r="D75" s="2">
        <f>ROW(EtalonRes!A30)</f>
        <v>30</v>
      </c>
      <c r="E75" s="2" t="s">
        <v>123</v>
      </c>
      <c r="F75" s="2" t="s">
        <v>124</v>
      </c>
      <c r="G75" s="2" t="s">
        <v>125</v>
      </c>
      <c r="H75" s="2" t="s">
        <v>126</v>
      </c>
      <c r="I75" s="2">
        <f>ROUND(17.4/100,9)</f>
        <v>0.17399999999999999</v>
      </c>
      <c r="J75" s="2">
        <v>0</v>
      </c>
      <c r="K75" s="2">
        <f>ROUND(17.4/100,9)</f>
        <v>0.17399999999999999</v>
      </c>
      <c r="O75" s="2">
        <f t="shared" si="62"/>
        <v>4966.2</v>
      </c>
      <c r="P75" s="2">
        <f t="shared" si="63"/>
        <v>0</v>
      </c>
      <c r="Q75" s="2">
        <f>(ROUND((ROUND(((ET75)*AV75*I75),2)*BB75),2)+ROUND((ROUND(((AE75-(EU75))*AV75*I75),2)*BS75),2))</f>
        <v>0</v>
      </c>
      <c r="R75" s="2">
        <f>(ROUND((ROUND(((EU75)*AV75*I75),2)*BS75),2)+ROUND((ROUND(((AE75-(EU75))*AV75*I75),2)*BS75),2))</f>
        <v>0</v>
      </c>
      <c r="S75" s="2">
        <f t="shared" si="64"/>
        <v>4966.2</v>
      </c>
      <c r="T75" s="2">
        <f t="shared" si="65"/>
        <v>0</v>
      </c>
      <c r="U75" s="2">
        <f t="shared" si="66"/>
        <v>8.5173000000000005</v>
      </c>
      <c r="V75" s="2">
        <f t="shared" si="67"/>
        <v>0</v>
      </c>
      <c r="W75" s="2">
        <f t="shared" si="68"/>
        <v>0</v>
      </c>
      <c r="X75" s="2">
        <f>(ROUND((((S75+ROUND((ROUND(((EU75)*AV75*I75),2)*BS75),2))*AT75)/100),2)+ROUND(((ROUND((ROUND(((AE75-(EU75))*AV75*I75),2)*BS75),2)*AT75)/100),2))</f>
        <v>4419.92</v>
      </c>
      <c r="Y75" s="2">
        <f>(ROUND((((S75+ROUND((ROUND(((EU75)*AV75*I75),2)*BS75),2))*AU75)/100),2)+ROUND(((ROUND((ROUND(((AE75-(EU75))*AV75*I75),2)*BS75),2)*AU75)/100),2))</f>
        <v>2433.44</v>
      </c>
      <c r="AA75" s="2">
        <v>56793366</v>
      </c>
      <c r="AB75" s="2">
        <f t="shared" si="69"/>
        <v>500.27</v>
      </c>
      <c r="AC75" s="2">
        <f t="shared" ref="AC75:AC80" si="89">ROUND((ES75),6)</f>
        <v>0</v>
      </c>
      <c r="AD75" s="2">
        <f>ROUND((((ET75)-(EU75))+AE75),6)</f>
        <v>0</v>
      </c>
      <c r="AE75" s="2">
        <f t="shared" si="70"/>
        <v>0</v>
      </c>
      <c r="AF75" s="2">
        <f t="shared" si="70"/>
        <v>500.27</v>
      </c>
      <c r="AG75" s="2">
        <f t="shared" si="71"/>
        <v>0</v>
      </c>
      <c r="AH75" s="2">
        <f t="shared" si="72"/>
        <v>48.95</v>
      </c>
      <c r="AI75" s="2">
        <f t="shared" si="72"/>
        <v>0</v>
      </c>
      <c r="AJ75" s="2">
        <f t="shared" si="73"/>
        <v>0</v>
      </c>
      <c r="AK75" s="2">
        <v>500.27</v>
      </c>
      <c r="AL75" s="2">
        <v>0</v>
      </c>
      <c r="AM75" s="2">
        <v>0</v>
      </c>
      <c r="AN75" s="2">
        <v>0</v>
      </c>
      <c r="AO75" s="2">
        <v>500.27</v>
      </c>
      <c r="AP75" s="2">
        <v>0</v>
      </c>
      <c r="AQ75" s="2">
        <v>48.95</v>
      </c>
      <c r="AR75" s="2">
        <v>0</v>
      </c>
      <c r="AS75" s="2">
        <v>0</v>
      </c>
      <c r="AT75" s="2">
        <v>89</v>
      </c>
      <c r="AU75" s="2">
        <v>49</v>
      </c>
      <c r="AV75" s="2">
        <v>1</v>
      </c>
      <c r="AW75" s="2">
        <v>1</v>
      </c>
      <c r="AZ75" s="2">
        <v>1</v>
      </c>
      <c r="BA75" s="2">
        <v>57.05</v>
      </c>
      <c r="BB75" s="2">
        <v>1</v>
      </c>
      <c r="BC75" s="2">
        <v>1</v>
      </c>
      <c r="BD75" s="2" t="s">
        <v>3</v>
      </c>
      <c r="BE75" s="2" t="s">
        <v>3</v>
      </c>
      <c r="BF75" s="2" t="s">
        <v>3</v>
      </c>
      <c r="BG75" s="2" t="s">
        <v>3</v>
      </c>
      <c r="BH75" s="2">
        <v>0</v>
      </c>
      <c r="BI75" s="2">
        <v>1</v>
      </c>
      <c r="BJ75" s="2" t="s">
        <v>127</v>
      </c>
      <c r="BM75" s="2">
        <v>94</v>
      </c>
      <c r="BN75" s="2">
        <v>0</v>
      </c>
      <c r="BO75" s="2" t="s">
        <v>124</v>
      </c>
      <c r="BP75" s="2">
        <v>1</v>
      </c>
      <c r="BQ75" s="2">
        <v>60</v>
      </c>
      <c r="BR75" s="2">
        <v>0</v>
      </c>
      <c r="BS75" s="2">
        <v>57.05</v>
      </c>
      <c r="BT75" s="2">
        <v>1</v>
      </c>
      <c r="BU75" s="2">
        <v>1</v>
      </c>
      <c r="BV75" s="2">
        <v>1</v>
      </c>
      <c r="BW75" s="2">
        <v>1</v>
      </c>
      <c r="BX75" s="2">
        <v>1</v>
      </c>
      <c r="BY75" s="2" t="s">
        <v>3</v>
      </c>
      <c r="BZ75" s="2">
        <v>89</v>
      </c>
      <c r="CA75" s="2">
        <v>49</v>
      </c>
      <c r="CB75" s="2" t="s">
        <v>3</v>
      </c>
      <c r="CE75" s="2">
        <v>1566</v>
      </c>
      <c r="CF75" s="2">
        <v>0</v>
      </c>
      <c r="CG75" s="2">
        <v>0</v>
      </c>
      <c r="CM75" s="2">
        <v>0</v>
      </c>
      <c r="CN75" s="2" t="s">
        <v>3</v>
      </c>
      <c r="CO75" s="2">
        <v>0</v>
      </c>
      <c r="CP75" s="2">
        <f t="shared" si="74"/>
        <v>4966.2</v>
      </c>
      <c r="CQ75" s="2">
        <f t="shared" si="75"/>
        <v>0</v>
      </c>
      <c r="CR75" s="2">
        <f>(ROUND((ROUND(((ET75)*AV75*1),2)*BB75),2)+ROUND((ROUND(((AE75-(EU75))*AV75*1),2)*BS75),2))</f>
        <v>0</v>
      </c>
      <c r="CS75" s="2">
        <f>(ROUND((ROUND(((EU75)*AV75*1),2)*BS75),2)+ROUND((ROUND(((AE75-(EU75))*AV75*1),2)*BS75),2))</f>
        <v>0</v>
      </c>
      <c r="CT75" s="2">
        <f t="shared" si="76"/>
        <v>28540.400000000001</v>
      </c>
      <c r="CU75" s="2">
        <f t="shared" si="77"/>
        <v>0</v>
      </c>
      <c r="CV75" s="2">
        <f t="shared" si="78"/>
        <v>48.95</v>
      </c>
      <c r="CW75" s="2">
        <f t="shared" si="79"/>
        <v>0</v>
      </c>
      <c r="CX75" s="2">
        <f t="shared" si="80"/>
        <v>0</v>
      </c>
      <c r="CY75" s="2">
        <f>(ROUND((((S75+ROUND((ROUND(((EU75)*AV75*1),2)*BS75),2))*AT75)/100),2)+ROUND(((ROUND((ROUND(((AE75-(EU75))*AV75*1),2)*BS75),2)*AT75)/100),2))</f>
        <v>4419.92</v>
      </c>
      <c r="CZ75" s="2">
        <f>(ROUND((((S75+ROUND((ROUND(((EU75)*AV75*1),2)*BS75),2))*AU75)/100),2)+ROUND(((ROUND((ROUND(((AE75-(EU75))*AV75*1),2)*BS75),2)*AU75)/100),2))</f>
        <v>2433.44</v>
      </c>
      <c r="DC75" s="2" t="s">
        <v>3</v>
      </c>
      <c r="DD75" s="2" t="s">
        <v>3</v>
      </c>
      <c r="DE75" s="2" t="s">
        <v>3</v>
      </c>
      <c r="DF75" s="2" t="s">
        <v>3</v>
      </c>
      <c r="DG75" s="2" t="s">
        <v>3</v>
      </c>
      <c r="DH75" s="2" t="s">
        <v>3</v>
      </c>
      <c r="DI75" s="2" t="s">
        <v>3</v>
      </c>
      <c r="DJ75" s="2" t="s">
        <v>3</v>
      </c>
      <c r="DK75" s="2" t="s">
        <v>3</v>
      </c>
      <c r="DL75" s="2" t="s">
        <v>3</v>
      </c>
      <c r="DM75" s="2" t="s">
        <v>3</v>
      </c>
      <c r="DN75" s="2">
        <v>0</v>
      </c>
      <c r="DO75" s="2">
        <v>0</v>
      </c>
      <c r="DP75" s="2">
        <v>1</v>
      </c>
      <c r="DQ75" s="2">
        <v>1</v>
      </c>
      <c r="DU75" s="2">
        <v>1013</v>
      </c>
      <c r="DV75" s="2" t="s">
        <v>126</v>
      </c>
      <c r="DW75" s="2" t="s">
        <v>126</v>
      </c>
      <c r="DX75" s="2">
        <v>1</v>
      </c>
      <c r="DZ75" s="2" t="s">
        <v>3</v>
      </c>
      <c r="EA75" s="2" t="s">
        <v>3</v>
      </c>
      <c r="EB75" s="2" t="s">
        <v>3</v>
      </c>
      <c r="EC75" s="2" t="s">
        <v>3</v>
      </c>
      <c r="EE75" s="2">
        <v>55896179</v>
      </c>
      <c r="EF75" s="2">
        <v>60</v>
      </c>
      <c r="EG75" s="2" t="s">
        <v>25</v>
      </c>
      <c r="EH75" s="2">
        <v>0</v>
      </c>
      <c r="EI75" s="2" t="s">
        <v>3</v>
      </c>
      <c r="EJ75" s="2">
        <v>1</v>
      </c>
      <c r="EK75" s="2">
        <v>94</v>
      </c>
      <c r="EL75" s="2" t="s">
        <v>121</v>
      </c>
      <c r="EM75" s="2" t="s">
        <v>122</v>
      </c>
      <c r="EO75" s="2" t="s">
        <v>3</v>
      </c>
      <c r="EQ75" s="2">
        <v>0</v>
      </c>
      <c r="ER75" s="2">
        <v>500.27</v>
      </c>
      <c r="ES75" s="2">
        <v>0</v>
      </c>
      <c r="ET75" s="2">
        <v>0</v>
      </c>
      <c r="EU75" s="2">
        <v>0</v>
      </c>
      <c r="EV75" s="2">
        <v>500.27</v>
      </c>
      <c r="EW75" s="2">
        <v>48.95</v>
      </c>
      <c r="EX75" s="2">
        <v>0</v>
      </c>
      <c r="EY75" s="2">
        <v>0</v>
      </c>
      <c r="FQ75" s="2">
        <v>0</v>
      </c>
      <c r="FR75" s="2">
        <v>0</v>
      </c>
      <c r="FS75" s="2">
        <v>0</v>
      </c>
      <c r="FX75" s="2">
        <v>89</v>
      </c>
      <c r="FY75" s="2">
        <v>49</v>
      </c>
      <c r="GA75" s="2" t="s">
        <v>3</v>
      </c>
      <c r="GD75" s="2">
        <v>1</v>
      </c>
      <c r="GF75" s="2">
        <v>1125525922</v>
      </c>
      <c r="GG75" s="2">
        <v>2</v>
      </c>
      <c r="GH75" s="2">
        <v>1</v>
      </c>
      <c r="GI75" s="2">
        <v>2</v>
      </c>
      <c r="GJ75" s="2">
        <v>0</v>
      </c>
      <c r="GK75" s="2">
        <v>0</v>
      </c>
      <c r="GL75" s="2">
        <f t="shared" si="81"/>
        <v>0</v>
      </c>
      <c r="GM75" s="2">
        <f t="shared" si="82"/>
        <v>11819.56</v>
      </c>
      <c r="GN75" s="2">
        <f t="shared" si="83"/>
        <v>11819.56</v>
      </c>
      <c r="GO75" s="2">
        <f t="shared" si="84"/>
        <v>0</v>
      </c>
      <c r="GP75" s="2">
        <f t="shared" si="85"/>
        <v>0</v>
      </c>
      <c r="GR75" s="2">
        <v>0</v>
      </c>
      <c r="GS75" s="2">
        <v>3</v>
      </c>
      <c r="GT75" s="2">
        <v>0</v>
      </c>
      <c r="GU75" s="2" t="s">
        <v>3</v>
      </c>
      <c r="GV75" s="2">
        <f t="shared" si="86"/>
        <v>0</v>
      </c>
      <c r="GW75" s="2">
        <v>1</v>
      </c>
      <c r="GX75" s="2">
        <f t="shared" si="87"/>
        <v>0</v>
      </c>
      <c r="HA75" s="2">
        <v>0</v>
      </c>
      <c r="HB75" s="2">
        <v>0</v>
      </c>
      <c r="HC75" s="2">
        <f t="shared" si="88"/>
        <v>0</v>
      </c>
      <c r="HE75" s="2" t="s">
        <v>3</v>
      </c>
      <c r="HF75" s="2" t="s">
        <v>3</v>
      </c>
      <c r="HM75" s="2" t="s">
        <v>3</v>
      </c>
      <c r="HN75" s="2" t="s">
        <v>3</v>
      </c>
      <c r="HO75" s="2" t="s">
        <v>3</v>
      </c>
      <c r="HP75" s="2" t="s">
        <v>3</v>
      </c>
      <c r="HQ75" s="2" t="s">
        <v>3</v>
      </c>
      <c r="HS75" s="2">
        <v>0</v>
      </c>
      <c r="IK75" s="2">
        <v>0</v>
      </c>
    </row>
    <row r="76" spans="1:245" x14ac:dyDescent="0.2">
      <c r="A76" s="2">
        <v>17</v>
      </c>
      <c r="B76" s="2">
        <v>1</v>
      </c>
      <c r="C76" s="2">
        <f>ROW(SmtRes!A32)</f>
        <v>32</v>
      </c>
      <c r="D76" s="2">
        <f>ROW(EtalonRes!A32)</f>
        <v>32</v>
      </c>
      <c r="E76" s="2" t="s">
        <v>128</v>
      </c>
      <c r="F76" s="2" t="s">
        <v>129</v>
      </c>
      <c r="G76" s="2" t="s">
        <v>130</v>
      </c>
      <c r="H76" s="2" t="s">
        <v>131</v>
      </c>
      <c r="I76" s="2">
        <f>ROUND(17.4/100,9)</f>
        <v>0.17399999999999999</v>
      </c>
      <c r="J76" s="2">
        <v>0</v>
      </c>
      <c r="K76" s="2">
        <f>ROUND(17.4/100,9)</f>
        <v>0.17399999999999999</v>
      </c>
      <c r="O76" s="2">
        <f t="shared" si="62"/>
        <v>1821.04</v>
      </c>
      <c r="P76" s="2">
        <f t="shared" si="63"/>
        <v>0</v>
      </c>
      <c r="Q76" s="2">
        <f>(ROUND((ROUND(((ET76)*AV76*I76),2)*BB76),2)+ROUND((ROUND(((AE76-(EU76))*AV76*I76),2)*BS76),2))</f>
        <v>0</v>
      </c>
      <c r="R76" s="2">
        <f>(ROUND((ROUND(((EU76)*AV76*I76),2)*BS76),2)+ROUND((ROUND(((AE76-(EU76))*AV76*I76),2)*BS76),2))</f>
        <v>0</v>
      </c>
      <c r="S76" s="2">
        <f t="shared" si="64"/>
        <v>1821.04</v>
      </c>
      <c r="T76" s="2">
        <f t="shared" si="65"/>
        <v>0</v>
      </c>
      <c r="U76" s="2">
        <f t="shared" si="66"/>
        <v>3.0345599999999999</v>
      </c>
      <c r="V76" s="2">
        <f t="shared" si="67"/>
        <v>0</v>
      </c>
      <c r="W76" s="2">
        <f t="shared" si="68"/>
        <v>0</v>
      </c>
      <c r="X76" s="2">
        <f>(ROUND((((S76+ROUND((ROUND(((EU76)*AV76*I76),2)*BS76),2))*AT76)/100),2)+ROUND(((ROUND((ROUND(((AE76-(EU76))*AV76*I76),2)*BS76),2)*AT76)/100),2))</f>
        <v>1620.73</v>
      </c>
      <c r="Y76" s="2">
        <f>(ROUND((((S76+ROUND((ROUND(((EU76)*AV76*I76),2)*BS76),2))*AU76)/100),2)+ROUND(((ROUND((ROUND(((AE76-(EU76))*AV76*I76),2)*BS76),2)*AU76)/100),2))</f>
        <v>892.31</v>
      </c>
      <c r="AA76" s="2">
        <v>56793366</v>
      </c>
      <c r="AB76" s="2">
        <f t="shared" si="69"/>
        <v>183.47</v>
      </c>
      <c r="AC76" s="2">
        <f t="shared" si="89"/>
        <v>0</v>
      </c>
      <c r="AD76" s="2">
        <f>ROUND((((ET76)-(EU76))+AE76),6)</f>
        <v>0</v>
      </c>
      <c r="AE76" s="2">
        <f t="shared" si="70"/>
        <v>0</v>
      </c>
      <c r="AF76" s="2">
        <f t="shared" si="70"/>
        <v>183.47</v>
      </c>
      <c r="AG76" s="2">
        <f t="shared" si="71"/>
        <v>0</v>
      </c>
      <c r="AH76" s="2">
        <f t="shared" si="72"/>
        <v>17.440000000000001</v>
      </c>
      <c r="AI76" s="2">
        <f t="shared" si="72"/>
        <v>0</v>
      </c>
      <c r="AJ76" s="2">
        <f t="shared" si="73"/>
        <v>0</v>
      </c>
      <c r="AK76" s="2">
        <v>183.47</v>
      </c>
      <c r="AL76" s="2">
        <v>0</v>
      </c>
      <c r="AM76" s="2">
        <v>0</v>
      </c>
      <c r="AN76" s="2">
        <v>0</v>
      </c>
      <c r="AO76" s="2">
        <v>183.47</v>
      </c>
      <c r="AP76" s="2">
        <v>0</v>
      </c>
      <c r="AQ76" s="2">
        <v>17.440000000000001</v>
      </c>
      <c r="AR76" s="2">
        <v>0</v>
      </c>
      <c r="AS76" s="2">
        <v>0</v>
      </c>
      <c r="AT76" s="2">
        <v>89</v>
      </c>
      <c r="AU76" s="2">
        <v>49</v>
      </c>
      <c r="AV76" s="2">
        <v>1</v>
      </c>
      <c r="AW76" s="2">
        <v>1</v>
      </c>
      <c r="AZ76" s="2">
        <v>1</v>
      </c>
      <c r="BA76" s="2">
        <v>57.05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0</v>
      </c>
      <c r="BI76" s="2">
        <v>1</v>
      </c>
      <c r="BJ76" s="2" t="s">
        <v>132</v>
      </c>
      <c r="BM76" s="2">
        <v>94</v>
      </c>
      <c r="BN76" s="2">
        <v>0</v>
      </c>
      <c r="BO76" s="2" t="s">
        <v>129</v>
      </c>
      <c r="BP76" s="2">
        <v>1</v>
      </c>
      <c r="BQ76" s="2">
        <v>60</v>
      </c>
      <c r="BR76" s="2">
        <v>0</v>
      </c>
      <c r="BS76" s="2">
        <v>57.05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89</v>
      </c>
      <c r="CA76" s="2">
        <v>49</v>
      </c>
      <c r="CB76" s="2" t="s">
        <v>3</v>
      </c>
      <c r="CE76" s="2">
        <v>1566</v>
      </c>
      <c r="CF76" s="2">
        <v>0</v>
      </c>
      <c r="CG76" s="2">
        <v>0</v>
      </c>
      <c r="CM76" s="2">
        <v>0</v>
      </c>
      <c r="CN76" s="2" t="s">
        <v>3</v>
      </c>
      <c r="CO76" s="2">
        <v>0</v>
      </c>
      <c r="CP76" s="2">
        <f t="shared" si="74"/>
        <v>1821.04</v>
      </c>
      <c r="CQ76" s="2">
        <f t="shared" si="75"/>
        <v>0</v>
      </c>
      <c r="CR76" s="2">
        <f>(ROUND((ROUND(((ET76)*AV76*1),2)*BB76),2)+ROUND((ROUND(((AE76-(EU76))*AV76*1),2)*BS76),2))</f>
        <v>0</v>
      </c>
      <c r="CS76" s="2">
        <f>(ROUND((ROUND(((EU76)*AV76*1),2)*BS76),2)+ROUND((ROUND(((AE76-(EU76))*AV76*1),2)*BS76),2))</f>
        <v>0</v>
      </c>
      <c r="CT76" s="2">
        <f t="shared" si="76"/>
        <v>10466.959999999999</v>
      </c>
      <c r="CU76" s="2">
        <f t="shared" si="77"/>
        <v>0</v>
      </c>
      <c r="CV76" s="2">
        <f t="shared" si="78"/>
        <v>17.440000000000001</v>
      </c>
      <c r="CW76" s="2">
        <f t="shared" si="79"/>
        <v>0</v>
      </c>
      <c r="CX76" s="2">
        <f t="shared" si="80"/>
        <v>0</v>
      </c>
      <c r="CY76" s="2">
        <f>(ROUND((((S76+ROUND((ROUND(((EU76)*AV76*1),2)*BS76),2))*AT76)/100),2)+ROUND(((ROUND((ROUND(((AE76-(EU76))*AV76*1),2)*BS76),2)*AT76)/100),2))</f>
        <v>1620.73</v>
      </c>
      <c r="CZ76" s="2">
        <f>(ROUND((((S76+ROUND((ROUND(((EU76)*AV76*1),2)*BS76),2))*AU76)/100),2)+ROUND(((ROUND((ROUND(((AE76-(EU76))*AV76*1),2)*BS76),2)*AU76)/100),2))</f>
        <v>892.31</v>
      </c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</v>
      </c>
      <c r="DQ76" s="2">
        <v>1</v>
      </c>
      <c r="DU76" s="2">
        <v>1013</v>
      </c>
      <c r="DV76" s="2" t="s">
        <v>131</v>
      </c>
      <c r="DW76" s="2" t="s">
        <v>131</v>
      </c>
      <c r="DX76" s="2">
        <v>1</v>
      </c>
      <c r="DZ76" s="2" t="s">
        <v>3</v>
      </c>
      <c r="EA76" s="2" t="s">
        <v>3</v>
      </c>
      <c r="EB76" s="2" t="s">
        <v>3</v>
      </c>
      <c r="EC76" s="2" t="s">
        <v>3</v>
      </c>
      <c r="EE76" s="2">
        <v>55896179</v>
      </c>
      <c r="EF76" s="2">
        <v>60</v>
      </c>
      <c r="EG76" s="2" t="s">
        <v>25</v>
      </c>
      <c r="EH76" s="2">
        <v>0</v>
      </c>
      <c r="EI76" s="2" t="s">
        <v>3</v>
      </c>
      <c r="EJ76" s="2">
        <v>1</v>
      </c>
      <c r="EK76" s="2">
        <v>94</v>
      </c>
      <c r="EL76" s="2" t="s">
        <v>121</v>
      </c>
      <c r="EM76" s="2" t="s">
        <v>122</v>
      </c>
      <c r="EO76" s="2" t="s">
        <v>3</v>
      </c>
      <c r="EQ76" s="2">
        <v>0</v>
      </c>
      <c r="ER76" s="2">
        <v>183.47</v>
      </c>
      <c r="ES76" s="2">
        <v>0</v>
      </c>
      <c r="ET76" s="2">
        <v>0</v>
      </c>
      <c r="EU76" s="2">
        <v>0</v>
      </c>
      <c r="EV76" s="2">
        <v>183.47</v>
      </c>
      <c r="EW76" s="2">
        <v>17.440000000000001</v>
      </c>
      <c r="EX76" s="2">
        <v>0</v>
      </c>
      <c r="EY76" s="2">
        <v>0</v>
      </c>
      <c r="FQ76" s="2">
        <v>0</v>
      </c>
      <c r="FR76" s="2">
        <v>0</v>
      </c>
      <c r="FS76" s="2">
        <v>0</v>
      </c>
      <c r="FX76" s="2">
        <v>89</v>
      </c>
      <c r="FY76" s="2">
        <v>49</v>
      </c>
      <c r="GA76" s="2" t="s">
        <v>3</v>
      </c>
      <c r="GD76" s="2">
        <v>1</v>
      </c>
      <c r="GF76" s="2">
        <v>-890136886</v>
      </c>
      <c r="GG76" s="2">
        <v>2</v>
      </c>
      <c r="GH76" s="2">
        <v>1</v>
      </c>
      <c r="GI76" s="2">
        <v>2</v>
      </c>
      <c r="GJ76" s="2">
        <v>0</v>
      </c>
      <c r="GK76" s="2">
        <v>0</v>
      </c>
      <c r="GL76" s="2">
        <f t="shared" si="81"/>
        <v>0</v>
      </c>
      <c r="GM76" s="2">
        <f t="shared" si="82"/>
        <v>4334.08</v>
      </c>
      <c r="GN76" s="2">
        <f t="shared" si="83"/>
        <v>4334.08</v>
      </c>
      <c r="GO76" s="2">
        <f t="shared" si="84"/>
        <v>0</v>
      </c>
      <c r="GP76" s="2">
        <f t="shared" si="85"/>
        <v>0</v>
      </c>
      <c r="GR76" s="2">
        <v>0</v>
      </c>
      <c r="GS76" s="2">
        <v>3</v>
      </c>
      <c r="GT76" s="2">
        <v>0</v>
      </c>
      <c r="GU76" s="2" t="s">
        <v>3</v>
      </c>
      <c r="GV76" s="2">
        <f t="shared" si="86"/>
        <v>0</v>
      </c>
      <c r="GW76" s="2">
        <v>1</v>
      </c>
      <c r="GX76" s="2">
        <f t="shared" si="87"/>
        <v>0</v>
      </c>
      <c r="HA76" s="2">
        <v>0</v>
      </c>
      <c r="HB76" s="2">
        <v>0</v>
      </c>
      <c r="HC76" s="2">
        <f t="shared" si="88"/>
        <v>0</v>
      </c>
      <c r="HE76" s="2" t="s">
        <v>3</v>
      </c>
      <c r="HF76" s="2" t="s">
        <v>3</v>
      </c>
      <c r="HM76" s="2" t="s">
        <v>3</v>
      </c>
      <c r="HN76" s="2" t="s">
        <v>3</v>
      </c>
      <c r="HO76" s="2" t="s">
        <v>3</v>
      </c>
      <c r="HP76" s="2" t="s">
        <v>3</v>
      </c>
      <c r="HQ76" s="2" t="s">
        <v>3</v>
      </c>
      <c r="HS76" s="2">
        <v>0</v>
      </c>
      <c r="IK76" s="2">
        <v>0</v>
      </c>
    </row>
    <row r="77" spans="1:245" x14ac:dyDescent="0.2">
      <c r="A77" s="2">
        <v>17</v>
      </c>
      <c r="B77" s="2">
        <v>1</v>
      </c>
      <c r="C77" s="2">
        <f>ROW(SmtRes!A46)</f>
        <v>46</v>
      </c>
      <c r="D77" s="2">
        <f>ROW(EtalonRes!A46)</f>
        <v>46</v>
      </c>
      <c r="E77" s="2" t="s">
        <v>133</v>
      </c>
      <c r="F77" s="2" t="s">
        <v>134</v>
      </c>
      <c r="G77" s="2" t="s">
        <v>135</v>
      </c>
      <c r="H77" s="2" t="s">
        <v>32</v>
      </c>
      <c r="I77" s="2">
        <f>ROUND(17.4/100,9)</f>
        <v>0.17399999999999999</v>
      </c>
      <c r="J77" s="2">
        <v>0</v>
      </c>
      <c r="K77" s="2">
        <f>ROUND(17.4/100,9)</f>
        <v>0.17399999999999999</v>
      </c>
      <c r="O77" s="2">
        <f t="shared" si="62"/>
        <v>11833.52</v>
      </c>
      <c r="P77" s="2">
        <f t="shared" si="63"/>
        <v>267.62</v>
      </c>
      <c r="Q77" s="2">
        <f>(ROUND((ROUND((((ET77*1.15))*AV77*I77),2)*BB77),2)+ROUND((ROUND(((AE77-((EU77*1.15)))*AV77*I77),2)*BS77),2))</f>
        <v>90.29</v>
      </c>
      <c r="R77" s="2">
        <f>(ROUND((ROUND((((EU77*1.15))*AV77*I77),2)*BS77),2)+ROUND((ROUND(((AE77-((EU77*1.15)))*AV77*I77),2)*BS77),2))</f>
        <v>8.56</v>
      </c>
      <c r="S77" s="2">
        <f t="shared" si="64"/>
        <v>11475.61</v>
      </c>
      <c r="T77" s="2">
        <f t="shared" si="65"/>
        <v>0</v>
      </c>
      <c r="U77" s="2">
        <f t="shared" si="66"/>
        <v>16.616304</v>
      </c>
      <c r="V77" s="2">
        <f t="shared" si="67"/>
        <v>0</v>
      </c>
      <c r="W77" s="2">
        <f t="shared" si="68"/>
        <v>0</v>
      </c>
      <c r="X77" s="2">
        <f>(ROUND((((S77+ROUND((ROUND((((EU77*1.15))*AV77*I77),2)*BS77),2))*AT77)/100),2)+ROUND(((ROUND((ROUND(((AE77-((EU77*1.15)))*AV77*I77),2)*BS77),2)*AT77)/100),2))</f>
        <v>11599.01</v>
      </c>
      <c r="Y77" s="2">
        <f>(ROUND((((S77+ROUND((ROUND((((EU77*1.15))*AV77*I77),2)*BS77),2))*AU77)/100),2)+ROUND(((ROUND((ROUND(((AE77-((EU77*1.15)))*AV77*I77),2)*BS77),2)*AU77)/100),2))</f>
        <v>6316.29</v>
      </c>
      <c r="AA77" s="2">
        <v>56793366</v>
      </c>
      <c r="AB77" s="2">
        <f t="shared" si="69"/>
        <v>1314.375</v>
      </c>
      <c r="AC77" s="2">
        <f t="shared" si="89"/>
        <v>108.37</v>
      </c>
      <c r="AD77" s="2">
        <f>ROUND(((((ET77*1.15))-((EU77*1.15)))+AE77),6)</f>
        <v>49.967500000000001</v>
      </c>
      <c r="AE77" s="2">
        <f>ROUND(((EU77*1.15)),6)</f>
        <v>0.874</v>
      </c>
      <c r="AF77" s="2">
        <f>ROUND(((EV77*1.15)),6)</f>
        <v>1156.0374999999999</v>
      </c>
      <c r="AG77" s="2">
        <f t="shared" si="71"/>
        <v>0</v>
      </c>
      <c r="AH77" s="2">
        <f>((EW77*1.15))</f>
        <v>95.495999999999995</v>
      </c>
      <c r="AI77" s="2">
        <f>((EX77*1.15))</f>
        <v>0</v>
      </c>
      <c r="AJ77" s="2">
        <f t="shared" si="73"/>
        <v>0</v>
      </c>
      <c r="AK77" s="2">
        <v>1157.07</v>
      </c>
      <c r="AL77" s="2">
        <v>108.37</v>
      </c>
      <c r="AM77" s="2">
        <v>43.45</v>
      </c>
      <c r="AN77" s="2">
        <v>0.76</v>
      </c>
      <c r="AO77" s="2">
        <v>1005.25</v>
      </c>
      <c r="AP77" s="2">
        <v>0</v>
      </c>
      <c r="AQ77" s="2">
        <v>83.04</v>
      </c>
      <c r="AR77" s="2">
        <v>0</v>
      </c>
      <c r="AS77" s="2">
        <v>0</v>
      </c>
      <c r="AT77" s="2">
        <v>101</v>
      </c>
      <c r="AU77" s="2">
        <v>55</v>
      </c>
      <c r="AV77" s="2">
        <v>1</v>
      </c>
      <c r="AW77" s="2">
        <v>1</v>
      </c>
      <c r="AZ77" s="2">
        <v>1</v>
      </c>
      <c r="BA77" s="2">
        <v>57.05</v>
      </c>
      <c r="BB77" s="2">
        <v>10.39</v>
      </c>
      <c r="BC77" s="2">
        <v>14.19</v>
      </c>
      <c r="BD77" s="2" t="s">
        <v>3</v>
      </c>
      <c r="BE77" s="2" t="s">
        <v>3</v>
      </c>
      <c r="BF77" s="2" t="s">
        <v>3</v>
      </c>
      <c r="BG77" s="2" t="s">
        <v>3</v>
      </c>
      <c r="BH77" s="2">
        <v>0</v>
      </c>
      <c r="BI77" s="2">
        <v>1</v>
      </c>
      <c r="BJ77" s="2" t="s">
        <v>136</v>
      </c>
      <c r="BM77" s="2">
        <v>15</v>
      </c>
      <c r="BN77" s="2">
        <v>0</v>
      </c>
      <c r="BO77" s="2" t="s">
        <v>134</v>
      </c>
      <c r="BP77" s="2">
        <v>1</v>
      </c>
      <c r="BQ77" s="2">
        <v>30</v>
      </c>
      <c r="BR77" s="2">
        <v>0</v>
      </c>
      <c r="BS77" s="2">
        <v>57.05</v>
      </c>
      <c r="BT77" s="2">
        <v>1</v>
      </c>
      <c r="BU77" s="2">
        <v>1</v>
      </c>
      <c r="BV77" s="2">
        <v>1</v>
      </c>
      <c r="BW77" s="2">
        <v>1</v>
      </c>
      <c r="BX77" s="2">
        <v>1</v>
      </c>
      <c r="BY77" s="2" t="s">
        <v>3</v>
      </c>
      <c r="BZ77" s="2">
        <v>101</v>
      </c>
      <c r="CA77" s="2">
        <v>55</v>
      </c>
      <c r="CB77" s="2" t="s">
        <v>3</v>
      </c>
      <c r="CE77" s="2">
        <v>1566</v>
      </c>
      <c r="CF77" s="2">
        <v>0</v>
      </c>
      <c r="CG77" s="2">
        <v>0</v>
      </c>
      <c r="CM77" s="2">
        <v>0</v>
      </c>
      <c r="CN77" s="2" t="s">
        <v>518</v>
      </c>
      <c r="CO77" s="2">
        <v>0</v>
      </c>
      <c r="CP77" s="2">
        <f t="shared" si="74"/>
        <v>11833.52</v>
      </c>
      <c r="CQ77" s="2">
        <f t="shared" si="75"/>
        <v>1537.77</v>
      </c>
      <c r="CR77" s="2">
        <f>(ROUND((ROUND((((ET77*1.15))*AV77*1),2)*BB77),2)+ROUND((ROUND(((AE77-((EU77*1.15)))*AV77*1),2)*BS77),2))</f>
        <v>519.19000000000005</v>
      </c>
      <c r="CS77" s="2">
        <f>(ROUND((ROUND((((EU77*1.15))*AV77*1),2)*BS77),2)+ROUND((ROUND(((AE77-((EU77*1.15)))*AV77*1),2)*BS77),2))</f>
        <v>49.63</v>
      </c>
      <c r="CT77" s="2">
        <f t="shared" si="76"/>
        <v>65952.08</v>
      </c>
      <c r="CU77" s="2">
        <f t="shared" si="77"/>
        <v>0</v>
      </c>
      <c r="CV77" s="2">
        <f t="shared" si="78"/>
        <v>95.495999999999995</v>
      </c>
      <c r="CW77" s="2">
        <f t="shared" si="79"/>
        <v>0</v>
      </c>
      <c r="CX77" s="2">
        <f t="shared" si="80"/>
        <v>0</v>
      </c>
      <c r="CY77" s="2">
        <f>(ROUND((((S77+ROUND((ROUND((((EU77*1.15))*AV77*1),2)*BS77),2))*AT77)/100),2)+ROUND(((ROUND((ROUND(((AE77-((EU77*1.15)))*AV77*1),2)*BS77),2)*AT77)/100),2))</f>
        <v>11640.49</v>
      </c>
      <c r="CZ77" s="2">
        <f>(ROUND((((S77+ROUND((ROUND((((EU77*1.15))*AV77*1),2)*BS77),2))*AU77)/100),2)+ROUND(((ROUND((ROUND(((AE77-((EU77*1.15)))*AV77*1),2)*BS77),2)*AU77)/100),2))</f>
        <v>6338.88</v>
      </c>
      <c r="DC77" s="2" t="s">
        <v>3</v>
      </c>
      <c r="DD77" s="2" t="s">
        <v>3</v>
      </c>
      <c r="DE77" s="2" t="s">
        <v>48</v>
      </c>
      <c r="DF77" s="2" t="s">
        <v>48</v>
      </c>
      <c r="DG77" s="2" t="s">
        <v>48</v>
      </c>
      <c r="DH77" s="2" t="s">
        <v>3</v>
      </c>
      <c r="DI77" s="2" t="s">
        <v>48</v>
      </c>
      <c r="DJ77" s="2" t="s">
        <v>48</v>
      </c>
      <c r="DK77" s="2" t="s">
        <v>3</v>
      </c>
      <c r="DL77" s="2" t="s">
        <v>3</v>
      </c>
      <c r="DM77" s="2" t="s">
        <v>3</v>
      </c>
      <c r="DN77" s="2">
        <v>0</v>
      </c>
      <c r="DO77" s="2">
        <v>0</v>
      </c>
      <c r="DP77" s="2">
        <v>1</v>
      </c>
      <c r="DQ77" s="2">
        <v>1</v>
      </c>
      <c r="DU77" s="2">
        <v>1005</v>
      </c>
      <c r="DV77" s="2" t="s">
        <v>32</v>
      </c>
      <c r="DW77" s="2" t="s">
        <v>32</v>
      </c>
      <c r="DX77" s="2">
        <v>100</v>
      </c>
      <c r="DZ77" s="2" t="s">
        <v>3</v>
      </c>
      <c r="EA77" s="2" t="s">
        <v>3</v>
      </c>
      <c r="EB77" s="2" t="s">
        <v>3</v>
      </c>
      <c r="EC77" s="2" t="s">
        <v>3</v>
      </c>
      <c r="EE77" s="2">
        <v>55896063</v>
      </c>
      <c r="EF77" s="2">
        <v>30</v>
      </c>
      <c r="EG77" s="2" t="s">
        <v>49</v>
      </c>
      <c r="EH77" s="2">
        <v>0</v>
      </c>
      <c r="EI77" s="2" t="s">
        <v>3</v>
      </c>
      <c r="EJ77" s="2">
        <v>1</v>
      </c>
      <c r="EK77" s="2">
        <v>15</v>
      </c>
      <c r="EL77" s="2" t="s">
        <v>137</v>
      </c>
      <c r="EM77" s="2" t="s">
        <v>138</v>
      </c>
      <c r="EO77" s="2" t="s">
        <v>28</v>
      </c>
      <c r="EQ77" s="2">
        <v>0</v>
      </c>
      <c r="ER77" s="2">
        <v>1157.07</v>
      </c>
      <c r="ES77" s="2">
        <v>108.37</v>
      </c>
      <c r="ET77" s="2">
        <v>43.45</v>
      </c>
      <c r="EU77" s="2">
        <v>0.76</v>
      </c>
      <c r="EV77" s="2">
        <v>1005.25</v>
      </c>
      <c r="EW77" s="2">
        <v>83.04</v>
      </c>
      <c r="EX77" s="2">
        <v>0</v>
      </c>
      <c r="EY77" s="2">
        <v>0</v>
      </c>
      <c r="FQ77" s="2">
        <v>0</v>
      </c>
      <c r="FR77" s="2">
        <v>0</v>
      </c>
      <c r="FS77" s="2">
        <v>0</v>
      </c>
      <c r="FX77" s="2">
        <v>101</v>
      </c>
      <c r="FY77" s="2">
        <v>55</v>
      </c>
      <c r="GA77" s="2" t="s">
        <v>3</v>
      </c>
      <c r="GD77" s="2">
        <v>1</v>
      </c>
      <c r="GF77" s="2">
        <v>-1849652511</v>
      </c>
      <c r="GG77" s="2">
        <v>2</v>
      </c>
      <c r="GH77" s="2">
        <v>1</v>
      </c>
      <c r="GI77" s="2">
        <v>2</v>
      </c>
      <c r="GJ77" s="2">
        <v>0</v>
      </c>
      <c r="GK77" s="2">
        <v>0</v>
      </c>
      <c r="GL77" s="2">
        <f t="shared" si="81"/>
        <v>0</v>
      </c>
      <c r="GM77" s="2">
        <f t="shared" si="82"/>
        <v>29748.82</v>
      </c>
      <c r="GN77" s="2">
        <f t="shared" si="83"/>
        <v>29748.82</v>
      </c>
      <c r="GO77" s="2">
        <f t="shared" si="84"/>
        <v>0</v>
      </c>
      <c r="GP77" s="2">
        <f t="shared" si="85"/>
        <v>0</v>
      </c>
      <c r="GR77" s="2">
        <v>0</v>
      </c>
      <c r="GS77" s="2">
        <v>3</v>
      </c>
      <c r="GT77" s="2">
        <v>0</v>
      </c>
      <c r="GU77" s="2" t="s">
        <v>3</v>
      </c>
      <c r="GV77" s="2">
        <f t="shared" si="86"/>
        <v>0</v>
      </c>
      <c r="GW77" s="2">
        <v>1</v>
      </c>
      <c r="GX77" s="2">
        <f t="shared" si="87"/>
        <v>0</v>
      </c>
      <c r="HA77" s="2">
        <v>0</v>
      </c>
      <c r="HB77" s="2">
        <v>0</v>
      </c>
      <c r="HC77" s="2">
        <f t="shared" si="88"/>
        <v>0</v>
      </c>
      <c r="HE77" s="2" t="s">
        <v>3</v>
      </c>
      <c r="HF77" s="2" t="s">
        <v>3</v>
      </c>
      <c r="HM77" s="2" t="s">
        <v>3</v>
      </c>
      <c r="HN77" s="2" t="s">
        <v>3</v>
      </c>
      <c r="HO77" s="2" t="s">
        <v>3</v>
      </c>
      <c r="HP77" s="2" t="s">
        <v>3</v>
      </c>
      <c r="HQ77" s="2" t="s">
        <v>3</v>
      </c>
      <c r="HS77" s="2">
        <v>0</v>
      </c>
      <c r="IK77" s="2">
        <v>0</v>
      </c>
    </row>
    <row r="78" spans="1:245" x14ac:dyDescent="0.2">
      <c r="A78" s="2">
        <v>18</v>
      </c>
      <c r="B78" s="2">
        <v>1</v>
      </c>
      <c r="C78" s="2">
        <v>43</v>
      </c>
      <c r="E78" s="2" t="s">
        <v>139</v>
      </c>
      <c r="F78" s="2" t="s">
        <v>140</v>
      </c>
      <c r="G78" s="2" t="s">
        <v>141</v>
      </c>
      <c r="H78" s="2" t="s">
        <v>22</v>
      </c>
      <c r="I78" s="2">
        <f>I77*J78</f>
        <v>2.6448</v>
      </c>
      <c r="J78" s="2">
        <v>15.200000000000001</v>
      </c>
      <c r="K78" s="2">
        <v>15.2</v>
      </c>
      <c r="O78" s="2">
        <f t="shared" si="62"/>
        <v>928.96</v>
      </c>
      <c r="P78" s="2">
        <f t="shared" si="63"/>
        <v>928.96</v>
      </c>
      <c r="Q78" s="2">
        <f>(ROUND((ROUND(((ET78)*AV78*I78),2)*BB78),2)+ROUND((ROUND(((AE78-(EU78))*AV78*I78),2)*BS78),2))</f>
        <v>0</v>
      </c>
      <c r="R78" s="2">
        <f>(ROUND((ROUND(((EU78)*AV78*I78),2)*BS78),2)+ROUND((ROUND(((AE78-(EU78))*AV78*I78),2)*BS78),2))</f>
        <v>0</v>
      </c>
      <c r="S78" s="2">
        <f t="shared" si="64"/>
        <v>0</v>
      </c>
      <c r="T78" s="2">
        <f t="shared" si="65"/>
        <v>0</v>
      </c>
      <c r="U78" s="2">
        <f t="shared" si="66"/>
        <v>0</v>
      </c>
      <c r="V78" s="2">
        <f t="shared" si="67"/>
        <v>0</v>
      </c>
      <c r="W78" s="2">
        <f t="shared" si="68"/>
        <v>0</v>
      </c>
      <c r="X78" s="2">
        <f>(ROUND((((S78+ROUND((ROUND(((EU78)*AV78*I78),2)*BS78),2))*AT78)/100),2)+ROUND(((ROUND((ROUND(((AE78-(EU78))*AV78*I78),2)*BS78),2)*AT78)/100),2))</f>
        <v>0</v>
      </c>
      <c r="Y78" s="2">
        <f>(ROUND((((S78+ROUND((ROUND(((EU78)*AV78*I78),2)*BS78),2))*AU78)/100),2)+ROUND(((ROUND((ROUND(((AE78-(EU78))*AV78*I78),2)*BS78),2)*AU78)/100),2))</f>
        <v>0</v>
      </c>
      <c r="AA78" s="2">
        <v>56793366</v>
      </c>
      <c r="AB78" s="2">
        <f t="shared" si="69"/>
        <v>94.93</v>
      </c>
      <c r="AC78" s="2">
        <f t="shared" si="89"/>
        <v>94.93</v>
      </c>
      <c r="AD78" s="2">
        <f>ROUND((((ET78)-(EU78))+AE78),6)</f>
        <v>0</v>
      </c>
      <c r="AE78" s="2">
        <f t="shared" ref="AE78:AF80" si="90">ROUND((EU78),6)</f>
        <v>0</v>
      </c>
      <c r="AF78" s="2">
        <f t="shared" si="90"/>
        <v>0</v>
      </c>
      <c r="AG78" s="2">
        <f t="shared" si="71"/>
        <v>0</v>
      </c>
      <c r="AH78" s="2">
        <f t="shared" ref="AH78:AI80" si="91">(EW78)</f>
        <v>0</v>
      </c>
      <c r="AI78" s="2">
        <f t="shared" si="91"/>
        <v>0</v>
      </c>
      <c r="AJ78" s="2">
        <f t="shared" si="73"/>
        <v>0</v>
      </c>
      <c r="AK78" s="2">
        <v>94.93</v>
      </c>
      <c r="AL78" s="2">
        <v>94.93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101</v>
      </c>
      <c r="AU78" s="2">
        <v>55</v>
      </c>
      <c r="AV78" s="2">
        <v>1</v>
      </c>
      <c r="AW78" s="2">
        <v>1</v>
      </c>
      <c r="AZ78" s="2">
        <v>1</v>
      </c>
      <c r="BA78" s="2">
        <v>1</v>
      </c>
      <c r="BB78" s="2">
        <v>1</v>
      </c>
      <c r="BC78" s="2">
        <v>3.7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3</v>
      </c>
      <c r="BI78" s="2">
        <v>1</v>
      </c>
      <c r="BJ78" s="2" t="s">
        <v>142</v>
      </c>
      <c r="BM78" s="2">
        <v>15</v>
      </c>
      <c r="BN78" s="2">
        <v>0</v>
      </c>
      <c r="BO78" s="2" t="s">
        <v>140</v>
      </c>
      <c r="BP78" s="2">
        <v>1</v>
      </c>
      <c r="BQ78" s="2">
        <v>30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101</v>
      </c>
      <c r="CA78" s="2">
        <v>55</v>
      </c>
      <c r="CB78" s="2" t="s">
        <v>3</v>
      </c>
      <c r="CE78" s="2">
        <v>1566</v>
      </c>
      <c r="CF78" s="2">
        <v>0</v>
      </c>
      <c r="CG78" s="2">
        <v>0</v>
      </c>
      <c r="CM78" s="2">
        <v>0</v>
      </c>
      <c r="CN78" s="2" t="s">
        <v>3</v>
      </c>
      <c r="CO78" s="2">
        <v>0</v>
      </c>
      <c r="CP78" s="2">
        <f t="shared" si="74"/>
        <v>928.96</v>
      </c>
      <c r="CQ78" s="2">
        <f t="shared" si="75"/>
        <v>351.24</v>
      </c>
      <c r="CR78" s="2">
        <f>(ROUND((ROUND(((ET78)*AV78*1),2)*BB78),2)+ROUND((ROUND(((AE78-(EU78))*AV78*1),2)*BS78),2))</f>
        <v>0</v>
      </c>
      <c r="CS78" s="2">
        <f>(ROUND((ROUND(((EU78)*AV78*1),2)*BS78),2)+ROUND((ROUND(((AE78-(EU78))*AV78*1),2)*BS78),2))</f>
        <v>0</v>
      </c>
      <c r="CT78" s="2">
        <f t="shared" si="76"/>
        <v>0</v>
      </c>
      <c r="CU78" s="2">
        <f t="shared" si="77"/>
        <v>0</v>
      </c>
      <c r="CV78" s="2">
        <f t="shared" si="78"/>
        <v>0</v>
      </c>
      <c r="CW78" s="2">
        <f t="shared" si="79"/>
        <v>0</v>
      </c>
      <c r="CX78" s="2">
        <f t="shared" si="80"/>
        <v>0</v>
      </c>
      <c r="CY78" s="2">
        <f>(ROUND((((S78+ROUND((ROUND(((EU78)*AV78*1),2)*BS78),2))*AT78)/100),2)+ROUND(((ROUND((ROUND(((AE78-(EU78))*AV78*1),2)*BS78),2)*AT78)/100),2))</f>
        <v>0</v>
      </c>
      <c r="CZ78" s="2">
        <f>(ROUND((((S78+ROUND((ROUND(((EU78)*AV78*1),2)*BS78),2))*AU78)/100),2)+ROUND(((ROUND((ROUND(((AE78-(EU78))*AV78*1),2)*BS78),2)*AU78)/100),2))</f>
        <v>0</v>
      </c>
      <c r="DC78" s="2" t="s">
        <v>3</v>
      </c>
      <c r="DD78" s="2" t="s">
        <v>3</v>
      </c>
      <c r="DE78" s="2" t="s">
        <v>3</v>
      </c>
      <c r="DF78" s="2" t="s">
        <v>3</v>
      </c>
      <c r="DG78" s="2" t="s">
        <v>3</v>
      </c>
      <c r="DH78" s="2" t="s">
        <v>3</v>
      </c>
      <c r="DI78" s="2" t="s">
        <v>3</v>
      </c>
      <c r="DJ78" s="2" t="s">
        <v>3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</v>
      </c>
      <c r="DQ78" s="2">
        <v>1</v>
      </c>
      <c r="DU78" s="2">
        <v>1010</v>
      </c>
      <c r="DV78" s="2" t="s">
        <v>22</v>
      </c>
      <c r="DW78" s="2" t="s">
        <v>22</v>
      </c>
      <c r="DX78" s="2">
        <v>100</v>
      </c>
      <c r="DZ78" s="2" t="s">
        <v>3</v>
      </c>
      <c r="EA78" s="2" t="s">
        <v>3</v>
      </c>
      <c r="EB78" s="2" t="s">
        <v>3</v>
      </c>
      <c r="EC78" s="2" t="s">
        <v>3</v>
      </c>
      <c r="EE78" s="2">
        <v>55896063</v>
      </c>
      <c r="EF78" s="2">
        <v>30</v>
      </c>
      <c r="EG78" s="2" t="s">
        <v>49</v>
      </c>
      <c r="EH78" s="2">
        <v>0</v>
      </c>
      <c r="EI78" s="2" t="s">
        <v>3</v>
      </c>
      <c r="EJ78" s="2">
        <v>1</v>
      </c>
      <c r="EK78" s="2">
        <v>15</v>
      </c>
      <c r="EL78" s="2" t="s">
        <v>137</v>
      </c>
      <c r="EM78" s="2" t="s">
        <v>138</v>
      </c>
      <c r="EO78" s="2" t="s">
        <v>3</v>
      </c>
      <c r="EQ78" s="2">
        <v>0</v>
      </c>
      <c r="ER78" s="2">
        <v>94.93</v>
      </c>
      <c r="ES78" s="2">
        <v>94.93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FQ78" s="2">
        <v>0</v>
      </c>
      <c r="FR78" s="2">
        <v>0</v>
      </c>
      <c r="FS78" s="2">
        <v>0</v>
      </c>
      <c r="FX78" s="2">
        <v>101</v>
      </c>
      <c r="FY78" s="2">
        <v>55</v>
      </c>
      <c r="GA78" s="2" t="s">
        <v>3</v>
      </c>
      <c r="GD78" s="2">
        <v>1</v>
      </c>
      <c r="GF78" s="2">
        <v>-1966092607</v>
      </c>
      <c r="GG78" s="2">
        <v>2</v>
      </c>
      <c r="GH78" s="2">
        <v>1</v>
      </c>
      <c r="GI78" s="2">
        <v>2</v>
      </c>
      <c r="GJ78" s="2">
        <v>0</v>
      </c>
      <c r="GK78" s="2">
        <v>0</v>
      </c>
      <c r="GL78" s="2">
        <f t="shared" si="81"/>
        <v>0</v>
      </c>
      <c r="GM78" s="2">
        <f t="shared" si="82"/>
        <v>928.96</v>
      </c>
      <c r="GN78" s="2">
        <f t="shared" si="83"/>
        <v>928.96</v>
      </c>
      <c r="GO78" s="2">
        <f t="shared" si="84"/>
        <v>0</v>
      </c>
      <c r="GP78" s="2">
        <f t="shared" si="85"/>
        <v>0</v>
      </c>
      <c r="GR78" s="2">
        <v>0</v>
      </c>
      <c r="GS78" s="2">
        <v>3</v>
      </c>
      <c r="GT78" s="2">
        <v>0</v>
      </c>
      <c r="GU78" s="2" t="s">
        <v>3</v>
      </c>
      <c r="GV78" s="2">
        <f t="shared" si="86"/>
        <v>0</v>
      </c>
      <c r="GW78" s="2">
        <v>1</v>
      </c>
      <c r="GX78" s="2">
        <f t="shared" si="87"/>
        <v>0</v>
      </c>
      <c r="HA78" s="2">
        <v>0</v>
      </c>
      <c r="HB78" s="2">
        <v>0</v>
      </c>
      <c r="HC78" s="2">
        <f t="shared" si="88"/>
        <v>0</v>
      </c>
      <c r="HE78" s="2" t="s">
        <v>3</v>
      </c>
      <c r="HF78" s="2" t="s">
        <v>3</v>
      </c>
      <c r="HM78" s="2" t="s">
        <v>3</v>
      </c>
      <c r="HN78" s="2" t="s">
        <v>3</v>
      </c>
      <c r="HO78" s="2" t="s">
        <v>3</v>
      </c>
      <c r="HP78" s="2" t="s">
        <v>3</v>
      </c>
      <c r="HQ78" s="2" t="s">
        <v>3</v>
      </c>
      <c r="HS78" s="2">
        <v>0</v>
      </c>
      <c r="IK78" s="2">
        <v>0</v>
      </c>
    </row>
    <row r="79" spans="1:245" x14ac:dyDescent="0.2">
      <c r="A79" s="2">
        <v>18</v>
      </c>
      <c r="B79" s="2">
        <v>1</v>
      </c>
      <c r="C79" s="2">
        <v>45</v>
      </c>
      <c r="E79" s="2" t="s">
        <v>143</v>
      </c>
      <c r="F79" s="2" t="s">
        <v>144</v>
      </c>
      <c r="G79" s="2" t="s">
        <v>145</v>
      </c>
      <c r="H79" s="2" t="s">
        <v>146</v>
      </c>
      <c r="I79" s="2">
        <f>I77*J79</f>
        <v>13.919999999999998</v>
      </c>
      <c r="J79" s="2">
        <v>80</v>
      </c>
      <c r="K79" s="2">
        <v>80</v>
      </c>
      <c r="O79" s="2">
        <f t="shared" si="62"/>
        <v>1186.3800000000001</v>
      </c>
      <c r="P79" s="2">
        <f t="shared" si="63"/>
        <v>1186.3800000000001</v>
      </c>
      <c r="Q79" s="2">
        <f>(ROUND((ROUND(((ET79)*AV79*I79),2)*BB79),2)+ROUND((ROUND(((AE79-(EU79))*AV79*I79),2)*BS79),2))</f>
        <v>0</v>
      </c>
      <c r="R79" s="2">
        <f>(ROUND((ROUND(((EU79)*AV79*I79),2)*BS79),2)+ROUND((ROUND(((AE79-(EU79))*AV79*I79),2)*BS79),2))</f>
        <v>0</v>
      </c>
      <c r="S79" s="2">
        <f t="shared" si="64"/>
        <v>0</v>
      </c>
      <c r="T79" s="2">
        <f t="shared" si="65"/>
        <v>0</v>
      </c>
      <c r="U79" s="2">
        <f t="shared" si="66"/>
        <v>0</v>
      </c>
      <c r="V79" s="2">
        <f t="shared" si="67"/>
        <v>0</v>
      </c>
      <c r="W79" s="2">
        <f t="shared" si="68"/>
        <v>0</v>
      </c>
      <c r="X79" s="2">
        <f>(ROUND((((S79+ROUND((ROUND(((EU79)*AV79*I79),2)*BS79),2))*AT79)/100),2)+ROUND(((ROUND((ROUND(((AE79-(EU79))*AV79*I79),2)*BS79),2)*AT79)/100),2))</f>
        <v>0</v>
      </c>
      <c r="Y79" s="2">
        <f>(ROUND((((S79+ROUND((ROUND(((EU79)*AV79*I79),2)*BS79),2))*AU79)/100),2)+ROUND(((ROUND((ROUND(((AE79-(EU79))*AV79*I79),2)*BS79),2)*AU79)/100),2))</f>
        <v>0</v>
      </c>
      <c r="AA79" s="2">
        <v>56793366</v>
      </c>
      <c r="AB79" s="2">
        <f t="shared" si="69"/>
        <v>9.98</v>
      </c>
      <c r="AC79" s="2">
        <f t="shared" si="89"/>
        <v>9.98</v>
      </c>
      <c r="AD79" s="2">
        <f>ROUND((((ET79)-(EU79))+AE79),6)</f>
        <v>0</v>
      </c>
      <c r="AE79" s="2">
        <f t="shared" si="90"/>
        <v>0</v>
      </c>
      <c r="AF79" s="2">
        <f t="shared" si="90"/>
        <v>0</v>
      </c>
      <c r="AG79" s="2">
        <f t="shared" si="71"/>
        <v>0</v>
      </c>
      <c r="AH79" s="2">
        <f t="shared" si="91"/>
        <v>0</v>
      </c>
      <c r="AI79" s="2">
        <f t="shared" si="91"/>
        <v>0</v>
      </c>
      <c r="AJ79" s="2">
        <f t="shared" si="73"/>
        <v>0</v>
      </c>
      <c r="AK79" s="2">
        <v>9.98</v>
      </c>
      <c r="AL79" s="2">
        <v>9.98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101</v>
      </c>
      <c r="AU79" s="2">
        <v>55</v>
      </c>
      <c r="AV79" s="2">
        <v>1</v>
      </c>
      <c r="AW79" s="2">
        <v>1</v>
      </c>
      <c r="AZ79" s="2">
        <v>1</v>
      </c>
      <c r="BA79" s="2">
        <v>1</v>
      </c>
      <c r="BB79" s="2">
        <v>1</v>
      </c>
      <c r="BC79" s="2">
        <v>8.5399999999999991</v>
      </c>
      <c r="BD79" s="2" t="s">
        <v>3</v>
      </c>
      <c r="BE79" s="2" t="s">
        <v>3</v>
      </c>
      <c r="BF79" s="2" t="s">
        <v>3</v>
      </c>
      <c r="BG79" s="2" t="s">
        <v>3</v>
      </c>
      <c r="BH79" s="2">
        <v>3</v>
      </c>
      <c r="BI79" s="2">
        <v>1</v>
      </c>
      <c r="BJ79" s="2" t="s">
        <v>147</v>
      </c>
      <c r="BM79" s="2">
        <v>15</v>
      </c>
      <c r="BN79" s="2">
        <v>0</v>
      </c>
      <c r="BO79" s="2" t="s">
        <v>144</v>
      </c>
      <c r="BP79" s="2">
        <v>1</v>
      </c>
      <c r="BQ79" s="2">
        <v>30</v>
      </c>
      <c r="BR79" s="2">
        <v>0</v>
      </c>
      <c r="BS79" s="2">
        <v>1</v>
      </c>
      <c r="BT79" s="2">
        <v>1</v>
      </c>
      <c r="BU79" s="2">
        <v>1</v>
      </c>
      <c r="BV79" s="2">
        <v>1</v>
      </c>
      <c r="BW79" s="2">
        <v>1</v>
      </c>
      <c r="BX79" s="2">
        <v>1</v>
      </c>
      <c r="BY79" s="2" t="s">
        <v>3</v>
      </c>
      <c r="BZ79" s="2">
        <v>101</v>
      </c>
      <c r="CA79" s="2">
        <v>55</v>
      </c>
      <c r="CB79" s="2" t="s">
        <v>3</v>
      </c>
      <c r="CE79" s="2">
        <v>1566</v>
      </c>
      <c r="CF79" s="2">
        <v>0</v>
      </c>
      <c r="CG79" s="2">
        <v>0</v>
      </c>
      <c r="CM79" s="2">
        <v>0</v>
      </c>
      <c r="CN79" s="2" t="s">
        <v>3</v>
      </c>
      <c r="CO79" s="2">
        <v>0</v>
      </c>
      <c r="CP79" s="2">
        <f t="shared" si="74"/>
        <v>1186.3800000000001</v>
      </c>
      <c r="CQ79" s="2">
        <f t="shared" si="75"/>
        <v>85.23</v>
      </c>
      <c r="CR79" s="2">
        <f>(ROUND((ROUND(((ET79)*AV79*1),2)*BB79),2)+ROUND((ROUND(((AE79-(EU79))*AV79*1),2)*BS79),2))</f>
        <v>0</v>
      </c>
      <c r="CS79" s="2">
        <f>(ROUND((ROUND(((EU79)*AV79*1),2)*BS79),2)+ROUND((ROUND(((AE79-(EU79))*AV79*1),2)*BS79),2))</f>
        <v>0</v>
      </c>
      <c r="CT79" s="2">
        <f t="shared" si="76"/>
        <v>0</v>
      </c>
      <c r="CU79" s="2">
        <f t="shared" si="77"/>
        <v>0</v>
      </c>
      <c r="CV79" s="2">
        <f t="shared" si="78"/>
        <v>0</v>
      </c>
      <c r="CW79" s="2">
        <f t="shared" si="79"/>
        <v>0</v>
      </c>
      <c r="CX79" s="2">
        <f t="shared" si="80"/>
        <v>0</v>
      </c>
      <c r="CY79" s="2">
        <f>(ROUND((((S79+ROUND((ROUND(((EU79)*AV79*1),2)*BS79),2))*AT79)/100),2)+ROUND(((ROUND((ROUND(((AE79-(EU79))*AV79*1),2)*BS79),2)*AT79)/100),2))</f>
        <v>0</v>
      </c>
      <c r="CZ79" s="2">
        <f>(ROUND((((S79+ROUND((ROUND(((EU79)*AV79*1),2)*BS79),2))*AU79)/100),2)+ROUND(((ROUND((ROUND(((AE79-(EU79))*AV79*1),2)*BS79),2)*AU79)/100),2))</f>
        <v>0</v>
      </c>
      <c r="DC79" s="2" t="s">
        <v>3</v>
      </c>
      <c r="DD79" s="2" t="s">
        <v>3</v>
      </c>
      <c r="DE79" s="2" t="s">
        <v>3</v>
      </c>
      <c r="DF79" s="2" t="s">
        <v>3</v>
      </c>
      <c r="DG79" s="2" t="s">
        <v>3</v>
      </c>
      <c r="DH79" s="2" t="s">
        <v>3</v>
      </c>
      <c r="DI79" s="2" t="s">
        <v>3</v>
      </c>
      <c r="DJ79" s="2" t="s">
        <v>3</v>
      </c>
      <c r="DK79" s="2" t="s">
        <v>3</v>
      </c>
      <c r="DL79" s="2" t="s">
        <v>3</v>
      </c>
      <c r="DM79" s="2" t="s">
        <v>3</v>
      </c>
      <c r="DN79" s="2">
        <v>0</v>
      </c>
      <c r="DO79" s="2">
        <v>0</v>
      </c>
      <c r="DP79" s="2">
        <v>1</v>
      </c>
      <c r="DQ79" s="2">
        <v>1</v>
      </c>
      <c r="DU79" s="2">
        <v>1009</v>
      </c>
      <c r="DV79" s="2" t="s">
        <v>146</v>
      </c>
      <c r="DW79" s="2" t="s">
        <v>146</v>
      </c>
      <c r="DX79" s="2">
        <v>1</v>
      </c>
      <c r="DZ79" s="2" t="s">
        <v>3</v>
      </c>
      <c r="EA79" s="2" t="s">
        <v>3</v>
      </c>
      <c r="EB79" s="2" t="s">
        <v>3</v>
      </c>
      <c r="EC79" s="2" t="s">
        <v>3</v>
      </c>
      <c r="EE79" s="2">
        <v>55896063</v>
      </c>
      <c r="EF79" s="2">
        <v>30</v>
      </c>
      <c r="EG79" s="2" t="s">
        <v>49</v>
      </c>
      <c r="EH79" s="2">
        <v>0</v>
      </c>
      <c r="EI79" s="2" t="s">
        <v>3</v>
      </c>
      <c r="EJ79" s="2">
        <v>1</v>
      </c>
      <c r="EK79" s="2">
        <v>15</v>
      </c>
      <c r="EL79" s="2" t="s">
        <v>137</v>
      </c>
      <c r="EM79" s="2" t="s">
        <v>138</v>
      </c>
      <c r="EO79" s="2" t="s">
        <v>3</v>
      </c>
      <c r="EQ79" s="2">
        <v>0</v>
      </c>
      <c r="ER79" s="2">
        <v>9.98</v>
      </c>
      <c r="ES79" s="2">
        <v>9.98</v>
      </c>
      <c r="ET79" s="2">
        <v>0</v>
      </c>
      <c r="EU79" s="2">
        <v>0</v>
      </c>
      <c r="EV79" s="2">
        <v>0</v>
      </c>
      <c r="EW79" s="2">
        <v>0</v>
      </c>
      <c r="EX79" s="2">
        <v>0</v>
      </c>
      <c r="FQ79" s="2">
        <v>0</v>
      </c>
      <c r="FR79" s="2">
        <v>0</v>
      </c>
      <c r="FS79" s="2">
        <v>0</v>
      </c>
      <c r="FX79" s="2">
        <v>101</v>
      </c>
      <c r="FY79" s="2">
        <v>55</v>
      </c>
      <c r="GA79" s="2" t="s">
        <v>3</v>
      </c>
      <c r="GD79" s="2">
        <v>1</v>
      </c>
      <c r="GF79" s="2">
        <v>-1915576057</v>
      </c>
      <c r="GG79" s="2">
        <v>2</v>
      </c>
      <c r="GH79" s="2">
        <v>1</v>
      </c>
      <c r="GI79" s="2">
        <v>2</v>
      </c>
      <c r="GJ79" s="2">
        <v>0</v>
      </c>
      <c r="GK79" s="2">
        <v>0</v>
      </c>
      <c r="GL79" s="2">
        <f t="shared" si="81"/>
        <v>0</v>
      </c>
      <c r="GM79" s="2">
        <f t="shared" si="82"/>
        <v>1186.3800000000001</v>
      </c>
      <c r="GN79" s="2">
        <f t="shared" si="83"/>
        <v>1186.3800000000001</v>
      </c>
      <c r="GO79" s="2">
        <f t="shared" si="84"/>
        <v>0</v>
      </c>
      <c r="GP79" s="2">
        <f t="shared" si="85"/>
        <v>0</v>
      </c>
      <c r="GR79" s="2">
        <v>0</v>
      </c>
      <c r="GS79" s="2">
        <v>3</v>
      </c>
      <c r="GT79" s="2">
        <v>0</v>
      </c>
      <c r="GU79" s="2" t="s">
        <v>3</v>
      </c>
      <c r="GV79" s="2">
        <f t="shared" si="86"/>
        <v>0</v>
      </c>
      <c r="GW79" s="2">
        <v>1</v>
      </c>
      <c r="GX79" s="2">
        <f t="shared" si="87"/>
        <v>0</v>
      </c>
      <c r="HA79" s="2">
        <v>0</v>
      </c>
      <c r="HB79" s="2">
        <v>0</v>
      </c>
      <c r="HC79" s="2">
        <f t="shared" si="88"/>
        <v>0</v>
      </c>
      <c r="HE79" s="2" t="s">
        <v>3</v>
      </c>
      <c r="HF79" s="2" t="s">
        <v>3</v>
      </c>
      <c r="HM79" s="2" t="s">
        <v>3</v>
      </c>
      <c r="HN79" s="2" t="s">
        <v>3</v>
      </c>
      <c r="HO79" s="2" t="s">
        <v>3</v>
      </c>
      <c r="HP79" s="2" t="s">
        <v>3</v>
      </c>
      <c r="HQ79" s="2" t="s">
        <v>3</v>
      </c>
      <c r="HS79" s="2">
        <v>0</v>
      </c>
      <c r="IK79" s="2">
        <v>0</v>
      </c>
    </row>
    <row r="80" spans="1:245" x14ac:dyDescent="0.2">
      <c r="A80" s="2">
        <v>18</v>
      </c>
      <c r="B80" s="2">
        <v>1</v>
      </c>
      <c r="C80" s="2">
        <v>40</v>
      </c>
      <c r="E80" s="2" t="s">
        <v>148</v>
      </c>
      <c r="F80" s="2" t="s">
        <v>149</v>
      </c>
      <c r="G80" s="2" t="s">
        <v>150</v>
      </c>
      <c r="H80" s="2" t="s">
        <v>151</v>
      </c>
      <c r="I80" s="2">
        <f>I77*J80</f>
        <v>0.08</v>
      </c>
      <c r="J80" s="2">
        <v>0.45977011494252878</v>
      </c>
      <c r="K80" s="2">
        <v>0.45977000000000001</v>
      </c>
      <c r="O80" s="2">
        <f t="shared" si="62"/>
        <v>4046.71</v>
      </c>
      <c r="P80" s="2">
        <f t="shared" si="63"/>
        <v>4046.71</v>
      </c>
      <c r="Q80" s="2">
        <f>(ROUND((ROUND(((ET80)*AV80*I80),2)*BB80),2)+ROUND((ROUND(((AE80-(EU80))*AV80*I80),2)*BS80),2))</f>
        <v>0</v>
      </c>
      <c r="R80" s="2">
        <f>(ROUND((ROUND(((EU80)*AV80*I80),2)*BS80),2)+ROUND((ROUND(((AE80-(EU80))*AV80*I80),2)*BS80),2))</f>
        <v>0</v>
      </c>
      <c r="S80" s="2">
        <f t="shared" si="64"/>
        <v>0</v>
      </c>
      <c r="T80" s="2">
        <f t="shared" si="65"/>
        <v>0</v>
      </c>
      <c r="U80" s="2">
        <f t="shared" si="66"/>
        <v>0</v>
      </c>
      <c r="V80" s="2">
        <f t="shared" si="67"/>
        <v>0</v>
      </c>
      <c r="W80" s="2">
        <f t="shared" si="68"/>
        <v>0</v>
      </c>
      <c r="X80" s="2">
        <f>(ROUND((((S80+ROUND((ROUND(((EU80)*AV80*I80),2)*BS80),2))*AT80)/100),2)+ROUND(((ROUND((ROUND(((AE80-(EU80))*AV80*I80),2)*BS80),2)*AT80)/100),2))</f>
        <v>0</v>
      </c>
      <c r="Y80" s="2">
        <f>(ROUND((((S80+ROUND((ROUND(((EU80)*AV80*I80),2)*BS80),2))*AU80)/100),2)+ROUND(((ROUND((ROUND(((AE80-(EU80))*AV80*I80),2)*BS80),2)*AU80)/100),2))</f>
        <v>0</v>
      </c>
      <c r="AA80" s="2">
        <v>56793366</v>
      </c>
      <c r="AB80" s="2">
        <f t="shared" si="69"/>
        <v>2520.42</v>
      </c>
      <c r="AC80" s="2">
        <f t="shared" si="89"/>
        <v>2520.42</v>
      </c>
      <c r="AD80" s="2">
        <f>ROUND((((ET80)-(EU80))+AE80),6)</f>
        <v>0</v>
      </c>
      <c r="AE80" s="2">
        <f t="shared" si="90"/>
        <v>0</v>
      </c>
      <c r="AF80" s="2">
        <f t="shared" si="90"/>
        <v>0</v>
      </c>
      <c r="AG80" s="2">
        <f t="shared" si="71"/>
        <v>0</v>
      </c>
      <c r="AH80" s="2">
        <f t="shared" si="91"/>
        <v>0</v>
      </c>
      <c r="AI80" s="2">
        <f t="shared" si="91"/>
        <v>0</v>
      </c>
      <c r="AJ80" s="2">
        <f t="shared" si="73"/>
        <v>0</v>
      </c>
      <c r="AK80" s="2">
        <v>2520.42</v>
      </c>
      <c r="AL80" s="2">
        <v>2520.42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101</v>
      </c>
      <c r="AU80" s="2">
        <v>55</v>
      </c>
      <c r="AV80" s="2">
        <v>1</v>
      </c>
      <c r="AW80" s="2">
        <v>1</v>
      </c>
      <c r="AZ80" s="2">
        <v>1</v>
      </c>
      <c r="BA80" s="2">
        <v>1</v>
      </c>
      <c r="BB80" s="2">
        <v>1</v>
      </c>
      <c r="BC80" s="2">
        <v>20.07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3</v>
      </c>
      <c r="BI80" s="2">
        <v>1</v>
      </c>
      <c r="BJ80" s="2" t="s">
        <v>152</v>
      </c>
      <c r="BM80" s="2">
        <v>15</v>
      </c>
      <c r="BN80" s="2">
        <v>0</v>
      </c>
      <c r="BO80" s="2" t="s">
        <v>149</v>
      </c>
      <c r="BP80" s="2">
        <v>1</v>
      </c>
      <c r="BQ80" s="2">
        <v>30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101</v>
      </c>
      <c r="CA80" s="2">
        <v>55</v>
      </c>
      <c r="CB80" s="2" t="s">
        <v>3</v>
      </c>
      <c r="CE80" s="2">
        <v>1566</v>
      </c>
      <c r="CF80" s="2">
        <v>0</v>
      </c>
      <c r="CG80" s="2">
        <v>0</v>
      </c>
      <c r="CM80" s="2">
        <v>0</v>
      </c>
      <c r="CN80" s="2" t="s">
        <v>3</v>
      </c>
      <c r="CO80" s="2">
        <v>0</v>
      </c>
      <c r="CP80" s="2">
        <f t="shared" si="74"/>
        <v>4046.71</v>
      </c>
      <c r="CQ80" s="2">
        <f t="shared" si="75"/>
        <v>50584.83</v>
      </c>
      <c r="CR80" s="2">
        <f>(ROUND((ROUND(((ET80)*AV80*1),2)*BB80),2)+ROUND((ROUND(((AE80-(EU80))*AV80*1),2)*BS80),2))</f>
        <v>0</v>
      </c>
      <c r="CS80" s="2">
        <f>(ROUND((ROUND(((EU80)*AV80*1),2)*BS80),2)+ROUND((ROUND(((AE80-(EU80))*AV80*1),2)*BS80),2))</f>
        <v>0</v>
      </c>
      <c r="CT80" s="2">
        <f t="shared" si="76"/>
        <v>0</v>
      </c>
      <c r="CU80" s="2">
        <f t="shared" si="77"/>
        <v>0</v>
      </c>
      <c r="CV80" s="2">
        <f t="shared" si="78"/>
        <v>0</v>
      </c>
      <c r="CW80" s="2">
        <f t="shared" si="79"/>
        <v>0</v>
      </c>
      <c r="CX80" s="2">
        <f t="shared" si="80"/>
        <v>0</v>
      </c>
      <c r="CY80" s="2">
        <f>(ROUND((((S80+ROUND((ROUND(((EU80)*AV80*1),2)*BS80),2))*AT80)/100),2)+ROUND(((ROUND((ROUND(((AE80-(EU80))*AV80*1),2)*BS80),2)*AT80)/100),2))</f>
        <v>0</v>
      </c>
      <c r="CZ80" s="2">
        <f>(ROUND((((S80+ROUND((ROUND(((EU80)*AV80*1),2)*BS80),2))*AU80)/100),2)+ROUND(((ROUND((ROUND(((AE80-(EU80))*AV80*1),2)*BS80),2)*AU80)/100),2))</f>
        <v>0</v>
      </c>
      <c r="DC80" s="2" t="s">
        <v>3</v>
      </c>
      <c r="DD80" s="2" t="s">
        <v>3</v>
      </c>
      <c r="DE80" s="2" t="s">
        <v>3</v>
      </c>
      <c r="DF80" s="2" t="s">
        <v>3</v>
      </c>
      <c r="DG80" s="2" t="s">
        <v>3</v>
      </c>
      <c r="DH80" s="2" t="s">
        <v>3</v>
      </c>
      <c r="DI80" s="2" t="s">
        <v>3</v>
      </c>
      <c r="DJ80" s="2" t="s">
        <v>3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</v>
      </c>
      <c r="DQ80" s="2">
        <v>1</v>
      </c>
      <c r="DU80" s="2">
        <v>1007</v>
      </c>
      <c r="DV80" s="2" t="s">
        <v>151</v>
      </c>
      <c r="DW80" s="2" t="s">
        <v>151</v>
      </c>
      <c r="DX80" s="2">
        <v>1</v>
      </c>
      <c r="DZ80" s="2" t="s">
        <v>3</v>
      </c>
      <c r="EA80" s="2" t="s">
        <v>3</v>
      </c>
      <c r="EB80" s="2" t="s">
        <v>3</v>
      </c>
      <c r="EC80" s="2" t="s">
        <v>3</v>
      </c>
      <c r="EE80" s="2">
        <v>55896063</v>
      </c>
      <c r="EF80" s="2">
        <v>30</v>
      </c>
      <c r="EG80" s="2" t="s">
        <v>49</v>
      </c>
      <c r="EH80" s="2">
        <v>0</v>
      </c>
      <c r="EI80" s="2" t="s">
        <v>3</v>
      </c>
      <c r="EJ80" s="2">
        <v>1</v>
      </c>
      <c r="EK80" s="2">
        <v>15</v>
      </c>
      <c r="EL80" s="2" t="s">
        <v>137</v>
      </c>
      <c r="EM80" s="2" t="s">
        <v>138</v>
      </c>
      <c r="EO80" s="2" t="s">
        <v>3</v>
      </c>
      <c r="EQ80" s="2">
        <v>0</v>
      </c>
      <c r="ER80" s="2">
        <v>2520.42</v>
      </c>
      <c r="ES80" s="2">
        <v>2520.42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FQ80" s="2">
        <v>0</v>
      </c>
      <c r="FR80" s="2">
        <v>0</v>
      </c>
      <c r="FS80" s="2">
        <v>0</v>
      </c>
      <c r="FX80" s="2">
        <v>101</v>
      </c>
      <c r="FY80" s="2">
        <v>55</v>
      </c>
      <c r="GA80" s="2" t="s">
        <v>3</v>
      </c>
      <c r="GD80" s="2">
        <v>1</v>
      </c>
      <c r="GF80" s="2">
        <v>-565228515</v>
      </c>
      <c r="GG80" s="2">
        <v>2</v>
      </c>
      <c r="GH80" s="2">
        <v>1</v>
      </c>
      <c r="GI80" s="2">
        <v>2</v>
      </c>
      <c r="GJ80" s="2">
        <v>0</v>
      </c>
      <c r="GK80" s="2">
        <v>0</v>
      </c>
      <c r="GL80" s="2">
        <f t="shared" si="81"/>
        <v>0</v>
      </c>
      <c r="GM80" s="2">
        <f t="shared" si="82"/>
        <v>4046.71</v>
      </c>
      <c r="GN80" s="2">
        <f t="shared" si="83"/>
        <v>4046.71</v>
      </c>
      <c r="GO80" s="2">
        <f t="shared" si="84"/>
        <v>0</v>
      </c>
      <c r="GP80" s="2">
        <f t="shared" si="85"/>
        <v>0</v>
      </c>
      <c r="GR80" s="2">
        <v>0</v>
      </c>
      <c r="GS80" s="2">
        <v>3</v>
      </c>
      <c r="GT80" s="2">
        <v>0</v>
      </c>
      <c r="GU80" s="2" t="s">
        <v>3</v>
      </c>
      <c r="GV80" s="2">
        <f t="shared" si="86"/>
        <v>0</v>
      </c>
      <c r="GW80" s="2">
        <v>1</v>
      </c>
      <c r="GX80" s="2">
        <f t="shared" si="87"/>
        <v>0</v>
      </c>
      <c r="HA80" s="2">
        <v>0</v>
      </c>
      <c r="HB80" s="2">
        <v>0</v>
      </c>
      <c r="HC80" s="2">
        <f t="shared" si="88"/>
        <v>0</v>
      </c>
      <c r="HE80" s="2" t="s">
        <v>3</v>
      </c>
      <c r="HF80" s="2" t="s">
        <v>3</v>
      </c>
      <c r="HM80" s="2" t="s">
        <v>3</v>
      </c>
      <c r="HN80" s="2" t="s">
        <v>3</v>
      </c>
      <c r="HO80" s="2" t="s">
        <v>3</v>
      </c>
      <c r="HP80" s="2" t="s">
        <v>3</v>
      </c>
      <c r="HQ80" s="2" t="s">
        <v>3</v>
      </c>
      <c r="HS80" s="2">
        <v>0</v>
      </c>
      <c r="IK80" s="2">
        <v>0</v>
      </c>
    </row>
    <row r="81" spans="1:245" x14ac:dyDescent="0.2">
      <c r="A81" s="2">
        <v>17</v>
      </c>
      <c r="B81" s="2">
        <v>1</v>
      </c>
      <c r="C81" s="2">
        <f>ROW(SmtRes!A55)</f>
        <v>55</v>
      </c>
      <c r="D81" s="2">
        <f>ROW(EtalonRes!A55)</f>
        <v>55</v>
      </c>
      <c r="E81" s="2" t="s">
        <v>3</v>
      </c>
      <c r="F81" s="2" t="s">
        <v>153</v>
      </c>
      <c r="G81" s="2" t="s">
        <v>154</v>
      </c>
      <c r="H81" s="2" t="s">
        <v>155</v>
      </c>
      <c r="I81" s="2">
        <f>ROUND(16.82/100,9)</f>
        <v>0.16819999999999999</v>
      </c>
      <c r="J81" s="2">
        <v>0</v>
      </c>
      <c r="K81" s="2">
        <f>ROUND(16.82/100,9)</f>
        <v>0.16819999999999999</v>
      </c>
      <c r="O81" s="2">
        <f t="shared" si="62"/>
        <v>4496.6400000000003</v>
      </c>
      <c r="P81" s="2">
        <f t="shared" si="63"/>
        <v>13.01</v>
      </c>
      <c r="Q81" s="2">
        <f>(ROUND((ROUND((((ET81*1.15))*AV81*I81),2)*BB81),2)+ROUND((ROUND(((AE81-((EU81*1.15)))*AV81*I81),2)*BS81),2))</f>
        <v>163.80000000000001</v>
      </c>
      <c r="R81" s="2">
        <f>(ROUND((ROUND((((EU81*1.15))*AV81*I81),2)*BS81),2)+ROUND((ROUND(((AE81-((EU81*1.15)))*AV81*I81),2)*BS81),2))</f>
        <v>68.459999999999994</v>
      </c>
      <c r="S81" s="2">
        <f t="shared" si="64"/>
        <v>4319.83</v>
      </c>
      <c r="T81" s="2">
        <f t="shared" si="65"/>
        <v>0</v>
      </c>
      <c r="U81" s="2">
        <f t="shared" si="66"/>
        <v>6.3870585999999996</v>
      </c>
      <c r="V81" s="2">
        <f t="shared" si="67"/>
        <v>0</v>
      </c>
      <c r="W81" s="2">
        <f t="shared" si="68"/>
        <v>0</v>
      </c>
      <c r="X81" s="2">
        <f>(ROUND((((S81+ROUND((ROUND((((EU81*1.15))*AV81*I81),2)*BS81),2))*AT81)/100),2)+ROUND(((ROUND((ROUND(((AE81-((EU81*1.15)))*AV81*I81),2)*BS81),2)*AT81)/100),2))</f>
        <v>4432.17</v>
      </c>
      <c r="Y81" s="2">
        <f>(ROUND((((S81+ROUND((ROUND((((EU81*1.15))*AV81*I81),2)*BS81),2))*AU81)/100),2)+ROUND(((ROUND((ROUND(((AE81-((EU81*1.15)))*AV81*I81),2)*BS81),2)*AU81)/100),2))</f>
        <v>2413.56</v>
      </c>
      <c r="AA81" s="2">
        <v>-1</v>
      </c>
      <c r="AB81" s="2">
        <f t="shared" si="69"/>
        <v>538.77250000000004</v>
      </c>
      <c r="AC81" s="2">
        <f>ROUND(((ES81*1)),6)</f>
        <v>25.24</v>
      </c>
      <c r="AD81" s="2">
        <f>ROUND(((((ET81*1.15))-((EU81*1.15)))+AE81),6)</f>
        <v>63.341999999999999</v>
      </c>
      <c r="AE81" s="2">
        <f>ROUND(((EU81*1.15)),6)</f>
        <v>7.1070000000000002</v>
      </c>
      <c r="AF81" s="2">
        <f>ROUND(((EV81*1.15)),6)</f>
        <v>450.19049999999999</v>
      </c>
      <c r="AG81" s="2">
        <f t="shared" si="71"/>
        <v>0</v>
      </c>
      <c r="AH81" s="2">
        <f>((EW81*1.15))</f>
        <v>37.972999999999999</v>
      </c>
      <c r="AI81" s="2">
        <f>((EX81*1.15))</f>
        <v>0</v>
      </c>
      <c r="AJ81" s="2">
        <f t="shared" si="73"/>
        <v>0</v>
      </c>
      <c r="AK81" s="2">
        <v>471.79</v>
      </c>
      <c r="AL81" s="2">
        <v>25.24</v>
      </c>
      <c r="AM81" s="2">
        <v>55.08</v>
      </c>
      <c r="AN81" s="2">
        <v>6.18</v>
      </c>
      <c r="AO81" s="2">
        <v>391.47</v>
      </c>
      <c r="AP81" s="2">
        <v>0</v>
      </c>
      <c r="AQ81" s="2">
        <v>33.020000000000003</v>
      </c>
      <c r="AR81" s="2">
        <v>0</v>
      </c>
      <c r="AS81" s="2">
        <v>0</v>
      </c>
      <c r="AT81" s="2">
        <v>101</v>
      </c>
      <c r="AU81" s="2">
        <v>55</v>
      </c>
      <c r="AV81" s="2">
        <v>1</v>
      </c>
      <c r="AW81" s="2">
        <v>1</v>
      </c>
      <c r="AZ81" s="2">
        <v>1</v>
      </c>
      <c r="BA81" s="2">
        <v>57.05</v>
      </c>
      <c r="BB81" s="2">
        <v>15.38</v>
      </c>
      <c r="BC81" s="2">
        <v>3.06</v>
      </c>
      <c r="BD81" s="2" t="s">
        <v>3</v>
      </c>
      <c r="BE81" s="2" t="s">
        <v>3</v>
      </c>
      <c r="BF81" s="2" t="s">
        <v>3</v>
      </c>
      <c r="BG81" s="2" t="s">
        <v>3</v>
      </c>
      <c r="BH81" s="2">
        <v>0</v>
      </c>
      <c r="BI81" s="2">
        <v>1</v>
      </c>
      <c r="BJ81" s="2" t="s">
        <v>156</v>
      </c>
      <c r="BM81" s="2">
        <v>15</v>
      </c>
      <c r="BN81" s="2">
        <v>0</v>
      </c>
      <c r="BO81" s="2" t="s">
        <v>153</v>
      </c>
      <c r="BP81" s="2">
        <v>1</v>
      </c>
      <c r="BQ81" s="2">
        <v>30</v>
      </c>
      <c r="BR81" s="2">
        <v>0</v>
      </c>
      <c r="BS81" s="2">
        <v>57.05</v>
      </c>
      <c r="BT81" s="2">
        <v>1</v>
      </c>
      <c r="BU81" s="2">
        <v>1</v>
      </c>
      <c r="BV81" s="2">
        <v>1</v>
      </c>
      <c r="BW81" s="2">
        <v>1</v>
      </c>
      <c r="BX81" s="2">
        <v>1</v>
      </c>
      <c r="BY81" s="2" t="s">
        <v>3</v>
      </c>
      <c r="BZ81" s="2">
        <v>101</v>
      </c>
      <c r="CA81" s="2">
        <v>55</v>
      </c>
      <c r="CB81" s="2" t="s">
        <v>3</v>
      </c>
      <c r="CE81" s="2">
        <v>1566</v>
      </c>
      <c r="CF81" s="2">
        <v>0</v>
      </c>
      <c r="CG81" s="2">
        <v>0</v>
      </c>
      <c r="CM81" s="2">
        <v>0</v>
      </c>
      <c r="CN81" s="2" t="s">
        <v>518</v>
      </c>
      <c r="CO81" s="2">
        <v>0</v>
      </c>
      <c r="CP81" s="2">
        <f t="shared" si="74"/>
        <v>4496.6400000000003</v>
      </c>
      <c r="CQ81" s="2">
        <f t="shared" si="75"/>
        <v>77.23</v>
      </c>
      <c r="CR81" s="2">
        <f>(ROUND((ROUND((((ET81*1.15))*AV81*1),2)*BB81),2)+ROUND((ROUND(((AE81-((EU81*1.15)))*AV81*1),2)*BS81),2))</f>
        <v>974.17</v>
      </c>
      <c r="CS81" s="2">
        <f>(ROUND((ROUND((((EU81*1.15))*AV81*1),2)*BS81),2)+ROUND((ROUND(((AE81-((EU81*1.15)))*AV81*1),2)*BS81),2))</f>
        <v>405.63</v>
      </c>
      <c r="CT81" s="2">
        <f t="shared" si="76"/>
        <v>25683.34</v>
      </c>
      <c r="CU81" s="2">
        <f t="shared" si="77"/>
        <v>0</v>
      </c>
      <c r="CV81" s="2">
        <f t="shared" si="78"/>
        <v>37.972999999999999</v>
      </c>
      <c r="CW81" s="2">
        <f t="shared" si="79"/>
        <v>0</v>
      </c>
      <c r="CX81" s="2">
        <f t="shared" si="80"/>
        <v>0</v>
      </c>
      <c r="CY81" s="2">
        <f>(ROUND((((S81+ROUND((ROUND((((EU81*1.15))*AV81*1),2)*BS81),2))*AT81)/100),2)+ROUND(((ROUND((ROUND(((AE81-((EU81*1.15)))*AV81*1),2)*BS81),2)*AT81)/100),2))</f>
        <v>4772.71</v>
      </c>
      <c r="CZ81" s="2">
        <f>(ROUND((((S81+ROUND((ROUND((((EU81*1.15))*AV81*1),2)*BS81),2))*AU81)/100),2)+ROUND(((ROUND((ROUND(((AE81-((EU81*1.15)))*AV81*1),2)*BS81),2)*AU81)/100),2))</f>
        <v>2599</v>
      </c>
      <c r="DB81" s="2">
        <v>2</v>
      </c>
      <c r="DC81" s="2" t="s">
        <v>3</v>
      </c>
      <c r="DD81" s="2" t="s">
        <v>24</v>
      </c>
      <c r="DE81" s="2" t="s">
        <v>48</v>
      </c>
      <c r="DF81" s="2" t="s">
        <v>48</v>
      </c>
      <c r="DG81" s="2" t="s">
        <v>48</v>
      </c>
      <c r="DH81" s="2" t="s">
        <v>3</v>
      </c>
      <c r="DI81" s="2" t="s">
        <v>48</v>
      </c>
      <c r="DJ81" s="2" t="s">
        <v>48</v>
      </c>
      <c r="DK81" s="2" t="s">
        <v>3</v>
      </c>
      <c r="DL81" s="2" t="s">
        <v>3</v>
      </c>
      <c r="DM81" s="2" t="s">
        <v>3</v>
      </c>
      <c r="DN81" s="2">
        <v>0</v>
      </c>
      <c r="DO81" s="2">
        <v>0</v>
      </c>
      <c r="DP81" s="2">
        <v>1</v>
      </c>
      <c r="DQ81" s="2">
        <v>1</v>
      </c>
      <c r="DU81" s="2">
        <v>1013</v>
      </c>
      <c r="DV81" s="2" t="s">
        <v>155</v>
      </c>
      <c r="DW81" s="2" t="s">
        <v>155</v>
      </c>
      <c r="DX81" s="2">
        <v>1</v>
      </c>
      <c r="DZ81" s="2" t="s">
        <v>3</v>
      </c>
      <c r="EA81" s="2" t="s">
        <v>3</v>
      </c>
      <c r="EB81" s="2" t="s">
        <v>3</v>
      </c>
      <c r="EC81" s="2" t="s">
        <v>3</v>
      </c>
      <c r="EE81" s="2">
        <v>55896063</v>
      </c>
      <c r="EF81" s="2">
        <v>30</v>
      </c>
      <c r="EG81" s="2" t="s">
        <v>49</v>
      </c>
      <c r="EH81" s="2">
        <v>0</v>
      </c>
      <c r="EI81" s="2" t="s">
        <v>3</v>
      </c>
      <c r="EJ81" s="2">
        <v>1</v>
      </c>
      <c r="EK81" s="2">
        <v>15</v>
      </c>
      <c r="EL81" s="2" t="s">
        <v>137</v>
      </c>
      <c r="EM81" s="2" t="s">
        <v>138</v>
      </c>
      <c r="EO81" s="2" t="s">
        <v>28</v>
      </c>
      <c r="EQ81" s="2">
        <v>1024</v>
      </c>
      <c r="ER81" s="2">
        <v>471.79</v>
      </c>
      <c r="ES81" s="2">
        <v>25.24</v>
      </c>
      <c r="ET81" s="2">
        <v>55.08</v>
      </c>
      <c r="EU81" s="2">
        <v>6.18</v>
      </c>
      <c r="EV81" s="2">
        <v>391.47</v>
      </c>
      <c r="EW81" s="2">
        <v>33.020000000000003</v>
      </c>
      <c r="EX81" s="2">
        <v>0</v>
      </c>
      <c r="EY81" s="2">
        <v>0</v>
      </c>
      <c r="FQ81" s="2">
        <v>0</v>
      </c>
      <c r="FR81" s="2">
        <v>0</v>
      </c>
      <c r="FS81" s="2">
        <v>0</v>
      </c>
      <c r="FX81" s="2">
        <v>101</v>
      </c>
      <c r="FY81" s="2">
        <v>55</v>
      </c>
      <c r="GA81" s="2" t="s">
        <v>3</v>
      </c>
      <c r="GD81" s="2">
        <v>1</v>
      </c>
      <c r="GF81" s="2">
        <v>1350371874</v>
      </c>
      <c r="GG81" s="2">
        <v>2</v>
      </c>
      <c r="GH81" s="2">
        <v>1</v>
      </c>
      <c r="GI81" s="2">
        <v>2</v>
      </c>
      <c r="GJ81" s="2">
        <v>0</v>
      </c>
      <c r="GK81" s="2">
        <v>0</v>
      </c>
      <c r="GL81" s="2">
        <f t="shared" si="81"/>
        <v>0</v>
      </c>
      <c r="GM81" s="2">
        <f t="shared" si="82"/>
        <v>11342.37</v>
      </c>
      <c r="GN81" s="2">
        <f t="shared" si="83"/>
        <v>11342.37</v>
      </c>
      <c r="GO81" s="2">
        <f t="shared" si="84"/>
        <v>0</v>
      </c>
      <c r="GP81" s="2">
        <f t="shared" si="85"/>
        <v>0</v>
      </c>
      <c r="GR81" s="2">
        <v>0</v>
      </c>
      <c r="GS81" s="2">
        <v>3</v>
      </c>
      <c r="GT81" s="2">
        <v>0</v>
      </c>
      <c r="GU81" s="2" t="s">
        <v>3</v>
      </c>
      <c r="GV81" s="2">
        <f t="shared" si="86"/>
        <v>0</v>
      </c>
      <c r="GW81" s="2">
        <v>1</v>
      </c>
      <c r="GX81" s="2">
        <f t="shared" si="87"/>
        <v>0</v>
      </c>
      <c r="HA81" s="2">
        <v>0</v>
      </c>
      <c r="HB81" s="2">
        <v>0</v>
      </c>
      <c r="HC81" s="2">
        <f t="shared" si="88"/>
        <v>0</v>
      </c>
      <c r="HE81" s="2" t="s">
        <v>3</v>
      </c>
      <c r="HF81" s="2" t="s">
        <v>3</v>
      </c>
      <c r="HM81" s="2" t="s">
        <v>3</v>
      </c>
      <c r="HN81" s="2" t="s">
        <v>3</v>
      </c>
      <c r="HO81" s="2" t="s">
        <v>3</v>
      </c>
      <c r="HP81" s="2" t="s">
        <v>3</v>
      </c>
      <c r="HQ81" s="2" t="s">
        <v>3</v>
      </c>
      <c r="HS81" s="2">
        <v>0</v>
      </c>
      <c r="IK81" s="2">
        <v>0</v>
      </c>
    </row>
    <row r="82" spans="1:245" x14ac:dyDescent="0.2">
      <c r="A82" s="2">
        <v>18</v>
      </c>
      <c r="B82" s="2">
        <v>1</v>
      </c>
      <c r="C82" s="2">
        <v>55</v>
      </c>
      <c r="E82" s="2" t="s">
        <v>3</v>
      </c>
      <c r="F82" s="2" t="s">
        <v>39</v>
      </c>
      <c r="G82" s="2" t="s">
        <v>157</v>
      </c>
      <c r="H82" s="2" t="s">
        <v>158</v>
      </c>
      <c r="I82" s="2">
        <f>I81*J82</f>
        <v>7.0000000000000009</v>
      </c>
      <c r="J82" s="2">
        <v>41.617122473246141</v>
      </c>
      <c r="K82" s="2">
        <v>41.617122000000002</v>
      </c>
      <c r="O82" s="2">
        <f t="shared" si="62"/>
        <v>8174.04</v>
      </c>
      <c r="P82" s="2">
        <f t="shared" si="63"/>
        <v>8174.04</v>
      </c>
      <c r="Q82" s="2">
        <f>(ROUND((ROUND(((ET82)*AV82*I82),2)*BB82),2)+ROUND((ROUND(((AE82-(EU82))*AV82*I82),2)*BS82),2))</f>
        <v>0</v>
      </c>
      <c r="R82" s="2">
        <f>(ROUND((ROUND(((EU82)*AV82*I82),2)*BS82),2)+ROUND((ROUND(((AE82-(EU82))*AV82*I82),2)*BS82),2))</f>
        <v>0</v>
      </c>
      <c r="S82" s="2">
        <f t="shared" si="64"/>
        <v>0</v>
      </c>
      <c r="T82" s="2">
        <f t="shared" si="65"/>
        <v>0</v>
      </c>
      <c r="U82" s="2">
        <f t="shared" si="66"/>
        <v>0</v>
      </c>
      <c r="V82" s="2">
        <f t="shared" si="67"/>
        <v>0</v>
      </c>
      <c r="W82" s="2">
        <f t="shared" si="68"/>
        <v>0</v>
      </c>
      <c r="X82" s="2">
        <f>(ROUND((((S82+ROUND((ROUND(((EU82)*AV82*I82),2)*BS82),2))*AT82)/100),2)+ROUND(((ROUND((ROUND(((AE82-(EU82))*AV82*I82),2)*BS82),2)*AT82)/100),2))</f>
        <v>0</v>
      </c>
      <c r="Y82" s="2">
        <f>(ROUND((((S82+ROUND((ROUND(((EU82)*AV82*I82),2)*BS82),2))*AU82)/100),2)+ROUND(((ROUND((ROUND(((AE82-(EU82))*AV82*I82),2)*BS82),2)*AU82)/100),2))</f>
        <v>0</v>
      </c>
      <c r="AA82" s="2">
        <v>-1</v>
      </c>
      <c r="AB82" s="2">
        <f t="shared" si="69"/>
        <v>1167.72</v>
      </c>
      <c r="AC82" s="2">
        <f>ROUND((ES82),6)</f>
        <v>1167.72</v>
      </c>
      <c r="AD82" s="2">
        <f>ROUND((((ET82)-(EU82))+AE82),6)</f>
        <v>0</v>
      </c>
      <c r="AE82" s="2">
        <f>ROUND((EU82),6)</f>
        <v>0</v>
      </c>
      <c r="AF82" s="2">
        <f>ROUND((EV82),6)</f>
        <v>0</v>
      </c>
      <c r="AG82" s="2">
        <f t="shared" si="71"/>
        <v>0</v>
      </c>
      <c r="AH82" s="2">
        <f>(EW82)</f>
        <v>0</v>
      </c>
      <c r="AI82" s="2">
        <f>(EX82)</f>
        <v>0</v>
      </c>
      <c r="AJ82" s="2">
        <f t="shared" si="73"/>
        <v>0</v>
      </c>
      <c r="AK82" s="2">
        <v>1167.72</v>
      </c>
      <c r="AL82" s="2">
        <v>1167.72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101</v>
      </c>
      <c r="AU82" s="2">
        <v>55</v>
      </c>
      <c r="AV82" s="2">
        <v>1</v>
      </c>
      <c r="AW82" s="2">
        <v>1</v>
      </c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3</v>
      </c>
      <c r="BI82" s="2">
        <v>1</v>
      </c>
      <c r="BJ82" s="2" t="s">
        <v>3</v>
      </c>
      <c r="BM82" s="2">
        <v>15</v>
      </c>
      <c r="BN82" s="2">
        <v>0</v>
      </c>
      <c r="BO82" s="2" t="s">
        <v>3</v>
      </c>
      <c r="BP82" s="2">
        <v>0</v>
      </c>
      <c r="BQ82" s="2">
        <v>30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101</v>
      </c>
      <c r="CA82" s="2">
        <v>55</v>
      </c>
      <c r="CB82" s="2" t="s">
        <v>3</v>
      </c>
      <c r="CE82" s="2">
        <v>1566</v>
      </c>
      <c r="CF82" s="2">
        <v>0</v>
      </c>
      <c r="CG82" s="2">
        <v>0</v>
      </c>
      <c r="CM82" s="2">
        <v>0</v>
      </c>
      <c r="CN82" s="2" t="s">
        <v>520</v>
      </c>
      <c r="CO82" s="2">
        <v>0</v>
      </c>
      <c r="CP82" s="2">
        <f t="shared" si="74"/>
        <v>8174.04</v>
      </c>
      <c r="CQ82" s="2">
        <f t="shared" si="75"/>
        <v>1167.72</v>
      </c>
      <c r="CR82" s="2">
        <f>(ROUND((ROUND(((ET82)*AV82*1),2)*BB82),2)+ROUND((ROUND(((AE82-(EU82))*AV82*1),2)*BS82),2))</f>
        <v>0</v>
      </c>
      <c r="CS82" s="2">
        <f>(ROUND((ROUND(((EU82)*AV82*1),2)*BS82),2)+ROUND((ROUND(((AE82-(EU82))*AV82*1),2)*BS82),2))</f>
        <v>0</v>
      </c>
      <c r="CT82" s="2">
        <f t="shared" si="76"/>
        <v>0</v>
      </c>
      <c r="CU82" s="2">
        <f t="shared" si="77"/>
        <v>0</v>
      </c>
      <c r="CV82" s="2">
        <f t="shared" si="78"/>
        <v>0</v>
      </c>
      <c r="CW82" s="2">
        <f t="shared" si="79"/>
        <v>0</v>
      </c>
      <c r="CX82" s="2">
        <f t="shared" si="80"/>
        <v>0</v>
      </c>
      <c r="CY82" s="2">
        <f>(ROUND((((S82+ROUND((ROUND(((EU82)*AV82*1),2)*BS82),2))*AT82)/100),2)+ROUND(((ROUND((ROUND(((AE82-(EU82))*AV82*1),2)*BS82),2)*AT82)/100),2))</f>
        <v>0</v>
      </c>
      <c r="CZ82" s="2">
        <f>(ROUND((((S82+ROUND((ROUND(((EU82)*AV82*1),2)*BS82),2))*AU82)/100),2)+ROUND(((ROUND((ROUND(((AE82-(EU82))*AV82*1),2)*BS82),2)*AU82)/100),2))</f>
        <v>0</v>
      </c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0</v>
      </c>
      <c r="DO82" s="2">
        <v>0</v>
      </c>
      <c r="DP82" s="2">
        <v>1</v>
      </c>
      <c r="DQ82" s="2">
        <v>1</v>
      </c>
      <c r="DU82" s="2">
        <v>1013</v>
      </c>
      <c r="DV82" s="2" t="s">
        <v>158</v>
      </c>
      <c r="DW82" s="2" t="s">
        <v>158</v>
      </c>
      <c r="DX82" s="2">
        <v>1</v>
      </c>
      <c r="DZ82" s="2" t="s">
        <v>3</v>
      </c>
      <c r="EA82" s="2" t="s">
        <v>3</v>
      </c>
      <c r="EB82" s="2" t="s">
        <v>3</v>
      </c>
      <c r="EC82" s="2" t="s">
        <v>3</v>
      </c>
      <c r="EE82" s="2">
        <v>55896063</v>
      </c>
      <c r="EF82" s="2">
        <v>30</v>
      </c>
      <c r="EG82" s="2" t="s">
        <v>49</v>
      </c>
      <c r="EH82" s="2">
        <v>0</v>
      </c>
      <c r="EI82" s="2" t="s">
        <v>3</v>
      </c>
      <c r="EJ82" s="2">
        <v>1</v>
      </c>
      <c r="EK82" s="2">
        <v>15</v>
      </c>
      <c r="EL82" s="2" t="s">
        <v>137</v>
      </c>
      <c r="EM82" s="2" t="s">
        <v>138</v>
      </c>
      <c r="EO82" s="2" t="s">
        <v>28</v>
      </c>
      <c r="EQ82" s="2">
        <v>1024</v>
      </c>
      <c r="ER82" s="2">
        <v>1167.72</v>
      </c>
      <c r="ES82" s="2">
        <v>1167.72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Z82" s="2">
        <v>5</v>
      </c>
      <c r="FC82" s="2">
        <v>1</v>
      </c>
      <c r="FD82" s="2">
        <v>18</v>
      </c>
      <c r="FF82" s="2">
        <v>1356</v>
      </c>
      <c r="FQ82" s="2">
        <v>0</v>
      </c>
      <c r="FR82" s="2">
        <v>0</v>
      </c>
      <c r="FS82" s="2">
        <v>0</v>
      </c>
      <c r="FX82" s="2">
        <v>101</v>
      </c>
      <c r="FY82" s="2">
        <v>55</v>
      </c>
      <c r="GA82" s="2" t="s">
        <v>159</v>
      </c>
      <c r="GD82" s="2">
        <v>1</v>
      </c>
      <c r="GF82" s="2">
        <v>-1993809694</v>
      </c>
      <c r="GG82" s="2">
        <v>2</v>
      </c>
      <c r="GH82" s="2">
        <v>3</v>
      </c>
      <c r="GI82" s="2">
        <v>-2</v>
      </c>
      <c r="GJ82" s="2">
        <v>0</v>
      </c>
      <c r="GK82" s="2">
        <v>0</v>
      </c>
      <c r="GL82" s="2">
        <f t="shared" si="81"/>
        <v>0</v>
      </c>
      <c r="GM82" s="2">
        <f t="shared" si="82"/>
        <v>8174.04</v>
      </c>
      <c r="GN82" s="2">
        <f t="shared" si="83"/>
        <v>8174.04</v>
      </c>
      <c r="GO82" s="2">
        <f t="shared" si="84"/>
        <v>0</v>
      </c>
      <c r="GP82" s="2">
        <f t="shared" si="85"/>
        <v>0</v>
      </c>
      <c r="GR82" s="2">
        <v>1</v>
      </c>
      <c r="GS82" s="2">
        <v>1</v>
      </c>
      <c r="GT82" s="2">
        <v>0</v>
      </c>
      <c r="GU82" s="2" t="s">
        <v>3</v>
      </c>
      <c r="GV82" s="2">
        <f t="shared" si="86"/>
        <v>0</v>
      </c>
      <c r="GW82" s="2">
        <v>1</v>
      </c>
      <c r="GX82" s="2">
        <f t="shared" si="87"/>
        <v>0</v>
      </c>
      <c r="HA82" s="2">
        <v>0</v>
      </c>
      <c r="HB82" s="2">
        <v>0</v>
      </c>
      <c r="HC82" s="2">
        <f t="shared" si="88"/>
        <v>0</v>
      </c>
      <c r="HE82" s="2" t="s">
        <v>34</v>
      </c>
      <c r="HF82" s="2" t="s">
        <v>29</v>
      </c>
      <c r="HM82" s="2" t="s">
        <v>24</v>
      </c>
      <c r="HN82" s="2" t="s">
        <v>3</v>
      </c>
      <c r="HO82" s="2" t="s">
        <v>3</v>
      </c>
      <c r="HP82" s="2" t="s">
        <v>3</v>
      </c>
      <c r="HQ82" s="2" t="s">
        <v>3</v>
      </c>
      <c r="HS82" s="2">
        <v>0</v>
      </c>
      <c r="IK82" s="2">
        <v>0</v>
      </c>
    </row>
    <row r="83" spans="1:245" x14ac:dyDescent="0.2">
      <c r="A83" s="2">
        <v>18</v>
      </c>
      <c r="B83" s="2">
        <v>1</v>
      </c>
      <c r="C83" s="2">
        <v>54</v>
      </c>
      <c r="E83" s="2" t="s">
        <v>3</v>
      </c>
      <c r="F83" s="2" t="s">
        <v>160</v>
      </c>
      <c r="G83" s="2" t="s">
        <v>161</v>
      </c>
      <c r="H83" s="2" t="s">
        <v>146</v>
      </c>
      <c r="I83" s="2">
        <f>I81*J83</f>
        <v>4</v>
      </c>
      <c r="J83" s="2">
        <v>23.781212841854938</v>
      </c>
      <c r="K83" s="2">
        <v>23.781213000000001</v>
      </c>
      <c r="O83" s="2">
        <f t="shared" si="62"/>
        <v>456.72</v>
      </c>
      <c r="P83" s="2">
        <f t="shared" si="63"/>
        <v>456.72</v>
      </c>
      <c r="Q83" s="2">
        <f>(ROUND((ROUND(((ET83)*AV83*I83),2)*BB83),2)+ROUND((ROUND(((AE83-(EU83))*AV83*I83),2)*BS83),2))</f>
        <v>0</v>
      </c>
      <c r="R83" s="2">
        <f>(ROUND((ROUND(((EU83)*AV83*I83),2)*BS83),2)+ROUND((ROUND(((AE83-(EU83))*AV83*I83),2)*BS83),2))</f>
        <v>0</v>
      </c>
      <c r="S83" s="2">
        <f t="shared" si="64"/>
        <v>0</v>
      </c>
      <c r="T83" s="2">
        <f t="shared" si="65"/>
        <v>0</v>
      </c>
      <c r="U83" s="2">
        <f t="shared" si="66"/>
        <v>0</v>
      </c>
      <c r="V83" s="2">
        <f t="shared" si="67"/>
        <v>0</v>
      </c>
      <c r="W83" s="2">
        <f t="shared" si="68"/>
        <v>0</v>
      </c>
      <c r="X83" s="2">
        <f>(ROUND((((S83+ROUND((ROUND(((EU83)*AV83*I83),2)*BS83),2))*AT83)/100),2)+ROUND(((ROUND((ROUND(((AE83-(EU83))*AV83*I83),2)*BS83),2)*AT83)/100),2))</f>
        <v>0</v>
      </c>
      <c r="Y83" s="2">
        <f>(ROUND((((S83+ROUND((ROUND(((EU83)*AV83*I83),2)*BS83),2))*AU83)/100),2)+ROUND(((ROUND((ROUND(((AE83-(EU83))*AV83*I83),2)*BS83),2)*AU83)/100),2))</f>
        <v>0</v>
      </c>
      <c r="AA83" s="2">
        <v>-1</v>
      </c>
      <c r="AB83" s="2">
        <f t="shared" si="69"/>
        <v>17.3</v>
      </c>
      <c r="AC83" s="2">
        <f>ROUND((ES83),6)</f>
        <v>17.3</v>
      </c>
      <c r="AD83" s="2">
        <f>ROUND((((ET83)-(EU83))+AE83),6)</f>
        <v>0</v>
      </c>
      <c r="AE83" s="2">
        <f>ROUND((EU83),6)</f>
        <v>0</v>
      </c>
      <c r="AF83" s="2">
        <f>ROUND((EV83),6)</f>
        <v>0</v>
      </c>
      <c r="AG83" s="2">
        <f t="shared" si="71"/>
        <v>0</v>
      </c>
      <c r="AH83" s="2">
        <f>(EW83)</f>
        <v>0</v>
      </c>
      <c r="AI83" s="2">
        <f>(EX83)</f>
        <v>0</v>
      </c>
      <c r="AJ83" s="2">
        <f t="shared" si="73"/>
        <v>0</v>
      </c>
      <c r="AK83" s="2">
        <v>17.3</v>
      </c>
      <c r="AL83" s="2">
        <v>17.3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101</v>
      </c>
      <c r="AU83" s="2">
        <v>55</v>
      </c>
      <c r="AV83" s="2">
        <v>1</v>
      </c>
      <c r="AW83" s="2">
        <v>1</v>
      </c>
      <c r="AZ83" s="2">
        <v>1</v>
      </c>
      <c r="BA83" s="2">
        <v>1</v>
      </c>
      <c r="BB83" s="2">
        <v>1</v>
      </c>
      <c r="BC83" s="2">
        <v>6.6</v>
      </c>
      <c r="BD83" s="2" t="s">
        <v>3</v>
      </c>
      <c r="BE83" s="2" t="s">
        <v>3</v>
      </c>
      <c r="BF83" s="2" t="s">
        <v>3</v>
      </c>
      <c r="BG83" s="2" t="s">
        <v>3</v>
      </c>
      <c r="BH83" s="2">
        <v>3</v>
      </c>
      <c r="BI83" s="2">
        <v>1</v>
      </c>
      <c r="BJ83" s="2" t="s">
        <v>162</v>
      </c>
      <c r="BM83" s="2">
        <v>15</v>
      </c>
      <c r="BN83" s="2">
        <v>0</v>
      </c>
      <c r="BO83" s="2" t="s">
        <v>160</v>
      </c>
      <c r="BP83" s="2">
        <v>1</v>
      </c>
      <c r="BQ83" s="2">
        <v>30</v>
      </c>
      <c r="BR83" s="2">
        <v>0</v>
      </c>
      <c r="BS83" s="2">
        <v>1</v>
      </c>
      <c r="BT83" s="2">
        <v>1</v>
      </c>
      <c r="BU83" s="2">
        <v>1</v>
      </c>
      <c r="BV83" s="2">
        <v>1</v>
      </c>
      <c r="BW83" s="2">
        <v>1</v>
      </c>
      <c r="BX83" s="2">
        <v>1</v>
      </c>
      <c r="BY83" s="2" t="s">
        <v>3</v>
      </c>
      <c r="BZ83" s="2">
        <v>101</v>
      </c>
      <c r="CA83" s="2">
        <v>55</v>
      </c>
      <c r="CB83" s="2" t="s">
        <v>3</v>
      </c>
      <c r="CE83" s="2">
        <v>1566</v>
      </c>
      <c r="CF83" s="2">
        <v>0</v>
      </c>
      <c r="CG83" s="2">
        <v>0</v>
      </c>
      <c r="CM83" s="2">
        <v>0</v>
      </c>
      <c r="CN83" s="2" t="s">
        <v>520</v>
      </c>
      <c r="CO83" s="2">
        <v>0</v>
      </c>
      <c r="CP83" s="2">
        <f t="shared" si="74"/>
        <v>456.72</v>
      </c>
      <c r="CQ83" s="2">
        <f t="shared" si="75"/>
        <v>114.18</v>
      </c>
      <c r="CR83" s="2">
        <f>(ROUND((ROUND(((ET83)*AV83*1),2)*BB83),2)+ROUND((ROUND(((AE83-(EU83))*AV83*1),2)*BS83),2))</f>
        <v>0</v>
      </c>
      <c r="CS83" s="2">
        <f>(ROUND((ROUND(((EU83)*AV83*1),2)*BS83),2)+ROUND((ROUND(((AE83-(EU83))*AV83*1),2)*BS83),2))</f>
        <v>0</v>
      </c>
      <c r="CT83" s="2">
        <f t="shared" si="76"/>
        <v>0</v>
      </c>
      <c r="CU83" s="2">
        <f t="shared" si="77"/>
        <v>0</v>
      </c>
      <c r="CV83" s="2">
        <f t="shared" si="78"/>
        <v>0</v>
      </c>
      <c r="CW83" s="2">
        <f t="shared" si="79"/>
        <v>0</v>
      </c>
      <c r="CX83" s="2">
        <f t="shared" si="80"/>
        <v>0</v>
      </c>
      <c r="CY83" s="2">
        <f>(ROUND((((S83+ROUND((ROUND(((EU83)*AV83*1),2)*BS83),2))*AT83)/100),2)+ROUND(((ROUND((ROUND(((AE83-(EU83))*AV83*1),2)*BS83),2)*AT83)/100),2))</f>
        <v>0</v>
      </c>
      <c r="CZ83" s="2">
        <f>(ROUND((((S83+ROUND((ROUND(((EU83)*AV83*1),2)*BS83),2))*AU83)/100),2)+ROUND(((ROUND((ROUND(((AE83-(EU83))*AV83*1),2)*BS83),2)*AU83)/100),2))</f>
        <v>0</v>
      </c>
      <c r="DC83" s="2" t="s">
        <v>3</v>
      </c>
      <c r="DD83" s="2" t="s">
        <v>3</v>
      </c>
      <c r="DE83" s="2" t="s">
        <v>3</v>
      </c>
      <c r="DF83" s="2" t="s">
        <v>3</v>
      </c>
      <c r="DG83" s="2" t="s">
        <v>3</v>
      </c>
      <c r="DH83" s="2" t="s">
        <v>3</v>
      </c>
      <c r="DI83" s="2" t="s">
        <v>3</v>
      </c>
      <c r="DJ83" s="2" t="s">
        <v>3</v>
      </c>
      <c r="DK83" s="2" t="s">
        <v>3</v>
      </c>
      <c r="DL83" s="2" t="s">
        <v>3</v>
      </c>
      <c r="DM83" s="2" t="s">
        <v>3</v>
      </c>
      <c r="DN83" s="2">
        <v>0</v>
      </c>
      <c r="DO83" s="2">
        <v>0</v>
      </c>
      <c r="DP83" s="2">
        <v>1</v>
      </c>
      <c r="DQ83" s="2">
        <v>1</v>
      </c>
      <c r="DU83" s="2">
        <v>1009</v>
      </c>
      <c r="DV83" s="2" t="s">
        <v>146</v>
      </c>
      <c r="DW83" s="2" t="s">
        <v>146</v>
      </c>
      <c r="DX83" s="2">
        <v>1</v>
      </c>
      <c r="DZ83" s="2" t="s">
        <v>3</v>
      </c>
      <c r="EA83" s="2" t="s">
        <v>3</v>
      </c>
      <c r="EB83" s="2" t="s">
        <v>3</v>
      </c>
      <c r="EC83" s="2" t="s">
        <v>3</v>
      </c>
      <c r="EE83" s="2">
        <v>55896063</v>
      </c>
      <c r="EF83" s="2">
        <v>30</v>
      </c>
      <c r="EG83" s="2" t="s">
        <v>49</v>
      </c>
      <c r="EH83" s="2">
        <v>0</v>
      </c>
      <c r="EI83" s="2" t="s">
        <v>3</v>
      </c>
      <c r="EJ83" s="2">
        <v>1</v>
      </c>
      <c r="EK83" s="2">
        <v>15</v>
      </c>
      <c r="EL83" s="2" t="s">
        <v>137</v>
      </c>
      <c r="EM83" s="2" t="s">
        <v>138</v>
      </c>
      <c r="EO83" s="2" t="s">
        <v>28</v>
      </c>
      <c r="EQ83" s="2">
        <v>1024</v>
      </c>
      <c r="ER83" s="2">
        <v>17.3</v>
      </c>
      <c r="ES83" s="2">
        <v>17.3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FQ83" s="2">
        <v>0</v>
      </c>
      <c r="FR83" s="2">
        <v>0</v>
      </c>
      <c r="FS83" s="2">
        <v>0</v>
      </c>
      <c r="FX83" s="2">
        <v>101</v>
      </c>
      <c r="FY83" s="2">
        <v>55</v>
      </c>
      <c r="GA83" s="2" t="s">
        <v>3</v>
      </c>
      <c r="GD83" s="2">
        <v>1</v>
      </c>
      <c r="GF83" s="2">
        <v>1866012392</v>
      </c>
      <c r="GG83" s="2">
        <v>2</v>
      </c>
      <c r="GH83" s="2">
        <v>1</v>
      </c>
      <c r="GI83" s="2">
        <v>2</v>
      </c>
      <c r="GJ83" s="2">
        <v>0</v>
      </c>
      <c r="GK83" s="2">
        <v>0</v>
      </c>
      <c r="GL83" s="2">
        <f t="shared" si="81"/>
        <v>0</v>
      </c>
      <c r="GM83" s="2">
        <f t="shared" si="82"/>
        <v>456.72</v>
      </c>
      <c r="GN83" s="2">
        <f t="shared" si="83"/>
        <v>456.72</v>
      </c>
      <c r="GO83" s="2">
        <f t="shared" si="84"/>
        <v>0</v>
      </c>
      <c r="GP83" s="2">
        <f t="shared" si="85"/>
        <v>0</v>
      </c>
      <c r="GR83" s="2">
        <v>0</v>
      </c>
      <c r="GS83" s="2">
        <v>3</v>
      </c>
      <c r="GT83" s="2">
        <v>0</v>
      </c>
      <c r="GU83" s="2" t="s">
        <v>3</v>
      </c>
      <c r="GV83" s="2">
        <f t="shared" si="86"/>
        <v>0</v>
      </c>
      <c r="GW83" s="2">
        <v>1</v>
      </c>
      <c r="GX83" s="2">
        <f t="shared" si="87"/>
        <v>0</v>
      </c>
      <c r="HA83" s="2">
        <v>0</v>
      </c>
      <c r="HB83" s="2">
        <v>0</v>
      </c>
      <c r="HC83" s="2">
        <f t="shared" si="88"/>
        <v>0</v>
      </c>
      <c r="HE83" s="2" t="s">
        <v>3</v>
      </c>
      <c r="HF83" s="2" t="s">
        <v>3</v>
      </c>
      <c r="HM83" s="2" t="s">
        <v>3</v>
      </c>
      <c r="HN83" s="2" t="s">
        <v>3</v>
      </c>
      <c r="HO83" s="2" t="s">
        <v>3</v>
      </c>
      <c r="HP83" s="2" t="s">
        <v>3</v>
      </c>
      <c r="HQ83" s="2" t="s">
        <v>3</v>
      </c>
      <c r="HS83" s="2">
        <v>0</v>
      </c>
      <c r="IK83" s="2">
        <v>0</v>
      </c>
    </row>
    <row r="84" spans="1:245" x14ac:dyDescent="0.2">
      <c r="A84" s="2">
        <v>17</v>
      </c>
      <c r="B84" s="2">
        <v>1</v>
      </c>
      <c r="C84" s="2">
        <f>ROW(SmtRes!A60)</f>
        <v>60</v>
      </c>
      <c r="D84" s="2">
        <f>ROW(EtalonRes!A60)</f>
        <v>60</v>
      </c>
      <c r="E84" s="2" t="s">
        <v>3</v>
      </c>
      <c r="F84" s="2" t="s">
        <v>163</v>
      </c>
      <c r="G84" s="2" t="s">
        <v>164</v>
      </c>
      <c r="H84" s="2" t="s">
        <v>155</v>
      </c>
      <c r="I84" s="2">
        <f>ROUND(16.82/100,9)</f>
        <v>0.16819999999999999</v>
      </c>
      <c r="J84" s="2">
        <v>0</v>
      </c>
      <c r="K84" s="2">
        <f>ROUND(16.82/100,9)</f>
        <v>0.16819999999999999</v>
      </c>
      <c r="O84" s="2">
        <f t="shared" si="62"/>
        <v>3095</v>
      </c>
      <c r="P84" s="2">
        <f t="shared" si="63"/>
        <v>0.38</v>
      </c>
      <c r="Q84" s="2">
        <f>(ROUND((ROUND((((ET84*6*1.15))*AV84*I84),2)*BB84),2)+ROUND((ROUND(((AE84-((EU84*6*1.15)))*AV84*I84),2)*BS84),2))</f>
        <v>176.51</v>
      </c>
      <c r="R84" s="2">
        <f>(ROUND((ROUND((((EU84*6*1.15))*AV84*I84),2)*BS84),2)+ROUND((ROUND(((AE84-((EU84*6*1.15)))*AV84*I84),2)*BS84),2))</f>
        <v>83.29</v>
      </c>
      <c r="S84" s="2">
        <f t="shared" si="64"/>
        <v>2918.11</v>
      </c>
      <c r="T84" s="2">
        <f t="shared" si="65"/>
        <v>0</v>
      </c>
      <c r="U84" s="2">
        <f t="shared" si="66"/>
        <v>3.9923951999999994</v>
      </c>
      <c r="V84" s="2">
        <f t="shared" si="67"/>
        <v>0</v>
      </c>
      <c r="W84" s="2">
        <f t="shared" si="68"/>
        <v>0</v>
      </c>
      <c r="X84" s="2">
        <f>(ROUND((((S84+ROUND((ROUND((((EU84*6*1.15))*AV84*I84),2)*BS84),2))*AT84)/100),2)+ROUND(((ROUND((ROUND(((AE84-((EU84*6*1.15)))*AV84*I84),2)*BS84),2)*AT84)/100),2))</f>
        <v>3031.41</v>
      </c>
      <c r="Y84" s="2">
        <f>(ROUND((((S84+ROUND((ROUND((((EU84*6*1.15))*AV84*I84),2)*BS84),2))*AU84)/100),2)+ROUND(((ROUND((ROUND(((AE84-((EU84*6*1.15)))*AV84*I84),2)*BS84),2)*AU84)/100),2))</f>
        <v>1650.77</v>
      </c>
      <c r="AA84" s="2">
        <v>-1</v>
      </c>
      <c r="AB84" s="2">
        <f t="shared" si="69"/>
        <v>366.33499999999998</v>
      </c>
      <c r="AC84" s="2">
        <f>ROUND((ES84),6)</f>
        <v>0.28999999999999998</v>
      </c>
      <c r="AD84" s="2">
        <f>ROUND(((((ET84*6*1.15))-((EU84*6*1.15)))+AE84),6)</f>
        <v>61.962000000000003</v>
      </c>
      <c r="AE84" s="2">
        <f>ROUND(((EU84*6*1.15)),6)</f>
        <v>8.6940000000000008</v>
      </c>
      <c r="AF84" s="2">
        <f>ROUND(((EV84*6*1.15)),6)</f>
        <v>304.08300000000003</v>
      </c>
      <c r="AG84" s="2">
        <f t="shared" si="71"/>
        <v>0</v>
      </c>
      <c r="AH84" s="2">
        <f>((EW84*6*1.15))</f>
        <v>23.735999999999997</v>
      </c>
      <c r="AI84" s="2">
        <f>((EX84*6*1.15))</f>
        <v>0</v>
      </c>
      <c r="AJ84" s="2">
        <f t="shared" si="73"/>
        <v>0</v>
      </c>
      <c r="AK84" s="2">
        <v>53.34</v>
      </c>
      <c r="AL84" s="2">
        <v>0.28999999999999998</v>
      </c>
      <c r="AM84" s="2">
        <v>8.98</v>
      </c>
      <c r="AN84" s="2">
        <v>1.26</v>
      </c>
      <c r="AO84" s="2">
        <v>44.07</v>
      </c>
      <c r="AP84" s="2">
        <v>0</v>
      </c>
      <c r="AQ84" s="2">
        <v>3.44</v>
      </c>
      <c r="AR84" s="2">
        <v>0</v>
      </c>
      <c r="AS84" s="2">
        <v>0</v>
      </c>
      <c r="AT84" s="2">
        <v>101</v>
      </c>
      <c r="AU84" s="2">
        <v>55</v>
      </c>
      <c r="AV84" s="2">
        <v>1</v>
      </c>
      <c r="AW84" s="2">
        <v>1</v>
      </c>
      <c r="AZ84" s="2">
        <v>1</v>
      </c>
      <c r="BA84" s="2">
        <v>57.05</v>
      </c>
      <c r="BB84" s="2">
        <v>16.940000000000001</v>
      </c>
      <c r="BC84" s="2">
        <v>7.62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0</v>
      </c>
      <c r="BI84" s="2">
        <v>1</v>
      </c>
      <c r="BJ84" s="2" t="s">
        <v>165</v>
      </c>
      <c r="BM84" s="2">
        <v>15</v>
      </c>
      <c r="BN84" s="2">
        <v>0</v>
      </c>
      <c r="BO84" s="2" t="s">
        <v>163</v>
      </c>
      <c r="BP84" s="2">
        <v>1</v>
      </c>
      <c r="BQ84" s="2">
        <v>30</v>
      </c>
      <c r="BR84" s="2">
        <v>0</v>
      </c>
      <c r="BS84" s="2">
        <v>57.05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101</v>
      </c>
      <c r="CA84" s="2">
        <v>55</v>
      </c>
      <c r="CB84" s="2" t="s">
        <v>3</v>
      </c>
      <c r="CE84" s="2">
        <v>1566</v>
      </c>
      <c r="CF84" s="2">
        <v>0</v>
      </c>
      <c r="CG84" s="2">
        <v>0</v>
      </c>
      <c r="CM84" s="2">
        <v>0</v>
      </c>
      <c r="CN84" s="2" t="s">
        <v>166</v>
      </c>
      <c r="CO84" s="2">
        <v>0</v>
      </c>
      <c r="CP84" s="2">
        <f t="shared" si="74"/>
        <v>3095</v>
      </c>
      <c r="CQ84" s="2">
        <f t="shared" si="75"/>
        <v>2.21</v>
      </c>
      <c r="CR84" s="2">
        <f>(ROUND((ROUND((((ET84*6*1.15))*AV84*1),2)*BB84),2)+ROUND((ROUND(((AE84-((EU84*6*1.15)))*AV84*1),2)*BS84),2))</f>
        <v>1049.5999999999999</v>
      </c>
      <c r="CS84" s="2">
        <f>(ROUND((ROUND((((EU84*6*1.15))*AV84*1),2)*BS84),2)+ROUND((ROUND(((AE84-((EU84*6*1.15)))*AV84*1),2)*BS84),2))</f>
        <v>495.76</v>
      </c>
      <c r="CT84" s="2">
        <f t="shared" si="76"/>
        <v>17347.759999999998</v>
      </c>
      <c r="CU84" s="2">
        <f t="shared" si="77"/>
        <v>0</v>
      </c>
      <c r="CV84" s="2">
        <f t="shared" si="78"/>
        <v>23.735999999999997</v>
      </c>
      <c r="CW84" s="2">
        <f t="shared" si="79"/>
        <v>0</v>
      </c>
      <c r="CX84" s="2">
        <f t="shared" si="80"/>
        <v>0</v>
      </c>
      <c r="CY84" s="2">
        <f>(ROUND((((S84+ROUND((ROUND((((EU84*6*1.15))*AV84*1),2)*BS84),2))*AT84)/100),2)+ROUND(((ROUND((ROUND(((AE84-((EU84*6*1.15)))*AV84*1),2)*BS84),2)*AT84)/100),2))</f>
        <v>3448.01</v>
      </c>
      <c r="CZ84" s="2">
        <f>(ROUND((((S84+ROUND((ROUND((((EU84*6*1.15))*AV84*1),2)*BS84),2))*AU84)/100),2)+ROUND(((ROUND((ROUND(((AE84-((EU84*6*1.15)))*AV84*1),2)*BS84),2)*AU84)/100),2))</f>
        <v>1877.63</v>
      </c>
      <c r="DC84" s="2" t="s">
        <v>3</v>
      </c>
      <c r="DD84" s="2" t="s">
        <v>3</v>
      </c>
      <c r="DE84" s="2" t="s">
        <v>167</v>
      </c>
      <c r="DF84" s="2" t="s">
        <v>167</v>
      </c>
      <c r="DG84" s="2" t="s">
        <v>167</v>
      </c>
      <c r="DH84" s="2" t="s">
        <v>3</v>
      </c>
      <c r="DI84" s="2" t="s">
        <v>167</v>
      </c>
      <c r="DJ84" s="2" t="s">
        <v>167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</v>
      </c>
      <c r="DQ84" s="2">
        <v>1</v>
      </c>
      <c r="DU84" s="2">
        <v>1013</v>
      </c>
      <c r="DV84" s="2" t="s">
        <v>155</v>
      </c>
      <c r="DW84" s="2" t="s">
        <v>155</v>
      </c>
      <c r="DX84" s="2">
        <v>1</v>
      </c>
      <c r="DZ84" s="2" t="s">
        <v>3</v>
      </c>
      <c r="EA84" s="2" t="s">
        <v>3</v>
      </c>
      <c r="EB84" s="2" t="s">
        <v>3</v>
      </c>
      <c r="EC84" s="2" t="s">
        <v>3</v>
      </c>
      <c r="EE84" s="2">
        <v>55896063</v>
      </c>
      <c r="EF84" s="2">
        <v>30</v>
      </c>
      <c r="EG84" s="2" t="s">
        <v>49</v>
      </c>
      <c r="EH84" s="2">
        <v>0</v>
      </c>
      <c r="EI84" s="2" t="s">
        <v>3</v>
      </c>
      <c r="EJ84" s="2">
        <v>1</v>
      </c>
      <c r="EK84" s="2">
        <v>15</v>
      </c>
      <c r="EL84" s="2" t="s">
        <v>137</v>
      </c>
      <c r="EM84" s="2" t="s">
        <v>138</v>
      </c>
      <c r="EO84" s="2" t="s">
        <v>168</v>
      </c>
      <c r="EQ84" s="2">
        <v>1024</v>
      </c>
      <c r="ER84" s="2">
        <v>53.34</v>
      </c>
      <c r="ES84" s="2">
        <v>0.28999999999999998</v>
      </c>
      <c r="ET84" s="2">
        <v>8.98</v>
      </c>
      <c r="EU84" s="2">
        <v>1.26</v>
      </c>
      <c r="EV84" s="2">
        <v>44.07</v>
      </c>
      <c r="EW84" s="2">
        <v>3.44</v>
      </c>
      <c r="EX84" s="2">
        <v>0</v>
      </c>
      <c r="EY84" s="2">
        <v>0</v>
      </c>
      <c r="FQ84" s="2">
        <v>0</v>
      </c>
      <c r="FR84" s="2">
        <v>0</v>
      </c>
      <c r="FS84" s="2">
        <v>0</v>
      </c>
      <c r="FX84" s="2">
        <v>101</v>
      </c>
      <c r="FY84" s="2">
        <v>55</v>
      </c>
      <c r="GA84" s="2" t="s">
        <v>3</v>
      </c>
      <c r="GD84" s="2">
        <v>1</v>
      </c>
      <c r="GF84" s="2">
        <v>1554330879</v>
      </c>
      <c r="GG84" s="2">
        <v>2</v>
      </c>
      <c r="GH84" s="2">
        <v>1</v>
      </c>
      <c r="GI84" s="2">
        <v>2</v>
      </c>
      <c r="GJ84" s="2">
        <v>0</v>
      </c>
      <c r="GK84" s="2">
        <v>0</v>
      </c>
      <c r="GL84" s="2">
        <f t="shared" si="81"/>
        <v>0</v>
      </c>
      <c r="GM84" s="2">
        <f t="shared" si="82"/>
        <v>7777.18</v>
      </c>
      <c r="GN84" s="2">
        <f t="shared" si="83"/>
        <v>7777.18</v>
      </c>
      <c r="GO84" s="2">
        <f t="shared" si="84"/>
        <v>0</v>
      </c>
      <c r="GP84" s="2">
        <f t="shared" si="85"/>
        <v>0</v>
      </c>
      <c r="GR84" s="2">
        <v>0</v>
      </c>
      <c r="GS84" s="2">
        <v>3</v>
      </c>
      <c r="GT84" s="2">
        <v>0</v>
      </c>
      <c r="GU84" s="2" t="s">
        <v>3</v>
      </c>
      <c r="GV84" s="2">
        <f t="shared" si="86"/>
        <v>0</v>
      </c>
      <c r="GW84" s="2">
        <v>1</v>
      </c>
      <c r="GX84" s="2">
        <f t="shared" si="87"/>
        <v>0</v>
      </c>
      <c r="HA84" s="2">
        <v>0</v>
      </c>
      <c r="HB84" s="2">
        <v>0</v>
      </c>
      <c r="HC84" s="2">
        <f t="shared" si="88"/>
        <v>0</v>
      </c>
      <c r="HE84" s="2" t="s">
        <v>3</v>
      </c>
      <c r="HF84" s="2" t="s">
        <v>3</v>
      </c>
      <c r="HM84" s="2" t="s">
        <v>3</v>
      </c>
      <c r="HN84" s="2" t="s">
        <v>3</v>
      </c>
      <c r="HO84" s="2" t="s">
        <v>3</v>
      </c>
      <c r="HP84" s="2" t="s">
        <v>3</v>
      </c>
      <c r="HQ84" s="2" t="s">
        <v>3</v>
      </c>
      <c r="HS84" s="2">
        <v>0</v>
      </c>
      <c r="IK84" s="2">
        <v>0</v>
      </c>
    </row>
    <row r="85" spans="1:245" x14ac:dyDescent="0.2">
      <c r="A85" s="2">
        <v>18</v>
      </c>
      <c r="B85" s="2">
        <v>1</v>
      </c>
      <c r="C85" s="2">
        <v>60</v>
      </c>
      <c r="E85" s="2" t="s">
        <v>3</v>
      </c>
      <c r="F85" s="2" t="s">
        <v>39</v>
      </c>
      <c r="G85" s="2" t="s">
        <v>157</v>
      </c>
      <c r="H85" s="2" t="s">
        <v>158</v>
      </c>
      <c r="I85" s="2">
        <f>I84*J85</f>
        <v>7.0000000000000009</v>
      </c>
      <c r="J85" s="2">
        <v>41.617122473246141</v>
      </c>
      <c r="K85" s="2">
        <v>41.617122000000002</v>
      </c>
      <c r="O85" s="2">
        <f t="shared" si="62"/>
        <v>8174.04</v>
      </c>
      <c r="P85" s="2">
        <f t="shared" si="63"/>
        <v>8174.04</v>
      </c>
      <c r="Q85" s="2">
        <f>(ROUND((ROUND(((ET85)*AV85*I85),2)*BB85),2)+ROUND((ROUND(((AE85-(EU85))*AV85*I85),2)*BS85),2))</f>
        <v>0</v>
      </c>
      <c r="R85" s="2">
        <f>(ROUND((ROUND(((EU85)*AV85*I85),2)*BS85),2)+ROUND((ROUND(((AE85-(EU85))*AV85*I85),2)*BS85),2))</f>
        <v>0</v>
      </c>
      <c r="S85" s="2">
        <f t="shared" si="64"/>
        <v>0</v>
      </c>
      <c r="T85" s="2">
        <f t="shared" si="65"/>
        <v>0</v>
      </c>
      <c r="U85" s="2">
        <f t="shared" si="66"/>
        <v>0</v>
      </c>
      <c r="V85" s="2">
        <f t="shared" si="67"/>
        <v>0</v>
      </c>
      <c r="W85" s="2">
        <f t="shared" si="68"/>
        <v>0</v>
      </c>
      <c r="X85" s="2">
        <f>(ROUND((((S85+ROUND((ROUND(((EU85)*AV85*I85),2)*BS85),2))*AT85)/100),2)+ROUND(((ROUND((ROUND(((AE85-(EU85))*AV85*I85),2)*BS85),2)*AT85)/100),2))</f>
        <v>0</v>
      </c>
      <c r="Y85" s="2">
        <f>(ROUND((((S85+ROUND((ROUND(((EU85)*AV85*I85),2)*BS85),2))*AU85)/100),2)+ROUND(((ROUND((ROUND(((AE85-(EU85))*AV85*I85),2)*BS85),2)*AU85)/100),2))</f>
        <v>0</v>
      </c>
      <c r="AA85" s="2">
        <v>-1</v>
      </c>
      <c r="AB85" s="2">
        <f t="shared" si="69"/>
        <v>1167.72</v>
      </c>
      <c r="AC85" s="2">
        <f>ROUND((ES85),6)</f>
        <v>1167.72</v>
      </c>
      <c r="AD85" s="2">
        <f>ROUND((((ET85)-(EU85))+AE85),6)</f>
        <v>0</v>
      </c>
      <c r="AE85" s="2">
        <f>ROUND((EU85),6)</f>
        <v>0</v>
      </c>
      <c r="AF85" s="2">
        <f>ROUND((EV85),6)</f>
        <v>0</v>
      </c>
      <c r="AG85" s="2">
        <f t="shared" si="71"/>
        <v>0</v>
      </c>
      <c r="AH85" s="2">
        <f>(EW85)</f>
        <v>0</v>
      </c>
      <c r="AI85" s="2">
        <f>(EX85)</f>
        <v>0</v>
      </c>
      <c r="AJ85" s="2">
        <f t="shared" si="73"/>
        <v>0</v>
      </c>
      <c r="AK85" s="2">
        <v>1167.72</v>
      </c>
      <c r="AL85" s="2">
        <v>1167.72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101</v>
      </c>
      <c r="AU85" s="2">
        <v>55</v>
      </c>
      <c r="AV85" s="2">
        <v>1</v>
      </c>
      <c r="AW85" s="2">
        <v>1</v>
      </c>
      <c r="AZ85" s="2">
        <v>1</v>
      </c>
      <c r="BA85" s="2">
        <v>1</v>
      </c>
      <c r="BB85" s="2">
        <v>1</v>
      </c>
      <c r="BC85" s="2">
        <v>1</v>
      </c>
      <c r="BD85" s="2" t="s">
        <v>3</v>
      </c>
      <c r="BE85" s="2" t="s">
        <v>3</v>
      </c>
      <c r="BF85" s="2" t="s">
        <v>3</v>
      </c>
      <c r="BG85" s="2" t="s">
        <v>3</v>
      </c>
      <c r="BH85" s="2">
        <v>3</v>
      </c>
      <c r="BI85" s="2">
        <v>1</v>
      </c>
      <c r="BJ85" s="2" t="s">
        <v>3</v>
      </c>
      <c r="BM85" s="2">
        <v>15</v>
      </c>
      <c r="BN85" s="2">
        <v>0</v>
      </c>
      <c r="BO85" s="2" t="s">
        <v>3</v>
      </c>
      <c r="BP85" s="2">
        <v>0</v>
      </c>
      <c r="BQ85" s="2">
        <v>30</v>
      </c>
      <c r="BR85" s="2">
        <v>0</v>
      </c>
      <c r="BS85" s="2">
        <v>1</v>
      </c>
      <c r="BT85" s="2">
        <v>1</v>
      </c>
      <c r="BU85" s="2">
        <v>1</v>
      </c>
      <c r="BV85" s="2">
        <v>1</v>
      </c>
      <c r="BW85" s="2">
        <v>1</v>
      </c>
      <c r="BX85" s="2">
        <v>1</v>
      </c>
      <c r="BY85" s="2" t="s">
        <v>3</v>
      </c>
      <c r="BZ85" s="2">
        <v>101</v>
      </c>
      <c r="CA85" s="2">
        <v>55</v>
      </c>
      <c r="CB85" s="2" t="s">
        <v>3</v>
      </c>
      <c r="CE85" s="2">
        <v>1566</v>
      </c>
      <c r="CF85" s="2">
        <v>0</v>
      </c>
      <c r="CG85" s="2">
        <v>0</v>
      </c>
      <c r="CM85" s="2">
        <v>0</v>
      </c>
      <c r="CN85" s="2" t="s">
        <v>520</v>
      </c>
      <c r="CO85" s="2">
        <v>0</v>
      </c>
      <c r="CP85" s="2">
        <f t="shared" si="74"/>
        <v>8174.04</v>
      </c>
      <c r="CQ85" s="2">
        <f t="shared" si="75"/>
        <v>1167.72</v>
      </c>
      <c r="CR85" s="2">
        <f>(ROUND((ROUND(((ET85)*AV85*1),2)*BB85),2)+ROUND((ROUND(((AE85-(EU85))*AV85*1),2)*BS85),2))</f>
        <v>0</v>
      </c>
      <c r="CS85" s="2">
        <f>(ROUND((ROUND(((EU85)*AV85*1),2)*BS85),2)+ROUND((ROUND(((AE85-(EU85))*AV85*1),2)*BS85),2))</f>
        <v>0</v>
      </c>
      <c r="CT85" s="2">
        <f t="shared" si="76"/>
        <v>0</v>
      </c>
      <c r="CU85" s="2">
        <f t="shared" si="77"/>
        <v>0</v>
      </c>
      <c r="CV85" s="2">
        <f t="shared" si="78"/>
        <v>0</v>
      </c>
      <c r="CW85" s="2">
        <f t="shared" si="79"/>
        <v>0</v>
      </c>
      <c r="CX85" s="2">
        <f t="shared" si="80"/>
        <v>0</v>
      </c>
      <c r="CY85" s="2">
        <f>(ROUND((((S85+ROUND((ROUND(((EU85)*AV85*1),2)*BS85),2))*AT85)/100),2)+ROUND(((ROUND((ROUND(((AE85-(EU85))*AV85*1),2)*BS85),2)*AT85)/100),2))</f>
        <v>0</v>
      </c>
      <c r="CZ85" s="2">
        <f>(ROUND((((S85+ROUND((ROUND(((EU85)*AV85*1),2)*BS85),2))*AU85)/100),2)+ROUND(((ROUND((ROUND(((AE85-(EU85))*AV85*1),2)*BS85),2)*AU85)/100),2))</f>
        <v>0</v>
      </c>
      <c r="DC85" s="2" t="s">
        <v>3</v>
      </c>
      <c r="DD85" s="2" t="s">
        <v>3</v>
      </c>
      <c r="DE85" s="2" t="s">
        <v>3</v>
      </c>
      <c r="DF85" s="2" t="s">
        <v>3</v>
      </c>
      <c r="DG85" s="2" t="s">
        <v>3</v>
      </c>
      <c r="DH85" s="2" t="s">
        <v>3</v>
      </c>
      <c r="DI85" s="2" t="s">
        <v>3</v>
      </c>
      <c r="DJ85" s="2" t="s">
        <v>3</v>
      </c>
      <c r="DK85" s="2" t="s">
        <v>3</v>
      </c>
      <c r="DL85" s="2" t="s">
        <v>3</v>
      </c>
      <c r="DM85" s="2" t="s">
        <v>3</v>
      </c>
      <c r="DN85" s="2">
        <v>0</v>
      </c>
      <c r="DO85" s="2">
        <v>0</v>
      </c>
      <c r="DP85" s="2">
        <v>1</v>
      </c>
      <c r="DQ85" s="2">
        <v>1</v>
      </c>
      <c r="DU85" s="2">
        <v>1013</v>
      </c>
      <c r="DV85" s="2" t="s">
        <v>158</v>
      </c>
      <c r="DW85" s="2" t="s">
        <v>158</v>
      </c>
      <c r="DX85" s="2">
        <v>1</v>
      </c>
      <c r="DZ85" s="2" t="s">
        <v>3</v>
      </c>
      <c r="EA85" s="2" t="s">
        <v>3</v>
      </c>
      <c r="EB85" s="2" t="s">
        <v>3</v>
      </c>
      <c r="EC85" s="2" t="s">
        <v>3</v>
      </c>
      <c r="EE85" s="2">
        <v>55896063</v>
      </c>
      <c r="EF85" s="2">
        <v>30</v>
      </c>
      <c r="EG85" s="2" t="s">
        <v>49</v>
      </c>
      <c r="EH85" s="2">
        <v>0</v>
      </c>
      <c r="EI85" s="2" t="s">
        <v>3</v>
      </c>
      <c r="EJ85" s="2">
        <v>1</v>
      </c>
      <c r="EK85" s="2">
        <v>15</v>
      </c>
      <c r="EL85" s="2" t="s">
        <v>137</v>
      </c>
      <c r="EM85" s="2" t="s">
        <v>138</v>
      </c>
      <c r="EO85" s="2" t="s">
        <v>28</v>
      </c>
      <c r="EQ85" s="2">
        <v>1024</v>
      </c>
      <c r="ER85" s="2">
        <v>1167.72</v>
      </c>
      <c r="ES85" s="2">
        <v>1167.72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Z85" s="2">
        <v>5</v>
      </c>
      <c r="FC85" s="2">
        <v>1</v>
      </c>
      <c r="FD85" s="2">
        <v>18</v>
      </c>
      <c r="FF85" s="2">
        <v>1356</v>
      </c>
      <c r="FQ85" s="2">
        <v>0</v>
      </c>
      <c r="FR85" s="2">
        <v>0</v>
      </c>
      <c r="FS85" s="2">
        <v>0</v>
      </c>
      <c r="FX85" s="2">
        <v>101</v>
      </c>
      <c r="FY85" s="2">
        <v>55</v>
      </c>
      <c r="GA85" s="2" t="s">
        <v>159</v>
      </c>
      <c r="GD85" s="2">
        <v>1</v>
      </c>
      <c r="GF85" s="2">
        <v>-1993809694</v>
      </c>
      <c r="GG85" s="2">
        <v>2</v>
      </c>
      <c r="GH85" s="2">
        <v>3</v>
      </c>
      <c r="GI85" s="2">
        <v>-2</v>
      </c>
      <c r="GJ85" s="2">
        <v>0</v>
      </c>
      <c r="GK85" s="2">
        <v>0</v>
      </c>
      <c r="GL85" s="2">
        <f t="shared" si="81"/>
        <v>0</v>
      </c>
      <c r="GM85" s="2">
        <f t="shared" si="82"/>
        <v>8174.04</v>
      </c>
      <c r="GN85" s="2">
        <f t="shared" si="83"/>
        <v>8174.04</v>
      </c>
      <c r="GO85" s="2">
        <f t="shared" si="84"/>
        <v>0</v>
      </c>
      <c r="GP85" s="2">
        <f t="shared" si="85"/>
        <v>0</v>
      </c>
      <c r="GR85" s="2">
        <v>1</v>
      </c>
      <c r="GS85" s="2">
        <v>1</v>
      </c>
      <c r="GT85" s="2">
        <v>0</v>
      </c>
      <c r="GU85" s="2" t="s">
        <v>3</v>
      </c>
      <c r="GV85" s="2">
        <f t="shared" si="86"/>
        <v>0</v>
      </c>
      <c r="GW85" s="2">
        <v>1</v>
      </c>
      <c r="GX85" s="2">
        <f t="shared" si="87"/>
        <v>0</v>
      </c>
      <c r="HA85" s="2">
        <v>0</v>
      </c>
      <c r="HB85" s="2">
        <v>0</v>
      </c>
      <c r="HC85" s="2">
        <f t="shared" si="88"/>
        <v>0</v>
      </c>
      <c r="HE85" s="2" t="s">
        <v>34</v>
      </c>
      <c r="HF85" s="2" t="s">
        <v>29</v>
      </c>
      <c r="HM85" s="2" t="s">
        <v>24</v>
      </c>
      <c r="HN85" s="2" t="s">
        <v>3</v>
      </c>
      <c r="HO85" s="2" t="s">
        <v>3</v>
      </c>
      <c r="HP85" s="2" t="s">
        <v>3</v>
      </c>
      <c r="HQ85" s="2" t="s">
        <v>3</v>
      </c>
      <c r="HS85" s="2">
        <v>0</v>
      </c>
      <c r="IK85" s="2">
        <v>0</v>
      </c>
    </row>
    <row r="86" spans="1:245" x14ac:dyDescent="0.2">
      <c r="A86" s="2">
        <v>17</v>
      </c>
      <c r="B86" s="2">
        <v>1</v>
      </c>
      <c r="C86" s="2">
        <f>ROW(SmtRes!A66)</f>
        <v>66</v>
      </c>
      <c r="D86" s="2">
        <f>ROW(EtalonRes!A66)</f>
        <v>66</v>
      </c>
      <c r="E86" s="2" t="s">
        <v>3</v>
      </c>
      <c r="F86" s="2" t="s">
        <v>169</v>
      </c>
      <c r="G86" s="2" t="s">
        <v>170</v>
      </c>
      <c r="H86" s="2" t="s">
        <v>171</v>
      </c>
      <c r="I86" s="2">
        <f>ROUND(18.6/10,9)</f>
        <v>1.86</v>
      </c>
      <c r="J86" s="2">
        <v>0</v>
      </c>
      <c r="K86" s="2">
        <f>ROUND(18.6/10,9)</f>
        <v>1.86</v>
      </c>
      <c r="O86" s="2">
        <f t="shared" si="62"/>
        <v>672.21</v>
      </c>
      <c r="P86" s="2">
        <f t="shared" si="63"/>
        <v>83.07</v>
      </c>
      <c r="Q86" s="2">
        <f>(ROUND((ROUND((((ET86*1.15))*AV86*I86),2)*BB86),2)+ROUND((ROUND(((AE86-((EU86*1.15)))*AV86*I86),2)*BS86),2))</f>
        <v>16.93</v>
      </c>
      <c r="R86" s="2">
        <f>(ROUND((ROUND((((EU86*1.15))*AV86*I86),2)*BS86),2)+ROUND((ROUND(((AE86-((EU86*1.15)))*AV86*I86),2)*BS86),2))</f>
        <v>6.28</v>
      </c>
      <c r="S86" s="2">
        <f t="shared" si="64"/>
        <v>572.21</v>
      </c>
      <c r="T86" s="2">
        <f t="shared" si="65"/>
        <v>0</v>
      </c>
      <c r="U86" s="2">
        <f t="shared" si="66"/>
        <v>0.85560000000000003</v>
      </c>
      <c r="V86" s="2">
        <f t="shared" si="67"/>
        <v>0</v>
      </c>
      <c r="W86" s="2">
        <f t="shared" si="68"/>
        <v>0</v>
      </c>
      <c r="X86" s="2">
        <f>(ROUND((((S86+ROUND((ROUND((((EU86*1.15))*AV86*I86),2)*BS86),2))*AT86)/100),2)+ROUND(((ROUND((ROUND(((AE86-((EU86*1.15)))*AV86*I86),2)*BS86),2)*AT86)/100),2))</f>
        <v>584.27</v>
      </c>
      <c r="Y86" s="2">
        <f>(ROUND((((S86+ROUND((ROUND((((EU86*1.15))*AV86*I86),2)*BS86),2))*AU86)/100),2)+ROUND(((ROUND((ROUND(((AE86-((EU86*1.15)))*AV86*I86),2)*BS86),2)*AU86)/100),2))</f>
        <v>318.17</v>
      </c>
      <c r="AA86" s="2">
        <v>-1</v>
      </c>
      <c r="AB86" s="2">
        <f t="shared" si="69"/>
        <v>17.798999999999999</v>
      </c>
      <c r="AC86" s="2">
        <f>ROUND(((ES86*1)),6)</f>
        <v>11.75</v>
      </c>
      <c r="AD86" s="2">
        <f>ROUND(((((ET86*1.15))-((EU86*1.15)))+AE86),6)</f>
        <v>0.65549999999999997</v>
      </c>
      <c r="AE86" s="2">
        <f>ROUND(((EU86*1.15)),6)</f>
        <v>5.7500000000000002E-2</v>
      </c>
      <c r="AF86" s="2">
        <f>ROUND(((EV86*1.15)),6)</f>
        <v>5.3935000000000004</v>
      </c>
      <c r="AG86" s="2">
        <f t="shared" si="71"/>
        <v>0</v>
      </c>
      <c r="AH86" s="2">
        <f>((EW86*1.15))</f>
        <v>0.45999999999999996</v>
      </c>
      <c r="AI86" s="2">
        <f>((EX86*1.15))</f>
        <v>0</v>
      </c>
      <c r="AJ86" s="2">
        <f t="shared" si="73"/>
        <v>0</v>
      </c>
      <c r="AK86" s="2">
        <v>17.010000000000002</v>
      </c>
      <c r="AL86" s="2">
        <v>11.75</v>
      </c>
      <c r="AM86" s="2">
        <v>0.56999999999999995</v>
      </c>
      <c r="AN86" s="2">
        <v>0.05</v>
      </c>
      <c r="AO86" s="2">
        <v>4.6900000000000004</v>
      </c>
      <c r="AP86" s="2">
        <v>0</v>
      </c>
      <c r="AQ86" s="2">
        <v>0.4</v>
      </c>
      <c r="AR86" s="2">
        <v>0</v>
      </c>
      <c r="AS86" s="2">
        <v>0</v>
      </c>
      <c r="AT86" s="2">
        <v>101</v>
      </c>
      <c r="AU86" s="2">
        <v>55</v>
      </c>
      <c r="AV86" s="2">
        <v>1</v>
      </c>
      <c r="AW86" s="2">
        <v>1</v>
      </c>
      <c r="AZ86" s="2">
        <v>1</v>
      </c>
      <c r="BA86" s="2">
        <v>57.05</v>
      </c>
      <c r="BB86" s="2">
        <v>13.88</v>
      </c>
      <c r="BC86" s="2">
        <v>3.8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0</v>
      </c>
      <c r="BI86" s="2">
        <v>1</v>
      </c>
      <c r="BJ86" s="2" t="s">
        <v>172</v>
      </c>
      <c r="BM86" s="2">
        <v>15</v>
      </c>
      <c r="BN86" s="2">
        <v>0</v>
      </c>
      <c r="BO86" s="2" t="s">
        <v>169</v>
      </c>
      <c r="BP86" s="2">
        <v>1</v>
      </c>
      <c r="BQ86" s="2">
        <v>30</v>
      </c>
      <c r="BR86" s="2">
        <v>0</v>
      </c>
      <c r="BS86" s="2">
        <v>57.05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101</v>
      </c>
      <c r="CA86" s="2">
        <v>55</v>
      </c>
      <c r="CB86" s="2" t="s">
        <v>3</v>
      </c>
      <c r="CE86" s="2">
        <v>1566</v>
      </c>
      <c r="CF86" s="2">
        <v>0</v>
      </c>
      <c r="CG86" s="2">
        <v>0</v>
      </c>
      <c r="CM86" s="2">
        <v>0</v>
      </c>
      <c r="CN86" s="2" t="s">
        <v>518</v>
      </c>
      <c r="CO86" s="2">
        <v>0</v>
      </c>
      <c r="CP86" s="2">
        <f t="shared" si="74"/>
        <v>672.21</v>
      </c>
      <c r="CQ86" s="2">
        <f t="shared" si="75"/>
        <v>44.65</v>
      </c>
      <c r="CR86" s="2">
        <f>(ROUND((ROUND((((ET86*1.15))*AV86*1),2)*BB86),2)+ROUND((ROUND(((AE86-((EU86*1.15)))*AV86*1),2)*BS86),2))</f>
        <v>9.16</v>
      </c>
      <c r="CS86" s="2">
        <f>(ROUND((ROUND((((EU86*1.15))*AV86*1),2)*BS86),2)+ROUND((ROUND(((AE86-((EU86*1.15)))*AV86*1),2)*BS86),2))</f>
        <v>3.42</v>
      </c>
      <c r="CT86" s="2">
        <f t="shared" si="76"/>
        <v>307.5</v>
      </c>
      <c r="CU86" s="2">
        <f t="shared" si="77"/>
        <v>0</v>
      </c>
      <c r="CV86" s="2">
        <f t="shared" si="78"/>
        <v>0.45999999999999996</v>
      </c>
      <c r="CW86" s="2">
        <f t="shared" si="79"/>
        <v>0</v>
      </c>
      <c r="CX86" s="2">
        <f t="shared" si="80"/>
        <v>0</v>
      </c>
      <c r="CY86" s="2">
        <f>(ROUND((((S86+ROUND((ROUND((((EU86*1.15))*AV86*1),2)*BS86),2))*AT86)/100),2)+ROUND(((ROUND((ROUND(((AE86-((EU86*1.15)))*AV86*1),2)*BS86),2)*AT86)/100),2))</f>
        <v>581.39</v>
      </c>
      <c r="CZ86" s="2">
        <f>(ROUND((((S86+ROUND((ROUND((((EU86*1.15))*AV86*1),2)*BS86),2))*AU86)/100),2)+ROUND(((ROUND((ROUND(((AE86-((EU86*1.15)))*AV86*1),2)*BS86),2)*AU86)/100),2))</f>
        <v>316.60000000000002</v>
      </c>
      <c r="DB86" s="2">
        <v>3</v>
      </c>
      <c r="DC86" s="2" t="s">
        <v>3</v>
      </c>
      <c r="DD86" s="2" t="s">
        <v>24</v>
      </c>
      <c r="DE86" s="2" t="s">
        <v>48</v>
      </c>
      <c r="DF86" s="2" t="s">
        <v>48</v>
      </c>
      <c r="DG86" s="2" t="s">
        <v>48</v>
      </c>
      <c r="DH86" s="2" t="s">
        <v>3</v>
      </c>
      <c r="DI86" s="2" t="s">
        <v>48</v>
      </c>
      <c r="DJ86" s="2" t="s">
        <v>48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</v>
      </c>
      <c r="DQ86" s="2">
        <v>1</v>
      </c>
      <c r="DU86" s="2">
        <v>1010</v>
      </c>
      <c r="DV86" s="2" t="s">
        <v>171</v>
      </c>
      <c r="DW86" s="2" t="s">
        <v>171</v>
      </c>
      <c r="DX86" s="2">
        <v>10</v>
      </c>
      <c r="DZ86" s="2" t="s">
        <v>3</v>
      </c>
      <c r="EA86" s="2" t="s">
        <v>3</v>
      </c>
      <c r="EB86" s="2" t="s">
        <v>3</v>
      </c>
      <c r="EC86" s="2" t="s">
        <v>3</v>
      </c>
      <c r="EE86" s="2">
        <v>55896063</v>
      </c>
      <c r="EF86" s="2">
        <v>30</v>
      </c>
      <c r="EG86" s="2" t="s">
        <v>49</v>
      </c>
      <c r="EH86" s="2">
        <v>0</v>
      </c>
      <c r="EI86" s="2" t="s">
        <v>3</v>
      </c>
      <c r="EJ86" s="2">
        <v>1</v>
      </c>
      <c r="EK86" s="2">
        <v>15</v>
      </c>
      <c r="EL86" s="2" t="s">
        <v>137</v>
      </c>
      <c r="EM86" s="2" t="s">
        <v>138</v>
      </c>
      <c r="EO86" s="2" t="s">
        <v>28</v>
      </c>
      <c r="EQ86" s="2">
        <v>1024</v>
      </c>
      <c r="ER86" s="2">
        <v>17.010000000000002</v>
      </c>
      <c r="ES86" s="2">
        <v>11.75</v>
      </c>
      <c r="ET86" s="2">
        <v>0.56999999999999995</v>
      </c>
      <c r="EU86" s="2">
        <v>0.05</v>
      </c>
      <c r="EV86" s="2">
        <v>4.6900000000000004</v>
      </c>
      <c r="EW86" s="2">
        <v>0.4</v>
      </c>
      <c r="EX86" s="2">
        <v>0</v>
      </c>
      <c r="EY86" s="2">
        <v>0</v>
      </c>
      <c r="FQ86" s="2">
        <v>0</v>
      </c>
      <c r="FR86" s="2">
        <v>0</v>
      </c>
      <c r="FS86" s="2">
        <v>0</v>
      </c>
      <c r="FX86" s="2">
        <v>101</v>
      </c>
      <c r="FY86" s="2">
        <v>55</v>
      </c>
      <c r="GA86" s="2" t="s">
        <v>3</v>
      </c>
      <c r="GD86" s="2">
        <v>1</v>
      </c>
      <c r="GF86" s="2">
        <v>845053441</v>
      </c>
      <c r="GG86" s="2">
        <v>2</v>
      </c>
      <c r="GH86" s="2">
        <v>1</v>
      </c>
      <c r="GI86" s="2">
        <v>2</v>
      </c>
      <c r="GJ86" s="2">
        <v>0</v>
      </c>
      <c r="GK86" s="2">
        <v>0</v>
      </c>
      <c r="GL86" s="2">
        <f t="shared" si="81"/>
        <v>0</v>
      </c>
      <c r="GM86" s="2">
        <f t="shared" si="82"/>
        <v>1574.65</v>
      </c>
      <c r="GN86" s="2">
        <f t="shared" si="83"/>
        <v>1574.65</v>
      </c>
      <c r="GO86" s="2">
        <f t="shared" si="84"/>
        <v>0</v>
      </c>
      <c r="GP86" s="2">
        <f t="shared" si="85"/>
        <v>0</v>
      </c>
      <c r="GR86" s="2">
        <v>0</v>
      </c>
      <c r="GS86" s="2">
        <v>3</v>
      </c>
      <c r="GT86" s="2">
        <v>0</v>
      </c>
      <c r="GU86" s="2" t="s">
        <v>3</v>
      </c>
      <c r="GV86" s="2">
        <f t="shared" si="86"/>
        <v>0</v>
      </c>
      <c r="GW86" s="2">
        <v>1</v>
      </c>
      <c r="GX86" s="2">
        <f t="shared" si="87"/>
        <v>0</v>
      </c>
      <c r="HA86" s="2">
        <v>0</v>
      </c>
      <c r="HB86" s="2">
        <v>0</v>
      </c>
      <c r="HC86" s="2">
        <f t="shared" si="88"/>
        <v>0</v>
      </c>
      <c r="HE86" s="2" t="s">
        <v>3</v>
      </c>
      <c r="HF86" s="2" t="s">
        <v>3</v>
      </c>
      <c r="HM86" s="2" t="s">
        <v>3</v>
      </c>
      <c r="HN86" s="2" t="s">
        <v>3</v>
      </c>
      <c r="HO86" s="2" t="s">
        <v>3</v>
      </c>
      <c r="HP86" s="2" t="s">
        <v>3</v>
      </c>
      <c r="HQ86" s="2" t="s">
        <v>3</v>
      </c>
      <c r="HS86" s="2">
        <v>0</v>
      </c>
      <c r="IK86" s="2">
        <v>0</v>
      </c>
    </row>
    <row r="87" spans="1:245" x14ac:dyDescent="0.2">
      <c r="A87" s="2">
        <v>18</v>
      </c>
      <c r="B87" s="2">
        <v>1</v>
      </c>
      <c r="C87" s="2">
        <v>66</v>
      </c>
      <c r="E87" s="2" t="s">
        <v>3</v>
      </c>
      <c r="F87" s="2" t="s">
        <v>39</v>
      </c>
      <c r="G87" s="2" t="s">
        <v>173</v>
      </c>
      <c r="H87" s="2" t="s">
        <v>174</v>
      </c>
      <c r="I87" s="2">
        <f>I86*J87</f>
        <v>1.8</v>
      </c>
      <c r="J87" s="2">
        <v>0.96774193548387089</v>
      </c>
      <c r="K87" s="2">
        <v>0.96774194000000002</v>
      </c>
      <c r="O87" s="2">
        <f t="shared" si="62"/>
        <v>6045.25</v>
      </c>
      <c r="P87" s="2">
        <f t="shared" si="63"/>
        <v>6045.25</v>
      </c>
      <c r="Q87" s="2">
        <f>(ROUND((ROUND(((ET87)*AV87*I87),2)*BB87),2)+ROUND((ROUND(((AE87-(EU87))*AV87*I87),2)*BS87),2))</f>
        <v>0</v>
      </c>
      <c r="R87" s="2">
        <f>(ROUND((ROUND(((EU87)*AV87*I87),2)*BS87),2)+ROUND((ROUND(((AE87-(EU87))*AV87*I87),2)*BS87),2))</f>
        <v>0</v>
      </c>
      <c r="S87" s="2">
        <f t="shared" si="64"/>
        <v>0</v>
      </c>
      <c r="T87" s="2">
        <f t="shared" si="65"/>
        <v>0</v>
      </c>
      <c r="U87" s="2">
        <f t="shared" si="66"/>
        <v>0</v>
      </c>
      <c r="V87" s="2">
        <f t="shared" si="67"/>
        <v>0</v>
      </c>
      <c r="W87" s="2">
        <f t="shared" si="68"/>
        <v>0</v>
      </c>
      <c r="X87" s="2">
        <f>(ROUND((((S87+ROUND((ROUND(((EU87)*AV87*I87),2)*BS87),2))*AT87)/100),2)+ROUND(((ROUND((ROUND(((AE87-(EU87))*AV87*I87),2)*BS87),2)*AT87)/100),2))</f>
        <v>0</v>
      </c>
      <c r="Y87" s="2">
        <f>(ROUND((((S87+ROUND((ROUND(((EU87)*AV87*I87),2)*BS87),2))*AU87)/100),2)+ROUND(((ROUND((ROUND(((AE87-(EU87))*AV87*I87),2)*BS87),2)*AU87)/100),2))</f>
        <v>0</v>
      </c>
      <c r="AA87" s="2">
        <v>-1</v>
      </c>
      <c r="AB87" s="2">
        <f t="shared" si="69"/>
        <v>3358.47</v>
      </c>
      <c r="AC87" s="2">
        <f>ROUND((ES87),6)</f>
        <v>3358.47</v>
      </c>
      <c r="AD87" s="2">
        <f>ROUND((((ET87)-(EU87))+AE87),6)</f>
        <v>0</v>
      </c>
      <c r="AE87" s="2">
        <f>ROUND((EU87),6)</f>
        <v>0</v>
      </c>
      <c r="AF87" s="2">
        <f>ROUND((EV87),6)</f>
        <v>0</v>
      </c>
      <c r="AG87" s="2">
        <f t="shared" si="71"/>
        <v>0</v>
      </c>
      <c r="AH87" s="2">
        <f>(EW87)</f>
        <v>0</v>
      </c>
      <c r="AI87" s="2">
        <f>(EX87)</f>
        <v>0</v>
      </c>
      <c r="AJ87" s="2">
        <f t="shared" si="73"/>
        <v>0</v>
      </c>
      <c r="AK87" s="2">
        <v>3358.47</v>
      </c>
      <c r="AL87" s="2">
        <v>3358.47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101</v>
      </c>
      <c r="AU87" s="2">
        <v>55</v>
      </c>
      <c r="AV87" s="2">
        <v>1</v>
      </c>
      <c r="AW87" s="2">
        <v>1</v>
      </c>
      <c r="AZ87" s="2">
        <v>1</v>
      </c>
      <c r="BA87" s="2">
        <v>1</v>
      </c>
      <c r="BB87" s="2">
        <v>1</v>
      </c>
      <c r="BC87" s="2">
        <v>1</v>
      </c>
      <c r="BD87" s="2" t="s">
        <v>3</v>
      </c>
      <c r="BE87" s="2" t="s">
        <v>3</v>
      </c>
      <c r="BF87" s="2" t="s">
        <v>3</v>
      </c>
      <c r="BG87" s="2" t="s">
        <v>3</v>
      </c>
      <c r="BH87" s="2">
        <v>3</v>
      </c>
      <c r="BI87" s="2">
        <v>1</v>
      </c>
      <c r="BJ87" s="2" t="s">
        <v>3</v>
      </c>
      <c r="BM87" s="2">
        <v>15</v>
      </c>
      <c r="BN87" s="2">
        <v>0</v>
      </c>
      <c r="BO87" s="2" t="s">
        <v>3</v>
      </c>
      <c r="BP87" s="2">
        <v>0</v>
      </c>
      <c r="BQ87" s="2">
        <v>30</v>
      </c>
      <c r="BR87" s="2">
        <v>0</v>
      </c>
      <c r="BS87" s="2">
        <v>1</v>
      </c>
      <c r="BT87" s="2">
        <v>1</v>
      </c>
      <c r="BU87" s="2">
        <v>1</v>
      </c>
      <c r="BV87" s="2">
        <v>1</v>
      </c>
      <c r="BW87" s="2">
        <v>1</v>
      </c>
      <c r="BX87" s="2">
        <v>1</v>
      </c>
      <c r="BY87" s="2" t="s">
        <v>3</v>
      </c>
      <c r="BZ87" s="2">
        <v>101</v>
      </c>
      <c r="CA87" s="2">
        <v>55</v>
      </c>
      <c r="CB87" s="2" t="s">
        <v>3</v>
      </c>
      <c r="CE87" s="2">
        <v>1566</v>
      </c>
      <c r="CF87" s="2">
        <v>0</v>
      </c>
      <c r="CG87" s="2">
        <v>0</v>
      </c>
      <c r="CM87" s="2">
        <v>0</v>
      </c>
      <c r="CN87" s="2" t="s">
        <v>520</v>
      </c>
      <c r="CO87" s="2">
        <v>0</v>
      </c>
      <c r="CP87" s="2">
        <f t="shared" si="74"/>
        <v>6045.25</v>
      </c>
      <c r="CQ87" s="2">
        <f t="shared" si="75"/>
        <v>3358.47</v>
      </c>
      <c r="CR87" s="2">
        <f>(ROUND((ROUND(((ET87)*AV87*1),2)*BB87),2)+ROUND((ROUND(((AE87-(EU87))*AV87*1),2)*BS87),2))</f>
        <v>0</v>
      </c>
      <c r="CS87" s="2">
        <f>(ROUND((ROUND(((EU87)*AV87*1),2)*BS87),2)+ROUND((ROUND(((AE87-(EU87))*AV87*1),2)*BS87),2))</f>
        <v>0</v>
      </c>
      <c r="CT87" s="2">
        <f t="shared" si="76"/>
        <v>0</v>
      </c>
      <c r="CU87" s="2">
        <f t="shared" si="77"/>
        <v>0</v>
      </c>
      <c r="CV87" s="2">
        <f t="shared" si="78"/>
        <v>0</v>
      </c>
      <c r="CW87" s="2">
        <f t="shared" si="79"/>
        <v>0</v>
      </c>
      <c r="CX87" s="2">
        <f t="shared" si="80"/>
        <v>0</v>
      </c>
      <c r="CY87" s="2">
        <f>(ROUND((((S87+ROUND((ROUND(((EU87)*AV87*1),2)*BS87),2))*AT87)/100),2)+ROUND(((ROUND((ROUND(((AE87-(EU87))*AV87*1),2)*BS87),2)*AT87)/100),2))</f>
        <v>0</v>
      </c>
      <c r="CZ87" s="2">
        <f>(ROUND((((S87+ROUND((ROUND(((EU87)*AV87*1),2)*BS87),2))*AU87)/100),2)+ROUND(((ROUND((ROUND(((AE87-(EU87))*AV87*1),2)*BS87),2)*AU87)/100),2))</f>
        <v>0</v>
      </c>
      <c r="DC87" s="2" t="s">
        <v>3</v>
      </c>
      <c r="DD87" s="2" t="s">
        <v>3</v>
      </c>
      <c r="DE87" s="2" t="s">
        <v>3</v>
      </c>
      <c r="DF87" s="2" t="s">
        <v>3</v>
      </c>
      <c r="DG87" s="2" t="s">
        <v>3</v>
      </c>
      <c r="DH87" s="2" t="s">
        <v>3</v>
      </c>
      <c r="DI87" s="2" t="s">
        <v>3</v>
      </c>
      <c r="DJ87" s="2" t="s">
        <v>3</v>
      </c>
      <c r="DK87" s="2" t="s">
        <v>3</v>
      </c>
      <c r="DL87" s="2" t="s">
        <v>3</v>
      </c>
      <c r="DM87" s="2" t="s">
        <v>3</v>
      </c>
      <c r="DN87" s="2">
        <v>0</v>
      </c>
      <c r="DO87" s="2">
        <v>0</v>
      </c>
      <c r="DP87" s="2">
        <v>1</v>
      </c>
      <c r="DQ87" s="2">
        <v>1</v>
      </c>
      <c r="DU87" s="2">
        <v>1005</v>
      </c>
      <c r="DV87" s="2" t="s">
        <v>174</v>
      </c>
      <c r="DW87" s="2" t="s">
        <v>174</v>
      </c>
      <c r="DX87" s="2">
        <v>1</v>
      </c>
      <c r="DZ87" s="2" t="s">
        <v>3</v>
      </c>
      <c r="EA87" s="2" t="s">
        <v>3</v>
      </c>
      <c r="EB87" s="2" t="s">
        <v>3</v>
      </c>
      <c r="EC87" s="2" t="s">
        <v>3</v>
      </c>
      <c r="EE87" s="2">
        <v>55896063</v>
      </c>
      <c r="EF87" s="2">
        <v>30</v>
      </c>
      <c r="EG87" s="2" t="s">
        <v>49</v>
      </c>
      <c r="EH87" s="2">
        <v>0</v>
      </c>
      <c r="EI87" s="2" t="s">
        <v>3</v>
      </c>
      <c r="EJ87" s="2">
        <v>1</v>
      </c>
      <c r="EK87" s="2">
        <v>15</v>
      </c>
      <c r="EL87" s="2" t="s">
        <v>137</v>
      </c>
      <c r="EM87" s="2" t="s">
        <v>138</v>
      </c>
      <c r="EO87" s="2" t="s">
        <v>28</v>
      </c>
      <c r="EQ87" s="2">
        <v>1024</v>
      </c>
      <c r="ER87" s="2">
        <v>3358.47</v>
      </c>
      <c r="ES87" s="2">
        <v>3358.47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Z87" s="2">
        <v>5</v>
      </c>
      <c r="FC87" s="2">
        <v>1</v>
      </c>
      <c r="FD87" s="2">
        <v>18</v>
      </c>
      <c r="FF87" s="2">
        <v>3900</v>
      </c>
      <c r="FQ87" s="2">
        <v>0</v>
      </c>
      <c r="FR87" s="2">
        <v>0</v>
      </c>
      <c r="FS87" s="2">
        <v>0</v>
      </c>
      <c r="FX87" s="2">
        <v>101</v>
      </c>
      <c r="FY87" s="2">
        <v>55</v>
      </c>
      <c r="GA87" s="2" t="s">
        <v>175</v>
      </c>
      <c r="GD87" s="2">
        <v>1</v>
      </c>
      <c r="GF87" s="2">
        <v>1148462391</v>
      </c>
      <c r="GG87" s="2">
        <v>2</v>
      </c>
      <c r="GH87" s="2">
        <v>3</v>
      </c>
      <c r="GI87" s="2">
        <v>-2</v>
      </c>
      <c r="GJ87" s="2">
        <v>0</v>
      </c>
      <c r="GK87" s="2">
        <v>0</v>
      </c>
      <c r="GL87" s="2">
        <f t="shared" si="81"/>
        <v>0</v>
      </c>
      <c r="GM87" s="2">
        <f t="shared" si="82"/>
        <v>6045.25</v>
      </c>
      <c r="GN87" s="2">
        <f t="shared" si="83"/>
        <v>6045.25</v>
      </c>
      <c r="GO87" s="2">
        <f t="shared" si="84"/>
        <v>0</v>
      </c>
      <c r="GP87" s="2">
        <f t="shared" si="85"/>
        <v>0</v>
      </c>
      <c r="GR87" s="2">
        <v>1</v>
      </c>
      <c r="GS87" s="2">
        <v>1</v>
      </c>
      <c r="GT87" s="2">
        <v>0</v>
      </c>
      <c r="GU87" s="2" t="s">
        <v>3</v>
      </c>
      <c r="GV87" s="2">
        <f t="shared" si="86"/>
        <v>0</v>
      </c>
      <c r="GW87" s="2">
        <v>1</v>
      </c>
      <c r="GX87" s="2">
        <f t="shared" si="87"/>
        <v>0</v>
      </c>
      <c r="HA87" s="2">
        <v>0</v>
      </c>
      <c r="HB87" s="2">
        <v>0</v>
      </c>
      <c r="HC87" s="2">
        <f t="shared" si="88"/>
        <v>0</v>
      </c>
      <c r="HE87" s="2" t="s">
        <v>34</v>
      </c>
      <c r="HF87" s="2" t="s">
        <v>29</v>
      </c>
      <c r="HM87" s="2" t="s">
        <v>3</v>
      </c>
      <c r="HN87" s="2" t="s">
        <v>3</v>
      </c>
      <c r="HO87" s="2" t="s">
        <v>3</v>
      </c>
      <c r="HP87" s="2" t="s">
        <v>3</v>
      </c>
      <c r="HQ87" s="2" t="s">
        <v>3</v>
      </c>
      <c r="HS87" s="2">
        <v>0</v>
      </c>
      <c r="IK87" s="2">
        <v>0</v>
      </c>
    </row>
    <row r="88" spans="1:245" x14ac:dyDescent="0.2">
      <c r="A88" s="2">
        <v>17</v>
      </c>
      <c r="B88" s="2">
        <v>1</v>
      </c>
      <c r="C88" s="2">
        <f>ROW(SmtRes!A71)</f>
        <v>71</v>
      </c>
      <c r="D88" s="2">
        <f>ROW(EtalonRes!A73)</f>
        <v>73</v>
      </c>
      <c r="E88" s="2" t="s">
        <v>176</v>
      </c>
      <c r="F88" s="2" t="s">
        <v>177</v>
      </c>
      <c r="G88" s="2" t="s">
        <v>178</v>
      </c>
      <c r="H88" s="2" t="s">
        <v>32</v>
      </c>
      <c r="I88" s="2">
        <f>ROUND(16.82/100,9)</f>
        <v>0.16819999999999999</v>
      </c>
      <c r="J88" s="2">
        <v>0</v>
      </c>
      <c r="K88" s="2">
        <f>ROUND(16.82/100,9)</f>
        <v>0.16819999999999999</v>
      </c>
      <c r="O88" s="2">
        <f t="shared" si="62"/>
        <v>4510.46</v>
      </c>
      <c r="P88" s="2">
        <f t="shared" si="63"/>
        <v>32.11</v>
      </c>
      <c r="Q88" s="2">
        <f>(ROUND((ROUND((((ET88*1.15))*AV88*I88),2)*BB88),2)+ROUND((ROUND(((AE88-((EU88*1.15)))*AV88*I88),2)*BS88),2))</f>
        <v>67.239999999999995</v>
      </c>
      <c r="R88" s="2">
        <f>(ROUND((ROUND((((EU88*1.15))*AV88*I88),2)*BS88),2)+ROUND((ROUND(((AE88-((EU88*1.15)))*AV88*I88),2)*BS88),2))</f>
        <v>34.799999999999997</v>
      </c>
      <c r="S88" s="2">
        <f t="shared" si="64"/>
        <v>4411.1099999999997</v>
      </c>
      <c r="T88" s="2">
        <f t="shared" si="65"/>
        <v>0</v>
      </c>
      <c r="U88" s="2">
        <f t="shared" si="66"/>
        <v>5.0930118999999987</v>
      </c>
      <c r="V88" s="2">
        <f t="shared" si="67"/>
        <v>0</v>
      </c>
      <c r="W88" s="2">
        <f t="shared" si="68"/>
        <v>0</v>
      </c>
      <c r="X88" s="2">
        <f>(ROUND((((S88+ROUND((ROUND((((EU88*1.15))*AV88*I88),2)*BS88),2))*AT88)/100),2)+ROUND(((ROUND((ROUND(((AE88-((EU88*1.15)))*AV88*I88),2)*BS88),2)*AT88)/100),2))</f>
        <v>4490.37</v>
      </c>
      <c r="Y88" s="2">
        <f>(ROUND((((S88+ROUND((ROUND((((EU88*1.15))*AV88*I88),2)*BS88),2))*AU88)/100),2)+ROUND(((ROUND((ROUND(((AE88-((EU88*1.15)))*AV88*I88),2)*BS88),2)*AU88)/100),2))</f>
        <v>2445.25</v>
      </c>
      <c r="AA88" s="2">
        <v>56793366</v>
      </c>
      <c r="AB88" s="2">
        <f t="shared" si="69"/>
        <v>506.14299999999997</v>
      </c>
      <c r="AC88" s="2">
        <f>ROUND(((ES88*1)),6)</f>
        <v>25.65</v>
      </c>
      <c r="AD88" s="2">
        <f>ROUND(((((ET88*1.15))-((EU88*1.15)))+AE88),6)</f>
        <v>20.815000000000001</v>
      </c>
      <c r="AE88" s="2">
        <f>ROUND(((EU88*1.15)),6)</f>
        <v>3.6339999999999999</v>
      </c>
      <c r="AF88" s="2">
        <f>ROUND(((EV88*1.15)),6)</f>
        <v>459.678</v>
      </c>
      <c r="AG88" s="2">
        <f t="shared" si="71"/>
        <v>0</v>
      </c>
      <c r="AH88" s="2">
        <f>((EW88*1.15))</f>
        <v>30.279499999999995</v>
      </c>
      <c r="AI88" s="2">
        <f>((EX88*1.15))</f>
        <v>0</v>
      </c>
      <c r="AJ88" s="2">
        <f t="shared" si="73"/>
        <v>0</v>
      </c>
      <c r="AK88" s="2">
        <v>443.47</v>
      </c>
      <c r="AL88" s="2">
        <v>25.65</v>
      </c>
      <c r="AM88" s="2">
        <v>18.100000000000001</v>
      </c>
      <c r="AN88" s="2">
        <v>3.16</v>
      </c>
      <c r="AO88" s="2">
        <v>399.72</v>
      </c>
      <c r="AP88" s="2">
        <v>0</v>
      </c>
      <c r="AQ88" s="2">
        <v>26.33</v>
      </c>
      <c r="AR88" s="2">
        <v>0</v>
      </c>
      <c r="AS88" s="2">
        <v>0</v>
      </c>
      <c r="AT88" s="2">
        <v>101</v>
      </c>
      <c r="AU88" s="2">
        <v>55</v>
      </c>
      <c r="AV88" s="2">
        <v>1</v>
      </c>
      <c r="AW88" s="2">
        <v>1</v>
      </c>
      <c r="AZ88" s="2">
        <v>1</v>
      </c>
      <c r="BA88" s="2">
        <v>57.05</v>
      </c>
      <c r="BB88" s="2">
        <v>19.21</v>
      </c>
      <c r="BC88" s="2">
        <v>7.45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0</v>
      </c>
      <c r="BI88" s="2">
        <v>1</v>
      </c>
      <c r="BJ88" s="2" t="s">
        <v>179</v>
      </c>
      <c r="BM88" s="2">
        <v>57</v>
      </c>
      <c r="BN88" s="2">
        <v>0</v>
      </c>
      <c r="BO88" s="2" t="s">
        <v>177</v>
      </c>
      <c r="BP88" s="2">
        <v>1</v>
      </c>
      <c r="BQ88" s="2">
        <v>30</v>
      </c>
      <c r="BR88" s="2">
        <v>0</v>
      </c>
      <c r="BS88" s="2">
        <v>57.05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101</v>
      </c>
      <c r="CA88" s="2">
        <v>55</v>
      </c>
      <c r="CB88" s="2" t="s">
        <v>3</v>
      </c>
      <c r="CE88" s="2">
        <v>1566</v>
      </c>
      <c r="CF88" s="2">
        <v>0</v>
      </c>
      <c r="CG88" s="2">
        <v>0</v>
      </c>
      <c r="CM88" s="2">
        <v>0</v>
      </c>
      <c r="CN88" s="2" t="s">
        <v>518</v>
      </c>
      <c r="CO88" s="2">
        <v>0</v>
      </c>
      <c r="CP88" s="2">
        <f t="shared" si="74"/>
        <v>4510.46</v>
      </c>
      <c r="CQ88" s="2">
        <f t="shared" si="75"/>
        <v>191.09</v>
      </c>
      <c r="CR88" s="2">
        <f>(ROUND((ROUND((((ET88*1.15))*AV88*1),2)*BB88),2)+ROUND((ROUND(((AE88-((EU88*1.15)))*AV88*1),2)*BS88),2))</f>
        <v>399.95</v>
      </c>
      <c r="CS88" s="2">
        <f>(ROUND((ROUND((((EU88*1.15))*AV88*1),2)*BS88),2)+ROUND((ROUND(((AE88-((EU88*1.15)))*AV88*1),2)*BS88),2))</f>
        <v>207.09</v>
      </c>
      <c r="CT88" s="2">
        <f t="shared" si="76"/>
        <v>26224.74</v>
      </c>
      <c r="CU88" s="2">
        <f t="shared" si="77"/>
        <v>0</v>
      </c>
      <c r="CV88" s="2">
        <f t="shared" si="78"/>
        <v>30.279499999999995</v>
      </c>
      <c r="CW88" s="2">
        <f t="shared" si="79"/>
        <v>0</v>
      </c>
      <c r="CX88" s="2">
        <f t="shared" si="80"/>
        <v>0</v>
      </c>
      <c r="CY88" s="2">
        <f>(ROUND((((S88+ROUND((ROUND((((EU88*1.15))*AV88*1),2)*BS88),2))*AT88)/100),2)+ROUND(((ROUND((ROUND(((AE88-((EU88*1.15)))*AV88*1),2)*BS88),2)*AT88)/100),2))</f>
        <v>4664.38</v>
      </c>
      <c r="CZ88" s="2">
        <f>(ROUND((((S88+ROUND((ROUND((((EU88*1.15))*AV88*1),2)*BS88),2))*AU88)/100),2)+ROUND(((ROUND((ROUND(((AE88-((EU88*1.15)))*AV88*1),2)*BS88),2)*AU88)/100),2))</f>
        <v>2540.0100000000002</v>
      </c>
      <c r="DB88" s="2">
        <v>4</v>
      </c>
      <c r="DC88" s="2" t="s">
        <v>3</v>
      </c>
      <c r="DD88" s="2" t="s">
        <v>24</v>
      </c>
      <c r="DE88" s="2" t="s">
        <v>48</v>
      </c>
      <c r="DF88" s="2" t="s">
        <v>48</v>
      </c>
      <c r="DG88" s="2" t="s">
        <v>48</v>
      </c>
      <c r="DH88" s="2" t="s">
        <v>3</v>
      </c>
      <c r="DI88" s="2" t="s">
        <v>48</v>
      </c>
      <c r="DJ88" s="2" t="s">
        <v>48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</v>
      </c>
      <c r="DQ88" s="2">
        <v>1</v>
      </c>
      <c r="DU88" s="2">
        <v>1005</v>
      </c>
      <c r="DV88" s="2" t="s">
        <v>32</v>
      </c>
      <c r="DW88" s="2" t="s">
        <v>32</v>
      </c>
      <c r="DX88" s="2">
        <v>100</v>
      </c>
      <c r="DZ88" s="2" t="s">
        <v>3</v>
      </c>
      <c r="EA88" s="2" t="s">
        <v>3</v>
      </c>
      <c r="EB88" s="2" t="s">
        <v>3</v>
      </c>
      <c r="EC88" s="2" t="s">
        <v>3</v>
      </c>
      <c r="EE88" s="2">
        <v>55896134</v>
      </c>
      <c r="EF88" s="2">
        <v>30</v>
      </c>
      <c r="EG88" s="2" t="s">
        <v>49</v>
      </c>
      <c r="EH88" s="2">
        <v>0</v>
      </c>
      <c r="EI88" s="2" t="s">
        <v>3</v>
      </c>
      <c r="EJ88" s="2">
        <v>1</v>
      </c>
      <c r="EK88" s="2">
        <v>57</v>
      </c>
      <c r="EL88" s="2" t="s">
        <v>180</v>
      </c>
      <c r="EM88" s="2" t="s">
        <v>181</v>
      </c>
      <c r="EO88" s="2" t="s">
        <v>28</v>
      </c>
      <c r="EQ88" s="2">
        <v>0</v>
      </c>
      <c r="ER88" s="2">
        <v>443.47</v>
      </c>
      <c r="ES88" s="2">
        <v>25.65</v>
      </c>
      <c r="ET88" s="2">
        <v>18.100000000000001</v>
      </c>
      <c r="EU88" s="2">
        <v>3.16</v>
      </c>
      <c r="EV88" s="2">
        <v>399.72</v>
      </c>
      <c r="EW88" s="2">
        <v>26.33</v>
      </c>
      <c r="EX88" s="2">
        <v>0</v>
      </c>
      <c r="EY88" s="2">
        <v>0</v>
      </c>
      <c r="FQ88" s="2">
        <v>0</v>
      </c>
      <c r="FR88" s="2">
        <v>0</v>
      </c>
      <c r="FS88" s="2">
        <v>0</v>
      </c>
      <c r="FX88" s="2">
        <v>101</v>
      </c>
      <c r="FY88" s="2">
        <v>55</v>
      </c>
      <c r="GA88" s="2" t="s">
        <v>3</v>
      </c>
      <c r="GD88" s="2">
        <v>1</v>
      </c>
      <c r="GF88" s="2">
        <v>1224257781</v>
      </c>
      <c r="GG88" s="2">
        <v>2</v>
      </c>
      <c r="GH88" s="2">
        <v>1</v>
      </c>
      <c r="GI88" s="2">
        <v>2</v>
      </c>
      <c r="GJ88" s="2">
        <v>0</v>
      </c>
      <c r="GK88" s="2">
        <v>0</v>
      </c>
      <c r="GL88" s="2">
        <f t="shared" si="81"/>
        <v>0</v>
      </c>
      <c r="GM88" s="2">
        <f t="shared" si="82"/>
        <v>11446.08</v>
      </c>
      <c r="GN88" s="2">
        <f t="shared" si="83"/>
        <v>11446.08</v>
      </c>
      <c r="GO88" s="2">
        <f t="shared" si="84"/>
        <v>0</v>
      </c>
      <c r="GP88" s="2">
        <f t="shared" si="85"/>
        <v>0</v>
      </c>
      <c r="GR88" s="2">
        <v>0</v>
      </c>
      <c r="GS88" s="2">
        <v>3</v>
      </c>
      <c r="GT88" s="2">
        <v>0</v>
      </c>
      <c r="GU88" s="2" t="s">
        <v>3</v>
      </c>
      <c r="GV88" s="2">
        <f t="shared" si="86"/>
        <v>0</v>
      </c>
      <c r="GW88" s="2">
        <v>1</v>
      </c>
      <c r="GX88" s="2">
        <f t="shared" si="87"/>
        <v>0</v>
      </c>
      <c r="HA88" s="2">
        <v>0</v>
      </c>
      <c r="HB88" s="2">
        <v>0</v>
      </c>
      <c r="HC88" s="2">
        <f t="shared" si="88"/>
        <v>0</v>
      </c>
      <c r="HE88" s="2" t="s">
        <v>3</v>
      </c>
      <c r="HF88" s="2" t="s">
        <v>3</v>
      </c>
      <c r="HM88" s="2" t="s">
        <v>3</v>
      </c>
      <c r="HN88" s="2" t="s">
        <v>3</v>
      </c>
      <c r="HO88" s="2" t="s">
        <v>3</v>
      </c>
      <c r="HP88" s="2" t="s">
        <v>3</v>
      </c>
      <c r="HQ88" s="2" t="s">
        <v>3</v>
      </c>
      <c r="HS88" s="2">
        <v>0</v>
      </c>
      <c r="IK88" s="2">
        <v>0</v>
      </c>
    </row>
    <row r="89" spans="1:245" x14ac:dyDescent="0.2">
      <c r="A89" s="2">
        <v>17</v>
      </c>
      <c r="B89" s="2">
        <v>1</v>
      </c>
      <c r="C89" s="2">
        <f>ROW(SmtRes!A81)</f>
        <v>81</v>
      </c>
      <c r="D89" s="2">
        <f>ROW(EtalonRes!A81)</f>
        <v>81</v>
      </c>
      <c r="E89" s="2" t="s">
        <v>182</v>
      </c>
      <c r="F89" s="2" t="s">
        <v>183</v>
      </c>
      <c r="G89" s="2" t="s">
        <v>184</v>
      </c>
      <c r="H89" s="2" t="s">
        <v>119</v>
      </c>
      <c r="I89" s="2">
        <f>ROUND(17.4/100,9)</f>
        <v>0.17399999999999999</v>
      </c>
      <c r="J89" s="2">
        <v>0</v>
      </c>
      <c r="K89" s="2">
        <f>ROUND(17.4/100,9)</f>
        <v>0.17399999999999999</v>
      </c>
      <c r="O89" s="2">
        <f t="shared" si="62"/>
        <v>981.55</v>
      </c>
      <c r="P89" s="2">
        <f t="shared" si="63"/>
        <v>52.36</v>
      </c>
      <c r="Q89" s="2">
        <f>(ROUND((ROUND((((ET89*1.15))*AV89*I89),2)*BB89),2)+ROUND((ROUND(((AE89-((EU89*1.15)))*AV89*I89),2)*BS89),2))</f>
        <v>13.54</v>
      </c>
      <c r="R89" s="2">
        <f>(ROUND((ROUND((((EU89*1.15))*AV89*I89),2)*BS89),2)+ROUND((ROUND(((AE89-((EU89*1.15)))*AV89*I89),2)*BS89),2))</f>
        <v>4.5599999999999996</v>
      </c>
      <c r="S89" s="2">
        <f t="shared" si="64"/>
        <v>915.65</v>
      </c>
      <c r="T89" s="2">
        <f t="shared" si="65"/>
        <v>0</v>
      </c>
      <c r="U89" s="2">
        <f t="shared" si="66"/>
        <v>1.3326659999999999</v>
      </c>
      <c r="V89" s="2">
        <f t="shared" si="67"/>
        <v>0</v>
      </c>
      <c r="W89" s="2">
        <f t="shared" si="68"/>
        <v>0</v>
      </c>
      <c r="X89" s="2">
        <f>(ROUND((((S89+ROUND((ROUND((((EU89*1.15))*AV89*I89),2)*BS89),2))*AT89)/100),2)+ROUND(((ROUND((ROUND(((AE89-((EU89*1.15)))*AV89*I89),2)*BS89),2)*AT89)/100),2))</f>
        <v>929.41</v>
      </c>
      <c r="Y89" s="2">
        <f>(ROUND((((S89+ROUND((ROUND((((EU89*1.15))*AV89*I89),2)*BS89),2))*AU89)/100),2)+ROUND(((ROUND((ROUND(((AE89-((EU89*1.15)))*AV89*I89),2)*BS89),2)*AU89)/100),2))</f>
        <v>506.12</v>
      </c>
      <c r="AA89" s="2">
        <v>56793366</v>
      </c>
      <c r="AB89" s="2">
        <f t="shared" si="69"/>
        <v>294.04349999999999</v>
      </c>
      <c r="AC89" s="2">
        <f>ROUND(((ES89*1)),6)</f>
        <v>196.65</v>
      </c>
      <c r="AD89" s="2">
        <f>ROUND(((((ET89*1.15))-((EU89*1.15)))+AE89),6)</f>
        <v>5.1749999999999998</v>
      </c>
      <c r="AE89" s="2">
        <f>ROUND(((EU89*1.15)),6)</f>
        <v>0.437</v>
      </c>
      <c r="AF89" s="2">
        <f>ROUND(((EV89*1.15)),6)</f>
        <v>92.218500000000006</v>
      </c>
      <c r="AG89" s="2">
        <f t="shared" si="71"/>
        <v>0</v>
      </c>
      <c r="AH89" s="2">
        <f>((EW89*1.15))</f>
        <v>7.6589999999999998</v>
      </c>
      <c r="AI89" s="2">
        <f>((EX89*1.15))</f>
        <v>0</v>
      </c>
      <c r="AJ89" s="2">
        <f t="shared" si="73"/>
        <v>0</v>
      </c>
      <c r="AK89" s="2">
        <v>281.33999999999997</v>
      </c>
      <c r="AL89" s="2">
        <v>196.65</v>
      </c>
      <c r="AM89" s="2">
        <v>4.5</v>
      </c>
      <c r="AN89" s="2">
        <v>0.38</v>
      </c>
      <c r="AO89" s="2">
        <v>80.19</v>
      </c>
      <c r="AP89" s="2">
        <v>0</v>
      </c>
      <c r="AQ89" s="2">
        <v>6.66</v>
      </c>
      <c r="AR89" s="2">
        <v>0</v>
      </c>
      <c r="AS89" s="2">
        <v>0</v>
      </c>
      <c r="AT89" s="2">
        <v>101</v>
      </c>
      <c r="AU89" s="2">
        <v>55</v>
      </c>
      <c r="AV89" s="2">
        <v>1</v>
      </c>
      <c r="AW89" s="2">
        <v>1</v>
      </c>
      <c r="AZ89" s="2">
        <v>1</v>
      </c>
      <c r="BA89" s="2">
        <v>57.05</v>
      </c>
      <c r="BB89" s="2">
        <v>15.04</v>
      </c>
      <c r="BC89" s="2">
        <v>1.53</v>
      </c>
      <c r="BD89" s="2" t="s">
        <v>3</v>
      </c>
      <c r="BE89" s="2" t="s">
        <v>3</v>
      </c>
      <c r="BF89" s="2" t="s">
        <v>3</v>
      </c>
      <c r="BG89" s="2" t="s">
        <v>3</v>
      </c>
      <c r="BH89" s="2">
        <v>0</v>
      </c>
      <c r="BI89" s="2">
        <v>1</v>
      </c>
      <c r="BJ89" s="2" t="s">
        <v>185</v>
      </c>
      <c r="BM89" s="2">
        <v>15</v>
      </c>
      <c r="BN89" s="2">
        <v>0</v>
      </c>
      <c r="BO89" s="2" t="s">
        <v>183</v>
      </c>
      <c r="BP89" s="2">
        <v>1</v>
      </c>
      <c r="BQ89" s="2">
        <v>30</v>
      </c>
      <c r="BR89" s="2">
        <v>0</v>
      </c>
      <c r="BS89" s="2">
        <v>57.05</v>
      </c>
      <c r="BT89" s="2">
        <v>1</v>
      </c>
      <c r="BU89" s="2">
        <v>1</v>
      </c>
      <c r="BV89" s="2">
        <v>1</v>
      </c>
      <c r="BW89" s="2">
        <v>1</v>
      </c>
      <c r="BX89" s="2">
        <v>1</v>
      </c>
      <c r="BY89" s="2" t="s">
        <v>3</v>
      </c>
      <c r="BZ89" s="2">
        <v>101</v>
      </c>
      <c r="CA89" s="2">
        <v>55</v>
      </c>
      <c r="CB89" s="2" t="s">
        <v>3</v>
      </c>
      <c r="CE89" s="2">
        <v>1566</v>
      </c>
      <c r="CF89" s="2">
        <v>0</v>
      </c>
      <c r="CG89" s="2">
        <v>0</v>
      </c>
      <c r="CM89" s="2">
        <v>0</v>
      </c>
      <c r="CN89" s="2" t="s">
        <v>518</v>
      </c>
      <c r="CO89" s="2">
        <v>0</v>
      </c>
      <c r="CP89" s="2">
        <f t="shared" si="74"/>
        <v>981.55</v>
      </c>
      <c r="CQ89" s="2">
        <f t="shared" si="75"/>
        <v>300.87</v>
      </c>
      <c r="CR89" s="2">
        <f>(ROUND((ROUND((((ET89*1.15))*AV89*1),2)*BB89),2)+ROUND((ROUND(((AE89-((EU89*1.15)))*AV89*1),2)*BS89),2))</f>
        <v>77.91</v>
      </c>
      <c r="CS89" s="2">
        <f>(ROUND((ROUND((((EU89*1.15))*AV89*1),2)*BS89),2)+ROUND((ROUND(((AE89-((EU89*1.15)))*AV89*1),2)*BS89),2))</f>
        <v>25.1</v>
      </c>
      <c r="CT89" s="2">
        <f t="shared" si="76"/>
        <v>5261.15</v>
      </c>
      <c r="CU89" s="2">
        <f t="shared" si="77"/>
        <v>0</v>
      </c>
      <c r="CV89" s="2">
        <f t="shared" si="78"/>
        <v>7.6589999999999998</v>
      </c>
      <c r="CW89" s="2">
        <f t="shared" si="79"/>
        <v>0</v>
      </c>
      <c r="CX89" s="2">
        <f t="shared" si="80"/>
        <v>0</v>
      </c>
      <c r="CY89" s="2">
        <f>(ROUND((((S89+ROUND((ROUND((((EU89*1.15))*AV89*1),2)*BS89),2))*AT89)/100),2)+ROUND(((ROUND((ROUND(((AE89-((EU89*1.15)))*AV89*1),2)*BS89),2)*AT89)/100),2))</f>
        <v>950.16</v>
      </c>
      <c r="CZ89" s="2">
        <f>(ROUND((((S89+ROUND((ROUND((((EU89*1.15))*AV89*1),2)*BS89),2))*AU89)/100),2)+ROUND(((ROUND((ROUND(((AE89-((EU89*1.15)))*AV89*1),2)*BS89),2)*AU89)/100),2))</f>
        <v>517.41</v>
      </c>
      <c r="DB89" s="2">
        <v>5</v>
      </c>
      <c r="DC89" s="2" t="s">
        <v>3</v>
      </c>
      <c r="DD89" s="2" t="s">
        <v>24</v>
      </c>
      <c r="DE89" s="2" t="s">
        <v>48</v>
      </c>
      <c r="DF89" s="2" t="s">
        <v>48</v>
      </c>
      <c r="DG89" s="2" t="s">
        <v>48</v>
      </c>
      <c r="DH89" s="2" t="s">
        <v>3</v>
      </c>
      <c r="DI89" s="2" t="s">
        <v>48</v>
      </c>
      <c r="DJ89" s="2" t="s">
        <v>48</v>
      </c>
      <c r="DK89" s="2" t="s">
        <v>3</v>
      </c>
      <c r="DL89" s="2" t="s">
        <v>3</v>
      </c>
      <c r="DM89" s="2" t="s">
        <v>3</v>
      </c>
      <c r="DN89" s="2">
        <v>0</v>
      </c>
      <c r="DO89" s="2">
        <v>0</v>
      </c>
      <c r="DP89" s="2">
        <v>1</v>
      </c>
      <c r="DQ89" s="2">
        <v>1</v>
      </c>
      <c r="DU89" s="2">
        <v>1013</v>
      </c>
      <c r="DV89" s="2" t="s">
        <v>119</v>
      </c>
      <c r="DW89" s="2" t="s">
        <v>119</v>
      </c>
      <c r="DX89" s="2">
        <v>1</v>
      </c>
      <c r="DZ89" s="2" t="s">
        <v>3</v>
      </c>
      <c r="EA89" s="2" t="s">
        <v>3</v>
      </c>
      <c r="EB89" s="2" t="s">
        <v>3</v>
      </c>
      <c r="EC89" s="2" t="s">
        <v>3</v>
      </c>
      <c r="EE89" s="2">
        <v>55896063</v>
      </c>
      <c r="EF89" s="2">
        <v>30</v>
      </c>
      <c r="EG89" s="2" t="s">
        <v>49</v>
      </c>
      <c r="EH89" s="2">
        <v>0</v>
      </c>
      <c r="EI89" s="2" t="s">
        <v>3</v>
      </c>
      <c r="EJ89" s="2">
        <v>1</v>
      </c>
      <c r="EK89" s="2">
        <v>15</v>
      </c>
      <c r="EL89" s="2" t="s">
        <v>137</v>
      </c>
      <c r="EM89" s="2" t="s">
        <v>138</v>
      </c>
      <c r="EO89" s="2" t="s">
        <v>28</v>
      </c>
      <c r="EQ89" s="2">
        <v>0</v>
      </c>
      <c r="ER89" s="2">
        <v>281.33999999999997</v>
      </c>
      <c r="ES89" s="2">
        <v>196.65</v>
      </c>
      <c r="ET89" s="2">
        <v>4.5</v>
      </c>
      <c r="EU89" s="2">
        <v>0.38</v>
      </c>
      <c r="EV89" s="2">
        <v>80.19</v>
      </c>
      <c r="EW89" s="2">
        <v>6.66</v>
      </c>
      <c r="EX89" s="2">
        <v>0</v>
      </c>
      <c r="EY89" s="2">
        <v>0</v>
      </c>
      <c r="FQ89" s="2">
        <v>0</v>
      </c>
      <c r="FR89" s="2">
        <v>0</v>
      </c>
      <c r="FS89" s="2">
        <v>0</v>
      </c>
      <c r="FX89" s="2">
        <v>101</v>
      </c>
      <c r="FY89" s="2">
        <v>55</v>
      </c>
      <c r="GA89" s="2" t="s">
        <v>3</v>
      </c>
      <c r="GD89" s="2">
        <v>1</v>
      </c>
      <c r="GF89" s="2">
        <v>-18354148</v>
      </c>
      <c r="GG89" s="2">
        <v>2</v>
      </c>
      <c r="GH89" s="2">
        <v>1</v>
      </c>
      <c r="GI89" s="2">
        <v>2</v>
      </c>
      <c r="GJ89" s="2">
        <v>0</v>
      </c>
      <c r="GK89" s="2">
        <v>0</v>
      </c>
      <c r="GL89" s="2">
        <f t="shared" si="81"/>
        <v>0</v>
      </c>
      <c r="GM89" s="2">
        <f t="shared" si="82"/>
        <v>2417.08</v>
      </c>
      <c r="GN89" s="2">
        <f t="shared" si="83"/>
        <v>2417.08</v>
      </c>
      <c r="GO89" s="2">
        <f t="shared" si="84"/>
        <v>0</v>
      </c>
      <c r="GP89" s="2">
        <f t="shared" si="85"/>
        <v>0</v>
      </c>
      <c r="GR89" s="2">
        <v>0</v>
      </c>
      <c r="GS89" s="2">
        <v>3</v>
      </c>
      <c r="GT89" s="2">
        <v>0</v>
      </c>
      <c r="GU89" s="2" t="s">
        <v>3</v>
      </c>
      <c r="GV89" s="2">
        <f t="shared" si="86"/>
        <v>0</v>
      </c>
      <c r="GW89" s="2">
        <v>1</v>
      </c>
      <c r="GX89" s="2">
        <f t="shared" si="87"/>
        <v>0</v>
      </c>
      <c r="HA89" s="2">
        <v>0</v>
      </c>
      <c r="HB89" s="2">
        <v>0</v>
      </c>
      <c r="HC89" s="2">
        <f t="shared" si="88"/>
        <v>0</v>
      </c>
      <c r="HE89" s="2" t="s">
        <v>3</v>
      </c>
      <c r="HF89" s="2" t="s">
        <v>3</v>
      </c>
      <c r="HM89" s="2" t="s">
        <v>3</v>
      </c>
      <c r="HN89" s="2" t="s">
        <v>3</v>
      </c>
      <c r="HO89" s="2" t="s">
        <v>3</v>
      </c>
      <c r="HP89" s="2" t="s">
        <v>3</v>
      </c>
      <c r="HQ89" s="2" t="s">
        <v>3</v>
      </c>
      <c r="HS89" s="2">
        <v>0</v>
      </c>
      <c r="IK89" s="2">
        <v>0</v>
      </c>
    </row>
    <row r="90" spans="1:245" x14ac:dyDescent="0.2">
      <c r="A90" s="2">
        <v>18</v>
      </c>
      <c r="B90" s="2">
        <v>1</v>
      </c>
      <c r="C90" s="2">
        <v>79</v>
      </c>
      <c r="E90" s="2" t="s">
        <v>186</v>
      </c>
      <c r="F90" s="2" t="s">
        <v>187</v>
      </c>
      <c r="G90" s="2" t="s">
        <v>188</v>
      </c>
      <c r="H90" s="2" t="s">
        <v>22</v>
      </c>
      <c r="I90" s="2">
        <f>I89*J90</f>
        <v>6</v>
      </c>
      <c r="J90" s="2">
        <v>34.482758620689658</v>
      </c>
      <c r="K90" s="2">
        <v>34.482759000000001</v>
      </c>
      <c r="O90" s="2">
        <f t="shared" si="62"/>
        <v>4319.21</v>
      </c>
      <c r="P90" s="2">
        <f t="shared" si="63"/>
        <v>4319.21</v>
      </c>
      <c r="Q90" s="2">
        <f>(ROUND((ROUND(((ET90)*AV90*I90),2)*BB90),2)+ROUND((ROUND(((AE90-(EU90))*AV90*I90),2)*BS90),2))</f>
        <v>0</v>
      </c>
      <c r="R90" s="2">
        <f>(ROUND((ROUND(((EU90)*AV90*I90),2)*BS90),2)+ROUND((ROUND(((AE90-(EU90))*AV90*I90),2)*BS90),2))</f>
        <v>0</v>
      </c>
      <c r="S90" s="2">
        <f t="shared" si="64"/>
        <v>0</v>
      </c>
      <c r="T90" s="2">
        <f t="shared" si="65"/>
        <v>0</v>
      </c>
      <c r="U90" s="2">
        <f t="shared" si="66"/>
        <v>0</v>
      </c>
      <c r="V90" s="2">
        <f t="shared" si="67"/>
        <v>0</v>
      </c>
      <c r="W90" s="2">
        <f t="shared" si="68"/>
        <v>0</v>
      </c>
      <c r="X90" s="2">
        <f>(ROUND((((S90+ROUND((ROUND(((EU90)*AV90*I90),2)*BS90),2))*AT90)/100),2)+ROUND(((ROUND((ROUND(((AE90-(EU90))*AV90*I90),2)*BS90),2)*AT90)/100),2))</f>
        <v>0</v>
      </c>
      <c r="Y90" s="2">
        <f>(ROUND((((S90+ROUND((ROUND(((EU90)*AV90*I90),2)*BS90),2))*AU90)/100),2)+ROUND(((ROUND((ROUND(((AE90-(EU90))*AV90*I90),2)*BS90),2)*AU90)/100),2))</f>
        <v>0</v>
      </c>
      <c r="AA90" s="2">
        <v>56793366</v>
      </c>
      <c r="AB90" s="2">
        <f t="shared" si="69"/>
        <v>153.49</v>
      </c>
      <c r="AC90" s="2">
        <f>ROUND((ES90),6)</f>
        <v>153.49</v>
      </c>
      <c r="AD90" s="2">
        <f>ROUND((((ET90)-(EU90))+AE90),6)</f>
        <v>0</v>
      </c>
      <c r="AE90" s="2">
        <f t="shared" ref="AE90:AF93" si="92">ROUND((EU90),6)</f>
        <v>0</v>
      </c>
      <c r="AF90" s="2">
        <f t="shared" si="92"/>
        <v>0</v>
      </c>
      <c r="AG90" s="2">
        <f t="shared" si="71"/>
        <v>0</v>
      </c>
      <c r="AH90" s="2">
        <f t="shared" ref="AH90:AI93" si="93">(EW90)</f>
        <v>0</v>
      </c>
      <c r="AI90" s="2">
        <f t="shared" si="93"/>
        <v>0</v>
      </c>
      <c r="AJ90" s="2">
        <f t="shared" si="73"/>
        <v>0</v>
      </c>
      <c r="AK90" s="2">
        <v>153.49</v>
      </c>
      <c r="AL90" s="2">
        <v>153.49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101</v>
      </c>
      <c r="AU90" s="2">
        <v>55</v>
      </c>
      <c r="AV90" s="2">
        <v>1</v>
      </c>
      <c r="AW90" s="2">
        <v>1</v>
      </c>
      <c r="AZ90" s="2">
        <v>1</v>
      </c>
      <c r="BA90" s="2">
        <v>1</v>
      </c>
      <c r="BB90" s="2">
        <v>1</v>
      </c>
      <c r="BC90" s="2">
        <v>4.6900000000000004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1</v>
      </c>
      <c r="BJ90" s="2" t="s">
        <v>189</v>
      </c>
      <c r="BM90" s="2">
        <v>15</v>
      </c>
      <c r="BN90" s="2">
        <v>0</v>
      </c>
      <c r="BO90" s="2" t="s">
        <v>187</v>
      </c>
      <c r="BP90" s="2">
        <v>1</v>
      </c>
      <c r="BQ90" s="2">
        <v>30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101</v>
      </c>
      <c r="CA90" s="2">
        <v>55</v>
      </c>
      <c r="CB90" s="2" t="s">
        <v>3</v>
      </c>
      <c r="CE90" s="2">
        <v>1566</v>
      </c>
      <c r="CF90" s="2">
        <v>0</v>
      </c>
      <c r="CG90" s="2">
        <v>0</v>
      </c>
      <c r="CM90" s="2">
        <v>0</v>
      </c>
      <c r="CN90" s="2" t="s">
        <v>520</v>
      </c>
      <c r="CO90" s="2">
        <v>0</v>
      </c>
      <c r="CP90" s="2">
        <f t="shared" si="74"/>
        <v>4319.21</v>
      </c>
      <c r="CQ90" s="2">
        <f t="shared" si="75"/>
        <v>719.87</v>
      </c>
      <c r="CR90" s="2">
        <f>(ROUND((ROUND(((ET90)*AV90*1),2)*BB90),2)+ROUND((ROUND(((AE90-(EU90))*AV90*1),2)*BS90),2))</f>
        <v>0</v>
      </c>
      <c r="CS90" s="2">
        <f>(ROUND((ROUND(((EU90)*AV90*1),2)*BS90),2)+ROUND((ROUND(((AE90-(EU90))*AV90*1),2)*BS90),2))</f>
        <v>0</v>
      </c>
      <c r="CT90" s="2">
        <f t="shared" si="76"/>
        <v>0</v>
      </c>
      <c r="CU90" s="2">
        <f t="shared" si="77"/>
        <v>0</v>
      </c>
      <c r="CV90" s="2">
        <f t="shared" si="78"/>
        <v>0</v>
      </c>
      <c r="CW90" s="2">
        <f t="shared" si="79"/>
        <v>0</v>
      </c>
      <c r="CX90" s="2">
        <f t="shared" si="80"/>
        <v>0</v>
      </c>
      <c r="CY90" s="2">
        <f>(ROUND((((S90+ROUND((ROUND(((EU90)*AV90*1),2)*BS90),2))*AT90)/100),2)+ROUND(((ROUND((ROUND(((AE90-(EU90))*AV90*1),2)*BS90),2)*AT90)/100),2))</f>
        <v>0</v>
      </c>
      <c r="CZ90" s="2">
        <f>(ROUND((((S90+ROUND((ROUND(((EU90)*AV90*1),2)*BS90),2))*AU90)/100),2)+ROUND(((ROUND((ROUND(((AE90-(EU90))*AV90*1),2)*BS90),2)*AU90)/100),2))</f>
        <v>0</v>
      </c>
      <c r="DC90" s="2" t="s">
        <v>3</v>
      </c>
      <c r="DD90" s="2" t="s">
        <v>3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U90" s="2">
        <v>1010</v>
      </c>
      <c r="DV90" s="2" t="s">
        <v>22</v>
      </c>
      <c r="DW90" s="2" t="s">
        <v>22</v>
      </c>
      <c r="DX90" s="2">
        <v>100</v>
      </c>
      <c r="DZ90" s="2" t="s">
        <v>3</v>
      </c>
      <c r="EA90" s="2" t="s">
        <v>3</v>
      </c>
      <c r="EB90" s="2" t="s">
        <v>3</v>
      </c>
      <c r="EC90" s="2" t="s">
        <v>3</v>
      </c>
      <c r="EE90" s="2">
        <v>55896063</v>
      </c>
      <c r="EF90" s="2">
        <v>30</v>
      </c>
      <c r="EG90" s="2" t="s">
        <v>49</v>
      </c>
      <c r="EH90" s="2">
        <v>0</v>
      </c>
      <c r="EI90" s="2" t="s">
        <v>3</v>
      </c>
      <c r="EJ90" s="2">
        <v>1</v>
      </c>
      <c r="EK90" s="2">
        <v>15</v>
      </c>
      <c r="EL90" s="2" t="s">
        <v>137</v>
      </c>
      <c r="EM90" s="2" t="s">
        <v>138</v>
      </c>
      <c r="EO90" s="2" t="s">
        <v>28</v>
      </c>
      <c r="EQ90" s="2">
        <v>0</v>
      </c>
      <c r="ER90" s="2">
        <v>153.49</v>
      </c>
      <c r="ES90" s="2">
        <v>153.49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FQ90" s="2">
        <v>0</v>
      </c>
      <c r="FR90" s="2">
        <v>0</v>
      </c>
      <c r="FS90" s="2">
        <v>0</v>
      </c>
      <c r="FX90" s="2">
        <v>101</v>
      </c>
      <c r="FY90" s="2">
        <v>55</v>
      </c>
      <c r="GA90" s="2" t="s">
        <v>3</v>
      </c>
      <c r="GD90" s="2">
        <v>1</v>
      </c>
      <c r="GF90" s="2">
        <v>429359898</v>
      </c>
      <c r="GG90" s="2">
        <v>2</v>
      </c>
      <c r="GH90" s="2">
        <v>1</v>
      </c>
      <c r="GI90" s="2">
        <v>2</v>
      </c>
      <c r="GJ90" s="2">
        <v>0</v>
      </c>
      <c r="GK90" s="2">
        <v>0</v>
      </c>
      <c r="GL90" s="2">
        <f t="shared" si="81"/>
        <v>0</v>
      </c>
      <c r="GM90" s="2">
        <f t="shared" si="82"/>
        <v>4319.21</v>
      </c>
      <c r="GN90" s="2">
        <f t="shared" si="83"/>
        <v>4319.21</v>
      </c>
      <c r="GO90" s="2">
        <f t="shared" si="84"/>
        <v>0</v>
      </c>
      <c r="GP90" s="2">
        <f t="shared" si="85"/>
        <v>0</v>
      </c>
      <c r="GR90" s="2">
        <v>0</v>
      </c>
      <c r="GS90" s="2">
        <v>3</v>
      </c>
      <c r="GT90" s="2">
        <v>0</v>
      </c>
      <c r="GU90" s="2" t="s">
        <v>3</v>
      </c>
      <c r="GV90" s="2">
        <f t="shared" si="86"/>
        <v>0</v>
      </c>
      <c r="GW90" s="2">
        <v>1</v>
      </c>
      <c r="GX90" s="2">
        <f t="shared" si="87"/>
        <v>0</v>
      </c>
      <c r="HA90" s="2">
        <v>0</v>
      </c>
      <c r="HB90" s="2">
        <v>0</v>
      </c>
      <c r="HC90" s="2">
        <f t="shared" si="88"/>
        <v>0</v>
      </c>
      <c r="HE90" s="2" t="s">
        <v>3</v>
      </c>
      <c r="HF90" s="2" t="s">
        <v>3</v>
      </c>
      <c r="HM90" s="2" t="s">
        <v>24</v>
      </c>
      <c r="HN90" s="2" t="s">
        <v>3</v>
      </c>
      <c r="HO90" s="2" t="s">
        <v>3</v>
      </c>
      <c r="HP90" s="2" t="s">
        <v>3</v>
      </c>
      <c r="HQ90" s="2" t="s">
        <v>3</v>
      </c>
      <c r="HS90" s="2">
        <v>0</v>
      </c>
      <c r="IK90" s="2">
        <v>0</v>
      </c>
    </row>
    <row r="91" spans="1:245" x14ac:dyDescent="0.2">
      <c r="A91" s="2">
        <v>18</v>
      </c>
      <c r="B91" s="2">
        <v>1</v>
      </c>
      <c r="C91" s="2">
        <v>80</v>
      </c>
      <c r="E91" s="2" t="s">
        <v>190</v>
      </c>
      <c r="F91" s="2" t="s">
        <v>191</v>
      </c>
      <c r="G91" s="2" t="s">
        <v>192</v>
      </c>
      <c r="H91" s="2" t="s">
        <v>22</v>
      </c>
      <c r="I91" s="2">
        <f>I89*J91</f>
        <v>1</v>
      </c>
      <c r="J91" s="2">
        <v>5.7471264367816097</v>
      </c>
      <c r="K91" s="2">
        <v>5.7471259999999997</v>
      </c>
      <c r="O91" s="2">
        <f t="shared" si="62"/>
        <v>847.63</v>
      </c>
      <c r="P91" s="2">
        <f t="shared" si="63"/>
        <v>847.63</v>
      </c>
      <c r="Q91" s="2">
        <f>(ROUND((ROUND(((ET91)*AV91*I91),2)*BB91),2)+ROUND((ROUND(((AE91-(EU91))*AV91*I91),2)*BS91),2))</f>
        <v>0</v>
      </c>
      <c r="R91" s="2">
        <f>(ROUND((ROUND(((EU91)*AV91*I91),2)*BS91),2)+ROUND((ROUND(((AE91-(EU91))*AV91*I91),2)*BS91),2))</f>
        <v>0</v>
      </c>
      <c r="S91" s="2">
        <f t="shared" si="64"/>
        <v>0</v>
      </c>
      <c r="T91" s="2">
        <f t="shared" si="65"/>
        <v>0</v>
      </c>
      <c r="U91" s="2">
        <f t="shared" si="66"/>
        <v>0</v>
      </c>
      <c r="V91" s="2">
        <f t="shared" si="67"/>
        <v>0</v>
      </c>
      <c r="W91" s="2">
        <f t="shared" si="68"/>
        <v>0</v>
      </c>
      <c r="X91" s="2">
        <f>(ROUND((((S91+ROUND((ROUND(((EU91)*AV91*I91),2)*BS91),2))*AT91)/100),2)+ROUND(((ROUND((ROUND(((AE91-(EU91))*AV91*I91),2)*BS91),2)*AT91)/100),2))</f>
        <v>0</v>
      </c>
      <c r="Y91" s="2">
        <f>(ROUND((((S91+ROUND((ROUND(((EU91)*AV91*I91),2)*BS91),2))*AU91)/100),2)+ROUND(((ROUND((ROUND(((AE91-(EU91))*AV91*I91),2)*BS91),2)*AU91)/100),2))</f>
        <v>0</v>
      </c>
      <c r="AA91" s="2">
        <v>56793366</v>
      </c>
      <c r="AB91" s="2">
        <f t="shared" si="69"/>
        <v>170.55</v>
      </c>
      <c r="AC91" s="2">
        <f>ROUND((ES91),6)</f>
        <v>170.55</v>
      </c>
      <c r="AD91" s="2">
        <f>ROUND((((ET91)-(EU91))+AE91),6)</f>
        <v>0</v>
      </c>
      <c r="AE91" s="2">
        <f t="shared" si="92"/>
        <v>0</v>
      </c>
      <c r="AF91" s="2">
        <f t="shared" si="92"/>
        <v>0</v>
      </c>
      <c r="AG91" s="2">
        <f t="shared" si="71"/>
        <v>0</v>
      </c>
      <c r="AH91" s="2">
        <f t="shared" si="93"/>
        <v>0</v>
      </c>
      <c r="AI91" s="2">
        <f t="shared" si="93"/>
        <v>0</v>
      </c>
      <c r="AJ91" s="2">
        <f t="shared" si="73"/>
        <v>0</v>
      </c>
      <c r="AK91" s="2">
        <v>170.55</v>
      </c>
      <c r="AL91" s="2">
        <v>170.55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101</v>
      </c>
      <c r="AU91" s="2">
        <v>55</v>
      </c>
      <c r="AV91" s="2">
        <v>1</v>
      </c>
      <c r="AW91" s="2">
        <v>1</v>
      </c>
      <c r="AZ91" s="2">
        <v>1</v>
      </c>
      <c r="BA91" s="2">
        <v>1</v>
      </c>
      <c r="BB91" s="2">
        <v>1</v>
      </c>
      <c r="BC91" s="2">
        <v>4.97</v>
      </c>
      <c r="BD91" s="2" t="s">
        <v>3</v>
      </c>
      <c r="BE91" s="2" t="s">
        <v>3</v>
      </c>
      <c r="BF91" s="2" t="s">
        <v>3</v>
      </c>
      <c r="BG91" s="2" t="s">
        <v>3</v>
      </c>
      <c r="BH91" s="2">
        <v>3</v>
      </c>
      <c r="BI91" s="2">
        <v>1</v>
      </c>
      <c r="BJ91" s="2" t="s">
        <v>193</v>
      </c>
      <c r="BM91" s="2">
        <v>15</v>
      </c>
      <c r="BN91" s="2">
        <v>0</v>
      </c>
      <c r="BO91" s="2" t="s">
        <v>191</v>
      </c>
      <c r="BP91" s="2">
        <v>1</v>
      </c>
      <c r="BQ91" s="2">
        <v>30</v>
      </c>
      <c r="BR91" s="2">
        <v>0</v>
      </c>
      <c r="BS91" s="2">
        <v>1</v>
      </c>
      <c r="BT91" s="2">
        <v>1</v>
      </c>
      <c r="BU91" s="2">
        <v>1</v>
      </c>
      <c r="BV91" s="2">
        <v>1</v>
      </c>
      <c r="BW91" s="2">
        <v>1</v>
      </c>
      <c r="BX91" s="2">
        <v>1</v>
      </c>
      <c r="BY91" s="2" t="s">
        <v>3</v>
      </c>
      <c r="BZ91" s="2">
        <v>101</v>
      </c>
      <c r="CA91" s="2">
        <v>55</v>
      </c>
      <c r="CB91" s="2" t="s">
        <v>3</v>
      </c>
      <c r="CE91" s="2">
        <v>1566</v>
      </c>
      <c r="CF91" s="2">
        <v>0</v>
      </c>
      <c r="CG91" s="2">
        <v>0</v>
      </c>
      <c r="CM91" s="2">
        <v>0</v>
      </c>
      <c r="CN91" s="2" t="s">
        <v>520</v>
      </c>
      <c r="CO91" s="2">
        <v>0</v>
      </c>
      <c r="CP91" s="2">
        <f t="shared" si="74"/>
        <v>847.63</v>
      </c>
      <c r="CQ91" s="2">
        <f t="shared" si="75"/>
        <v>847.63</v>
      </c>
      <c r="CR91" s="2">
        <f>(ROUND((ROUND(((ET91)*AV91*1),2)*BB91),2)+ROUND((ROUND(((AE91-(EU91))*AV91*1),2)*BS91),2))</f>
        <v>0</v>
      </c>
      <c r="CS91" s="2">
        <f>(ROUND((ROUND(((EU91)*AV91*1),2)*BS91),2)+ROUND((ROUND(((AE91-(EU91))*AV91*1),2)*BS91),2))</f>
        <v>0</v>
      </c>
      <c r="CT91" s="2">
        <f t="shared" si="76"/>
        <v>0</v>
      </c>
      <c r="CU91" s="2">
        <f t="shared" si="77"/>
        <v>0</v>
      </c>
      <c r="CV91" s="2">
        <f t="shared" si="78"/>
        <v>0</v>
      </c>
      <c r="CW91" s="2">
        <f t="shared" si="79"/>
        <v>0</v>
      </c>
      <c r="CX91" s="2">
        <f t="shared" si="80"/>
        <v>0</v>
      </c>
      <c r="CY91" s="2">
        <f>(ROUND((((S91+ROUND((ROUND(((EU91)*AV91*1),2)*BS91),2))*AT91)/100),2)+ROUND(((ROUND((ROUND(((AE91-(EU91))*AV91*1),2)*BS91),2)*AT91)/100),2))</f>
        <v>0</v>
      </c>
      <c r="CZ91" s="2">
        <f>(ROUND((((S91+ROUND((ROUND(((EU91)*AV91*1),2)*BS91),2))*AU91)/100),2)+ROUND(((ROUND((ROUND(((AE91-(EU91))*AV91*1),2)*BS91),2)*AU91)/100),2))</f>
        <v>0</v>
      </c>
      <c r="DC91" s="2" t="s">
        <v>3</v>
      </c>
      <c r="DD91" s="2" t="s">
        <v>3</v>
      </c>
      <c r="DE91" s="2" t="s">
        <v>3</v>
      </c>
      <c r="DF91" s="2" t="s">
        <v>3</v>
      </c>
      <c r="DG91" s="2" t="s">
        <v>3</v>
      </c>
      <c r="DH91" s="2" t="s">
        <v>3</v>
      </c>
      <c r="DI91" s="2" t="s">
        <v>3</v>
      </c>
      <c r="DJ91" s="2" t="s">
        <v>3</v>
      </c>
      <c r="DK91" s="2" t="s">
        <v>3</v>
      </c>
      <c r="DL91" s="2" t="s">
        <v>3</v>
      </c>
      <c r="DM91" s="2" t="s">
        <v>3</v>
      </c>
      <c r="DN91" s="2">
        <v>0</v>
      </c>
      <c r="DO91" s="2">
        <v>0</v>
      </c>
      <c r="DP91" s="2">
        <v>1</v>
      </c>
      <c r="DQ91" s="2">
        <v>1</v>
      </c>
      <c r="DU91" s="2">
        <v>1010</v>
      </c>
      <c r="DV91" s="2" t="s">
        <v>22</v>
      </c>
      <c r="DW91" s="2" t="s">
        <v>22</v>
      </c>
      <c r="DX91" s="2">
        <v>100</v>
      </c>
      <c r="DZ91" s="2" t="s">
        <v>3</v>
      </c>
      <c r="EA91" s="2" t="s">
        <v>3</v>
      </c>
      <c r="EB91" s="2" t="s">
        <v>3</v>
      </c>
      <c r="EC91" s="2" t="s">
        <v>3</v>
      </c>
      <c r="EE91" s="2">
        <v>55896063</v>
      </c>
      <c r="EF91" s="2">
        <v>30</v>
      </c>
      <c r="EG91" s="2" t="s">
        <v>49</v>
      </c>
      <c r="EH91" s="2">
        <v>0</v>
      </c>
      <c r="EI91" s="2" t="s">
        <v>3</v>
      </c>
      <c r="EJ91" s="2">
        <v>1</v>
      </c>
      <c r="EK91" s="2">
        <v>15</v>
      </c>
      <c r="EL91" s="2" t="s">
        <v>137</v>
      </c>
      <c r="EM91" s="2" t="s">
        <v>138</v>
      </c>
      <c r="EO91" s="2" t="s">
        <v>28</v>
      </c>
      <c r="EQ91" s="2">
        <v>0</v>
      </c>
      <c r="ER91" s="2">
        <v>170.55</v>
      </c>
      <c r="ES91" s="2">
        <v>170.55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FQ91" s="2">
        <v>0</v>
      </c>
      <c r="FR91" s="2">
        <v>0</v>
      </c>
      <c r="FS91" s="2">
        <v>0</v>
      </c>
      <c r="FX91" s="2">
        <v>101</v>
      </c>
      <c r="FY91" s="2">
        <v>55</v>
      </c>
      <c r="GA91" s="2" t="s">
        <v>3</v>
      </c>
      <c r="GD91" s="2">
        <v>1</v>
      </c>
      <c r="GF91" s="2">
        <v>653289785</v>
      </c>
      <c r="GG91" s="2">
        <v>2</v>
      </c>
      <c r="GH91" s="2">
        <v>1</v>
      </c>
      <c r="GI91" s="2">
        <v>2</v>
      </c>
      <c r="GJ91" s="2">
        <v>0</v>
      </c>
      <c r="GK91" s="2">
        <v>0</v>
      </c>
      <c r="GL91" s="2">
        <f t="shared" si="81"/>
        <v>0</v>
      </c>
      <c r="GM91" s="2">
        <f t="shared" si="82"/>
        <v>847.63</v>
      </c>
      <c r="GN91" s="2">
        <f t="shared" si="83"/>
        <v>847.63</v>
      </c>
      <c r="GO91" s="2">
        <f t="shared" si="84"/>
        <v>0</v>
      </c>
      <c r="GP91" s="2">
        <f t="shared" si="85"/>
        <v>0</v>
      </c>
      <c r="GR91" s="2">
        <v>0</v>
      </c>
      <c r="GS91" s="2">
        <v>3</v>
      </c>
      <c r="GT91" s="2">
        <v>0</v>
      </c>
      <c r="GU91" s="2" t="s">
        <v>3</v>
      </c>
      <c r="GV91" s="2">
        <f t="shared" si="86"/>
        <v>0</v>
      </c>
      <c r="GW91" s="2">
        <v>1</v>
      </c>
      <c r="GX91" s="2">
        <f t="shared" si="87"/>
        <v>0</v>
      </c>
      <c r="HA91" s="2">
        <v>0</v>
      </c>
      <c r="HB91" s="2">
        <v>0</v>
      </c>
      <c r="HC91" s="2">
        <f t="shared" si="88"/>
        <v>0</v>
      </c>
      <c r="HE91" s="2" t="s">
        <v>3</v>
      </c>
      <c r="HF91" s="2" t="s">
        <v>3</v>
      </c>
      <c r="HM91" s="2" t="s">
        <v>24</v>
      </c>
      <c r="HN91" s="2" t="s">
        <v>3</v>
      </c>
      <c r="HO91" s="2" t="s">
        <v>3</v>
      </c>
      <c r="HP91" s="2" t="s">
        <v>3</v>
      </c>
      <c r="HQ91" s="2" t="s">
        <v>3</v>
      </c>
      <c r="HS91" s="2">
        <v>0</v>
      </c>
      <c r="IK91" s="2">
        <v>0</v>
      </c>
    </row>
    <row r="92" spans="1:245" x14ac:dyDescent="0.2">
      <c r="A92" s="2">
        <v>18</v>
      </c>
      <c r="B92" s="2">
        <v>1</v>
      </c>
      <c r="C92" s="2">
        <v>81</v>
      </c>
      <c r="E92" s="2" t="s">
        <v>194</v>
      </c>
      <c r="F92" s="2" t="s">
        <v>195</v>
      </c>
      <c r="G92" s="2" t="s">
        <v>196</v>
      </c>
      <c r="H92" s="2" t="s">
        <v>22</v>
      </c>
      <c r="I92" s="2">
        <f>I89*J92</f>
        <v>3</v>
      </c>
      <c r="J92" s="2">
        <v>17.241379310344829</v>
      </c>
      <c r="K92" s="2">
        <v>17.241378999999998</v>
      </c>
      <c r="O92" s="2">
        <f t="shared" si="62"/>
        <v>2538.23</v>
      </c>
      <c r="P92" s="2">
        <f t="shared" si="63"/>
        <v>2538.23</v>
      </c>
      <c r="Q92" s="2">
        <f>(ROUND((ROUND(((ET92)*AV92*I92),2)*BB92),2)+ROUND((ROUND(((AE92-(EU92))*AV92*I92),2)*BS92),2))</f>
        <v>0</v>
      </c>
      <c r="R92" s="2">
        <f>(ROUND((ROUND(((EU92)*AV92*I92),2)*BS92),2)+ROUND((ROUND(((AE92-(EU92))*AV92*I92),2)*BS92),2))</f>
        <v>0</v>
      </c>
      <c r="S92" s="2">
        <f t="shared" si="64"/>
        <v>0</v>
      </c>
      <c r="T92" s="2">
        <f t="shared" si="65"/>
        <v>0</v>
      </c>
      <c r="U92" s="2">
        <f t="shared" si="66"/>
        <v>0</v>
      </c>
      <c r="V92" s="2">
        <f t="shared" si="67"/>
        <v>0</v>
      </c>
      <c r="W92" s="2">
        <f t="shared" si="68"/>
        <v>0</v>
      </c>
      <c r="X92" s="2">
        <f>(ROUND((((S92+ROUND((ROUND(((EU92)*AV92*I92),2)*BS92),2))*AT92)/100),2)+ROUND(((ROUND((ROUND(((AE92-(EU92))*AV92*I92),2)*BS92),2)*AT92)/100),2))</f>
        <v>0</v>
      </c>
      <c r="Y92" s="2">
        <f>(ROUND((((S92+ROUND((ROUND(((EU92)*AV92*I92),2)*BS92),2))*AU92)/100),2)+ROUND(((ROUND((ROUND(((AE92-(EU92))*AV92*I92),2)*BS92),2)*AU92)/100),2))</f>
        <v>0</v>
      </c>
      <c r="AA92" s="2">
        <v>56793366</v>
      </c>
      <c r="AB92" s="2">
        <f t="shared" si="69"/>
        <v>170.58</v>
      </c>
      <c r="AC92" s="2">
        <f>ROUND((ES92),6)</f>
        <v>170.58</v>
      </c>
      <c r="AD92" s="2">
        <f>ROUND((((ET92)-(EU92))+AE92),6)</f>
        <v>0</v>
      </c>
      <c r="AE92" s="2">
        <f t="shared" si="92"/>
        <v>0</v>
      </c>
      <c r="AF92" s="2">
        <f t="shared" si="92"/>
        <v>0</v>
      </c>
      <c r="AG92" s="2">
        <f t="shared" si="71"/>
        <v>0</v>
      </c>
      <c r="AH92" s="2">
        <f t="shared" si="93"/>
        <v>0</v>
      </c>
      <c r="AI92" s="2">
        <f t="shared" si="93"/>
        <v>0</v>
      </c>
      <c r="AJ92" s="2">
        <f t="shared" si="73"/>
        <v>0</v>
      </c>
      <c r="AK92" s="2">
        <v>170.58</v>
      </c>
      <c r="AL92" s="2">
        <v>170.58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101</v>
      </c>
      <c r="AU92" s="2">
        <v>55</v>
      </c>
      <c r="AV92" s="2">
        <v>1</v>
      </c>
      <c r="AW92" s="2">
        <v>1</v>
      </c>
      <c r="AZ92" s="2">
        <v>1</v>
      </c>
      <c r="BA92" s="2">
        <v>1</v>
      </c>
      <c r="BB92" s="2">
        <v>1</v>
      </c>
      <c r="BC92" s="2">
        <v>4.96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3</v>
      </c>
      <c r="BI92" s="2">
        <v>1</v>
      </c>
      <c r="BJ92" s="2" t="s">
        <v>197</v>
      </c>
      <c r="BM92" s="2">
        <v>15</v>
      </c>
      <c r="BN92" s="2">
        <v>0</v>
      </c>
      <c r="BO92" s="2" t="s">
        <v>195</v>
      </c>
      <c r="BP92" s="2">
        <v>1</v>
      </c>
      <c r="BQ92" s="2">
        <v>30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101</v>
      </c>
      <c r="CA92" s="2">
        <v>55</v>
      </c>
      <c r="CB92" s="2" t="s">
        <v>3</v>
      </c>
      <c r="CE92" s="2">
        <v>1566</v>
      </c>
      <c r="CF92" s="2">
        <v>0</v>
      </c>
      <c r="CG92" s="2">
        <v>0</v>
      </c>
      <c r="CM92" s="2">
        <v>0</v>
      </c>
      <c r="CN92" s="2" t="s">
        <v>520</v>
      </c>
      <c r="CO92" s="2">
        <v>0</v>
      </c>
      <c r="CP92" s="2">
        <f t="shared" si="74"/>
        <v>2538.23</v>
      </c>
      <c r="CQ92" s="2">
        <f t="shared" si="75"/>
        <v>846.08</v>
      </c>
      <c r="CR92" s="2">
        <f>(ROUND((ROUND(((ET92)*AV92*1),2)*BB92),2)+ROUND((ROUND(((AE92-(EU92))*AV92*1),2)*BS92),2))</f>
        <v>0</v>
      </c>
      <c r="CS92" s="2">
        <f>(ROUND((ROUND(((EU92)*AV92*1),2)*BS92),2)+ROUND((ROUND(((AE92-(EU92))*AV92*1),2)*BS92),2))</f>
        <v>0</v>
      </c>
      <c r="CT92" s="2">
        <f t="shared" si="76"/>
        <v>0</v>
      </c>
      <c r="CU92" s="2">
        <f t="shared" si="77"/>
        <v>0</v>
      </c>
      <c r="CV92" s="2">
        <f t="shared" si="78"/>
        <v>0</v>
      </c>
      <c r="CW92" s="2">
        <f t="shared" si="79"/>
        <v>0</v>
      </c>
      <c r="CX92" s="2">
        <f t="shared" si="80"/>
        <v>0</v>
      </c>
      <c r="CY92" s="2">
        <f>(ROUND((((S92+ROUND((ROUND(((EU92)*AV92*1),2)*BS92),2))*AT92)/100),2)+ROUND(((ROUND((ROUND(((AE92-(EU92))*AV92*1),2)*BS92),2)*AT92)/100),2))</f>
        <v>0</v>
      </c>
      <c r="CZ92" s="2">
        <f>(ROUND((((S92+ROUND((ROUND(((EU92)*AV92*1),2)*BS92),2))*AU92)/100),2)+ROUND(((ROUND((ROUND(((AE92-(EU92))*AV92*1),2)*BS92),2)*AU92)/100),2))</f>
        <v>0</v>
      </c>
      <c r="DC92" s="2" t="s">
        <v>3</v>
      </c>
      <c r="DD92" s="2" t="s">
        <v>3</v>
      </c>
      <c r="DE92" s="2" t="s">
        <v>3</v>
      </c>
      <c r="DF92" s="2" t="s">
        <v>3</v>
      </c>
      <c r="DG92" s="2" t="s">
        <v>3</v>
      </c>
      <c r="DH92" s="2" t="s">
        <v>3</v>
      </c>
      <c r="DI92" s="2" t="s">
        <v>3</v>
      </c>
      <c r="DJ92" s="2" t="s">
        <v>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</v>
      </c>
      <c r="DQ92" s="2">
        <v>1</v>
      </c>
      <c r="DU92" s="2">
        <v>1010</v>
      </c>
      <c r="DV92" s="2" t="s">
        <v>22</v>
      </c>
      <c r="DW92" s="2" t="s">
        <v>22</v>
      </c>
      <c r="DX92" s="2">
        <v>100</v>
      </c>
      <c r="DZ92" s="2" t="s">
        <v>3</v>
      </c>
      <c r="EA92" s="2" t="s">
        <v>3</v>
      </c>
      <c r="EB92" s="2" t="s">
        <v>3</v>
      </c>
      <c r="EC92" s="2" t="s">
        <v>3</v>
      </c>
      <c r="EE92" s="2">
        <v>55896063</v>
      </c>
      <c r="EF92" s="2">
        <v>30</v>
      </c>
      <c r="EG92" s="2" t="s">
        <v>49</v>
      </c>
      <c r="EH92" s="2">
        <v>0</v>
      </c>
      <c r="EI92" s="2" t="s">
        <v>3</v>
      </c>
      <c r="EJ92" s="2">
        <v>1</v>
      </c>
      <c r="EK92" s="2">
        <v>15</v>
      </c>
      <c r="EL92" s="2" t="s">
        <v>137</v>
      </c>
      <c r="EM92" s="2" t="s">
        <v>138</v>
      </c>
      <c r="EO92" s="2" t="s">
        <v>28</v>
      </c>
      <c r="EQ92" s="2">
        <v>0</v>
      </c>
      <c r="ER92" s="2">
        <v>170.58</v>
      </c>
      <c r="ES92" s="2">
        <v>170.58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FQ92" s="2">
        <v>0</v>
      </c>
      <c r="FR92" s="2">
        <v>0</v>
      </c>
      <c r="FS92" s="2">
        <v>0</v>
      </c>
      <c r="FX92" s="2">
        <v>101</v>
      </c>
      <c r="FY92" s="2">
        <v>55</v>
      </c>
      <c r="GA92" s="2" t="s">
        <v>3</v>
      </c>
      <c r="GD92" s="2">
        <v>1</v>
      </c>
      <c r="GF92" s="2">
        <v>-289508561</v>
      </c>
      <c r="GG92" s="2">
        <v>2</v>
      </c>
      <c r="GH92" s="2">
        <v>1</v>
      </c>
      <c r="GI92" s="2">
        <v>2</v>
      </c>
      <c r="GJ92" s="2">
        <v>0</v>
      </c>
      <c r="GK92" s="2">
        <v>0</v>
      </c>
      <c r="GL92" s="2">
        <f t="shared" si="81"/>
        <v>0</v>
      </c>
      <c r="GM92" s="2">
        <f t="shared" si="82"/>
        <v>2538.23</v>
      </c>
      <c r="GN92" s="2">
        <f t="shared" si="83"/>
        <v>2538.23</v>
      </c>
      <c r="GO92" s="2">
        <f t="shared" si="84"/>
        <v>0</v>
      </c>
      <c r="GP92" s="2">
        <f t="shared" si="85"/>
        <v>0</v>
      </c>
      <c r="GR92" s="2">
        <v>0</v>
      </c>
      <c r="GS92" s="2">
        <v>3</v>
      </c>
      <c r="GT92" s="2">
        <v>0</v>
      </c>
      <c r="GU92" s="2" t="s">
        <v>3</v>
      </c>
      <c r="GV92" s="2">
        <f t="shared" si="86"/>
        <v>0</v>
      </c>
      <c r="GW92" s="2">
        <v>1</v>
      </c>
      <c r="GX92" s="2">
        <f t="shared" si="87"/>
        <v>0</v>
      </c>
      <c r="HA92" s="2">
        <v>0</v>
      </c>
      <c r="HB92" s="2">
        <v>0</v>
      </c>
      <c r="HC92" s="2">
        <f t="shared" si="88"/>
        <v>0</v>
      </c>
      <c r="HE92" s="2" t="s">
        <v>3</v>
      </c>
      <c r="HF92" s="2" t="s">
        <v>3</v>
      </c>
      <c r="HM92" s="2" t="s">
        <v>24</v>
      </c>
      <c r="HN92" s="2" t="s">
        <v>3</v>
      </c>
      <c r="HO92" s="2" t="s">
        <v>3</v>
      </c>
      <c r="HP92" s="2" t="s">
        <v>3</v>
      </c>
      <c r="HQ92" s="2" t="s">
        <v>3</v>
      </c>
      <c r="HS92" s="2">
        <v>0</v>
      </c>
      <c r="IK92" s="2">
        <v>0</v>
      </c>
    </row>
    <row r="93" spans="1:245" x14ac:dyDescent="0.2">
      <c r="A93" s="2">
        <v>18</v>
      </c>
      <c r="B93" s="2">
        <v>1</v>
      </c>
      <c r="C93" s="2">
        <v>76</v>
      </c>
      <c r="E93" s="2" t="s">
        <v>198</v>
      </c>
      <c r="F93" s="2" t="s">
        <v>199</v>
      </c>
      <c r="G93" s="2" t="s">
        <v>200</v>
      </c>
      <c r="H93" s="2" t="s">
        <v>201</v>
      </c>
      <c r="I93" s="2">
        <f>I89*J93</f>
        <v>17.574000000000002</v>
      </c>
      <c r="J93" s="2">
        <v>101.00000000000001</v>
      </c>
      <c r="K93" s="2">
        <v>101</v>
      </c>
      <c r="O93" s="2">
        <f t="shared" si="62"/>
        <v>689.93</v>
      </c>
      <c r="P93" s="2">
        <f t="shared" si="63"/>
        <v>689.93</v>
      </c>
      <c r="Q93" s="2">
        <f>(ROUND((ROUND(((ET93)*AV93*I93),2)*BB93),2)+ROUND((ROUND(((AE93-(EU93))*AV93*I93),2)*BS93),2))</f>
        <v>0</v>
      </c>
      <c r="R93" s="2">
        <f>(ROUND((ROUND(((EU93)*AV93*I93),2)*BS93),2)+ROUND((ROUND(((AE93-(EU93))*AV93*I93),2)*BS93),2))</f>
        <v>0</v>
      </c>
      <c r="S93" s="2">
        <f t="shared" si="64"/>
        <v>0</v>
      </c>
      <c r="T93" s="2">
        <f t="shared" si="65"/>
        <v>0</v>
      </c>
      <c r="U93" s="2">
        <f t="shared" si="66"/>
        <v>0</v>
      </c>
      <c r="V93" s="2">
        <f t="shared" si="67"/>
        <v>0</v>
      </c>
      <c r="W93" s="2">
        <f t="shared" si="68"/>
        <v>0</v>
      </c>
      <c r="X93" s="2">
        <f>(ROUND((((S93+ROUND((ROUND(((EU93)*AV93*I93),2)*BS93),2))*AT93)/100),2)+ROUND(((ROUND((ROUND(((AE93-(EU93))*AV93*I93),2)*BS93),2)*AT93)/100),2))</f>
        <v>0</v>
      </c>
      <c r="Y93" s="2">
        <f>(ROUND((((S93+ROUND((ROUND(((EU93)*AV93*I93),2)*BS93),2))*AU93)/100),2)+ROUND(((ROUND((ROUND(((AE93-(EU93))*AV93*I93),2)*BS93),2)*AU93)/100),2))</f>
        <v>0</v>
      </c>
      <c r="AA93" s="2">
        <v>56793366</v>
      </c>
      <c r="AB93" s="2">
        <f t="shared" si="69"/>
        <v>22.18</v>
      </c>
      <c r="AC93" s="2">
        <f>ROUND((ES93),6)</f>
        <v>22.18</v>
      </c>
      <c r="AD93" s="2">
        <f>ROUND((((ET93)-(EU93))+AE93),6)</f>
        <v>0</v>
      </c>
      <c r="AE93" s="2">
        <f t="shared" si="92"/>
        <v>0</v>
      </c>
      <c r="AF93" s="2">
        <f t="shared" si="92"/>
        <v>0</v>
      </c>
      <c r="AG93" s="2">
        <f t="shared" si="71"/>
        <v>0</v>
      </c>
      <c r="AH93" s="2">
        <f t="shared" si="93"/>
        <v>0</v>
      </c>
      <c r="AI93" s="2">
        <f t="shared" si="93"/>
        <v>0</v>
      </c>
      <c r="AJ93" s="2">
        <f t="shared" si="73"/>
        <v>0</v>
      </c>
      <c r="AK93" s="2">
        <v>22.18</v>
      </c>
      <c r="AL93" s="2">
        <v>22.18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101</v>
      </c>
      <c r="AU93" s="2">
        <v>55</v>
      </c>
      <c r="AV93" s="2">
        <v>1</v>
      </c>
      <c r="AW93" s="2">
        <v>1</v>
      </c>
      <c r="AZ93" s="2">
        <v>1</v>
      </c>
      <c r="BA93" s="2">
        <v>1</v>
      </c>
      <c r="BB93" s="2">
        <v>1</v>
      </c>
      <c r="BC93" s="2">
        <v>1.77</v>
      </c>
      <c r="BD93" s="2" t="s">
        <v>3</v>
      </c>
      <c r="BE93" s="2" t="s">
        <v>3</v>
      </c>
      <c r="BF93" s="2" t="s">
        <v>3</v>
      </c>
      <c r="BG93" s="2" t="s">
        <v>3</v>
      </c>
      <c r="BH93" s="2">
        <v>3</v>
      </c>
      <c r="BI93" s="2">
        <v>1</v>
      </c>
      <c r="BJ93" s="2" t="s">
        <v>202</v>
      </c>
      <c r="BM93" s="2">
        <v>15</v>
      </c>
      <c r="BN93" s="2">
        <v>0</v>
      </c>
      <c r="BO93" s="2" t="s">
        <v>199</v>
      </c>
      <c r="BP93" s="2">
        <v>1</v>
      </c>
      <c r="BQ93" s="2">
        <v>30</v>
      </c>
      <c r="BR93" s="2">
        <v>0</v>
      </c>
      <c r="BS93" s="2">
        <v>1</v>
      </c>
      <c r="BT93" s="2">
        <v>1</v>
      </c>
      <c r="BU93" s="2">
        <v>1</v>
      </c>
      <c r="BV93" s="2">
        <v>1</v>
      </c>
      <c r="BW93" s="2">
        <v>1</v>
      </c>
      <c r="BX93" s="2">
        <v>1</v>
      </c>
      <c r="BY93" s="2" t="s">
        <v>3</v>
      </c>
      <c r="BZ93" s="2">
        <v>101</v>
      </c>
      <c r="CA93" s="2">
        <v>55</v>
      </c>
      <c r="CB93" s="2" t="s">
        <v>3</v>
      </c>
      <c r="CE93" s="2">
        <v>1566</v>
      </c>
      <c r="CF93" s="2">
        <v>0</v>
      </c>
      <c r="CG93" s="2">
        <v>0</v>
      </c>
      <c r="CM93" s="2">
        <v>0</v>
      </c>
      <c r="CN93" s="2" t="s">
        <v>520</v>
      </c>
      <c r="CO93" s="2">
        <v>0</v>
      </c>
      <c r="CP93" s="2">
        <f t="shared" si="74"/>
        <v>689.93</v>
      </c>
      <c r="CQ93" s="2">
        <f t="shared" si="75"/>
        <v>39.26</v>
      </c>
      <c r="CR93" s="2">
        <f>(ROUND((ROUND(((ET93)*AV93*1),2)*BB93),2)+ROUND((ROUND(((AE93-(EU93))*AV93*1),2)*BS93),2))</f>
        <v>0</v>
      </c>
      <c r="CS93" s="2">
        <f>(ROUND((ROUND(((EU93)*AV93*1),2)*BS93),2)+ROUND((ROUND(((AE93-(EU93))*AV93*1),2)*BS93),2))</f>
        <v>0</v>
      </c>
      <c r="CT93" s="2">
        <f t="shared" si="76"/>
        <v>0</v>
      </c>
      <c r="CU93" s="2">
        <f t="shared" si="77"/>
        <v>0</v>
      </c>
      <c r="CV93" s="2">
        <f t="shared" si="78"/>
        <v>0</v>
      </c>
      <c r="CW93" s="2">
        <f t="shared" si="79"/>
        <v>0</v>
      </c>
      <c r="CX93" s="2">
        <f t="shared" si="80"/>
        <v>0</v>
      </c>
      <c r="CY93" s="2">
        <f>(ROUND((((S93+ROUND((ROUND(((EU93)*AV93*1),2)*BS93),2))*AT93)/100),2)+ROUND(((ROUND((ROUND(((AE93-(EU93))*AV93*1),2)*BS93),2)*AT93)/100),2))</f>
        <v>0</v>
      </c>
      <c r="CZ93" s="2">
        <f>(ROUND((((S93+ROUND((ROUND(((EU93)*AV93*1),2)*BS93),2))*AU93)/100),2)+ROUND(((ROUND((ROUND(((AE93-(EU93))*AV93*1),2)*BS93),2)*AU93)/100),2))</f>
        <v>0</v>
      </c>
      <c r="DC93" s="2" t="s">
        <v>3</v>
      </c>
      <c r="DD93" s="2" t="s">
        <v>3</v>
      </c>
      <c r="DE93" s="2" t="s">
        <v>3</v>
      </c>
      <c r="DF93" s="2" t="s">
        <v>3</v>
      </c>
      <c r="DG93" s="2" t="s">
        <v>3</v>
      </c>
      <c r="DH93" s="2" t="s">
        <v>3</v>
      </c>
      <c r="DI93" s="2" t="s">
        <v>3</v>
      </c>
      <c r="DJ93" s="2" t="s">
        <v>3</v>
      </c>
      <c r="DK93" s="2" t="s">
        <v>3</v>
      </c>
      <c r="DL93" s="2" t="s">
        <v>3</v>
      </c>
      <c r="DM93" s="2" t="s">
        <v>3</v>
      </c>
      <c r="DN93" s="2">
        <v>0</v>
      </c>
      <c r="DO93" s="2">
        <v>0</v>
      </c>
      <c r="DP93" s="2">
        <v>1</v>
      </c>
      <c r="DQ93" s="2">
        <v>1</v>
      </c>
      <c r="DU93" s="2">
        <v>1003</v>
      </c>
      <c r="DV93" s="2" t="s">
        <v>201</v>
      </c>
      <c r="DW93" s="2" t="s">
        <v>201</v>
      </c>
      <c r="DX93" s="2">
        <v>1</v>
      </c>
      <c r="DZ93" s="2" t="s">
        <v>3</v>
      </c>
      <c r="EA93" s="2" t="s">
        <v>3</v>
      </c>
      <c r="EB93" s="2" t="s">
        <v>3</v>
      </c>
      <c r="EC93" s="2" t="s">
        <v>3</v>
      </c>
      <c r="EE93" s="2">
        <v>55896063</v>
      </c>
      <c r="EF93" s="2">
        <v>30</v>
      </c>
      <c r="EG93" s="2" t="s">
        <v>49</v>
      </c>
      <c r="EH93" s="2">
        <v>0</v>
      </c>
      <c r="EI93" s="2" t="s">
        <v>3</v>
      </c>
      <c r="EJ93" s="2">
        <v>1</v>
      </c>
      <c r="EK93" s="2">
        <v>15</v>
      </c>
      <c r="EL93" s="2" t="s">
        <v>137</v>
      </c>
      <c r="EM93" s="2" t="s">
        <v>138</v>
      </c>
      <c r="EO93" s="2" t="s">
        <v>28</v>
      </c>
      <c r="EQ93" s="2">
        <v>0</v>
      </c>
      <c r="ER93" s="2">
        <v>22.18</v>
      </c>
      <c r="ES93" s="2">
        <v>22.18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FQ93" s="2">
        <v>0</v>
      </c>
      <c r="FR93" s="2">
        <v>0</v>
      </c>
      <c r="FS93" s="2">
        <v>0</v>
      </c>
      <c r="FX93" s="2">
        <v>101</v>
      </c>
      <c r="FY93" s="2">
        <v>55</v>
      </c>
      <c r="GA93" s="2" t="s">
        <v>3</v>
      </c>
      <c r="GD93" s="2">
        <v>1</v>
      </c>
      <c r="GF93" s="2">
        <v>233633753</v>
      </c>
      <c r="GG93" s="2">
        <v>2</v>
      </c>
      <c r="GH93" s="2">
        <v>1</v>
      </c>
      <c r="GI93" s="2">
        <v>2</v>
      </c>
      <c r="GJ93" s="2">
        <v>0</v>
      </c>
      <c r="GK93" s="2">
        <v>0</v>
      </c>
      <c r="GL93" s="2">
        <f t="shared" si="81"/>
        <v>0</v>
      </c>
      <c r="GM93" s="2">
        <f t="shared" si="82"/>
        <v>689.93</v>
      </c>
      <c r="GN93" s="2">
        <f t="shared" si="83"/>
        <v>689.93</v>
      </c>
      <c r="GO93" s="2">
        <f t="shared" si="84"/>
        <v>0</v>
      </c>
      <c r="GP93" s="2">
        <f t="shared" si="85"/>
        <v>0</v>
      </c>
      <c r="GR93" s="2">
        <v>0</v>
      </c>
      <c r="GS93" s="2">
        <v>3</v>
      </c>
      <c r="GT93" s="2">
        <v>0</v>
      </c>
      <c r="GU93" s="2" t="s">
        <v>3</v>
      </c>
      <c r="GV93" s="2">
        <f t="shared" si="86"/>
        <v>0</v>
      </c>
      <c r="GW93" s="2">
        <v>1</v>
      </c>
      <c r="GX93" s="2">
        <f t="shared" si="87"/>
        <v>0</v>
      </c>
      <c r="HA93" s="2">
        <v>0</v>
      </c>
      <c r="HB93" s="2">
        <v>0</v>
      </c>
      <c r="HC93" s="2">
        <f t="shared" si="88"/>
        <v>0</v>
      </c>
      <c r="HE93" s="2" t="s">
        <v>3</v>
      </c>
      <c r="HF93" s="2" t="s">
        <v>3</v>
      </c>
      <c r="HM93" s="2" t="s">
        <v>24</v>
      </c>
      <c r="HN93" s="2" t="s">
        <v>3</v>
      </c>
      <c r="HO93" s="2" t="s">
        <v>3</v>
      </c>
      <c r="HP93" s="2" t="s">
        <v>3</v>
      </c>
      <c r="HQ93" s="2" t="s">
        <v>3</v>
      </c>
      <c r="HS93" s="2">
        <v>0</v>
      </c>
      <c r="IK93" s="2">
        <v>0</v>
      </c>
    </row>
    <row r="94" spans="1:245" x14ac:dyDescent="0.2">
      <c r="A94" s="2">
        <v>17</v>
      </c>
      <c r="B94" s="2">
        <v>1</v>
      </c>
      <c r="C94" s="2">
        <f>ROW(SmtRes!A88)</f>
        <v>88</v>
      </c>
      <c r="D94" s="2">
        <f>ROW(EtalonRes!A88)</f>
        <v>88</v>
      </c>
      <c r="E94" s="2" t="s">
        <v>203</v>
      </c>
      <c r="F94" s="2" t="s">
        <v>204</v>
      </c>
      <c r="G94" s="2" t="s">
        <v>205</v>
      </c>
      <c r="H94" s="2" t="s">
        <v>206</v>
      </c>
      <c r="I94" s="2">
        <f>ROUND(0.9/100,9)</f>
        <v>8.9999999999999993E-3</v>
      </c>
      <c r="J94" s="2">
        <v>0</v>
      </c>
      <c r="K94" s="2">
        <f>ROUND(0.9/100,9)</f>
        <v>8.9999999999999993E-3</v>
      </c>
      <c r="O94" s="2">
        <f t="shared" si="62"/>
        <v>114.07</v>
      </c>
      <c r="P94" s="2">
        <f t="shared" si="63"/>
        <v>1.2</v>
      </c>
      <c r="Q94" s="2">
        <f>(ROUND((ROUND((((ET94*1.15))*AV94*I94),2)*BB94),2)+ROUND((ROUND(((AE94-((EU94*1.15)))*AV94*I94),2)*BS94),2))</f>
        <v>1.05</v>
      </c>
      <c r="R94" s="2">
        <f>(ROUND((ROUND((((EU94*1.15))*AV94*I94),2)*BS94),2)+ROUND((ROUND(((AE94-((EU94*1.15)))*AV94*I94),2)*BS94),2))</f>
        <v>0</v>
      </c>
      <c r="S94" s="2">
        <f t="shared" si="64"/>
        <v>111.82</v>
      </c>
      <c r="T94" s="2">
        <f t="shared" si="65"/>
        <v>0</v>
      </c>
      <c r="U94" s="2">
        <f t="shared" si="66"/>
        <v>0.17222399999999999</v>
      </c>
      <c r="V94" s="2">
        <f t="shared" si="67"/>
        <v>0</v>
      </c>
      <c r="W94" s="2">
        <f t="shared" si="68"/>
        <v>0</v>
      </c>
      <c r="X94" s="2">
        <f>(ROUND((((S94+ROUND((ROUND((((EU94*1.15))*AV94*I94),2)*BS94),2))*AT94)/100),2)+ROUND(((ROUND((ROUND(((AE94-((EU94*1.15)))*AV94*I94),2)*BS94),2)*AT94)/100),2))</f>
        <v>112.94</v>
      </c>
      <c r="Y94" s="2">
        <f>(ROUND((((S94+ROUND((ROUND((((EU94*1.15))*AV94*I94),2)*BS94),2))*AU94)/100),2)+ROUND(((ROUND((ROUND(((AE94-((EU94*1.15)))*AV94*I94),2)*BS94),2)*AU94)/100),2))</f>
        <v>61.5</v>
      </c>
      <c r="AA94" s="2">
        <v>56793366</v>
      </c>
      <c r="AB94" s="2">
        <f t="shared" si="69"/>
        <v>272.20249999999999</v>
      </c>
      <c r="AC94" s="2">
        <f>ROUND(((ES94*1)),6)</f>
        <v>45.25</v>
      </c>
      <c r="AD94" s="2">
        <f>ROUND(((((ET94*1.15))-((EU94*1.15)))+AE94),6)</f>
        <v>9.1654999999999998</v>
      </c>
      <c r="AE94" s="2">
        <f>ROUND(((EU94*1.15)),6)</f>
        <v>0.28749999999999998</v>
      </c>
      <c r="AF94" s="2">
        <f>ROUND(((EV94*1.15)),6)</f>
        <v>217.78700000000001</v>
      </c>
      <c r="AG94" s="2">
        <f t="shared" si="71"/>
        <v>0</v>
      </c>
      <c r="AH94" s="2">
        <f>((EW94*1.15))</f>
        <v>19.135999999999999</v>
      </c>
      <c r="AI94" s="2">
        <f>((EX94*1.15))</f>
        <v>0</v>
      </c>
      <c r="AJ94" s="2">
        <f t="shared" si="73"/>
        <v>0</v>
      </c>
      <c r="AK94" s="2">
        <v>242.6</v>
      </c>
      <c r="AL94" s="2">
        <v>45.25</v>
      </c>
      <c r="AM94" s="2">
        <v>7.97</v>
      </c>
      <c r="AN94" s="2">
        <v>0.25</v>
      </c>
      <c r="AO94" s="2">
        <v>189.38</v>
      </c>
      <c r="AP94" s="2">
        <v>0</v>
      </c>
      <c r="AQ94" s="2">
        <v>16.64</v>
      </c>
      <c r="AR94" s="2">
        <v>0</v>
      </c>
      <c r="AS94" s="2">
        <v>0</v>
      </c>
      <c r="AT94" s="2">
        <v>101</v>
      </c>
      <c r="AU94" s="2">
        <v>55</v>
      </c>
      <c r="AV94" s="2">
        <v>1</v>
      </c>
      <c r="AW94" s="2">
        <v>1</v>
      </c>
      <c r="AZ94" s="2">
        <v>1</v>
      </c>
      <c r="BA94" s="2">
        <v>57.05</v>
      </c>
      <c r="BB94" s="2">
        <v>13.09</v>
      </c>
      <c r="BC94" s="2">
        <v>2.93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0</v>
      </c>
      <c r="BI94" s="2">
        <v>1</v>
      </c>
      <c r="BJ94" s="2" t="s">
        <v>207</v>
      </c>
      <c r="BM94" s="2">
        <v>15</v>
      </c>
      <c r="BN94" s="2">
        <v>0</v>
      </c>
      <c r="BO94" s="2" t="s">
        <v>204</v>
      </c>
      <c r="BP94" s="2">
        <v>1</v>
      </c>
      <c r="BQ94" s="2">
        <v>30</v>
      </c>
      <c r="BR94" s="2">
        <v>0</v>
      </c>
      <c r="BS94" s="2">
        <v>57.05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101</v>
      </c>
      <c r="CA94" s="2">
        <v>55</v>
      </c>
      <c r="CB94" s="2" t="s">
        <v>3</v>
      </c>
      <c r="CE94" s="2">
        <v>1566</v>
      </c>
      <c r="CF94" s="2">
        <v>0</v>
      </c>
      <c r="CG94" s="2">
        <v>0</v>
      </c>
      <c r="CM94" s="2">
        <v>0</v>
      </c>
      <c r="CN94" s="2" t="s">
        <v>518</v>
      </c>
      <c r="CO94" s="2">
        <v>0</v>
      </c>
      <c r="CP94" s="2">
        <f t="shared" si="74"/>
        <v>114.07</v>
      </c>
      <c r="CQ94" s="2">
        <f t="shared" si="75"/>
        <v>132.58000000000001</v>
      </c>
      <c r="CR94" s="2">
        <f>(ROUND((ROUND((((ET94*1.15))*AV94*1),2)*BB94),2)+ROUND((ROUND(((AE94-((EU94*1.15)))*AV94*1),2)*BS94),2))</f>
        <v>120.04</v>
      </c>
      <c r="CS94" s="2">
        <f>(ROUND((ROUND((((EU94*1.15))*AV94*1),2)*BS94),2)+ROUND((ROUND(((AE94-((EU94*1.15)))*AV94*1),2)*BS94),2))</f>
        <v>16.54</v>
      </c>
      <c r="CT94" s="2">
        <f t="shared" si="76"/>
        <v>12424.92</v>
      </c>
      <c r="CU94" s="2">
        <f t="shared" si="77"/>
        <v>0</v>
      </c>
      <c r="CV94" s="2">
        <f t="shared" si="78"/>
        <v>19.135999999999999</v>
      </c>
      <c r="CW94" s="2">
        <f t="shared" si="79"/>
        <v>0</v>
      </c>
      <c r="CX94" s="2">
        <f t="shared" si="80"/>
        <v>0</v>
      </c>
      <c r="CY94" s="2">
        <f>(ROUND((((S94+ROUND((ROUND((((EU94*1.15))*AV94*1),2)*BS94),2))*AT94)/100),2)+ROUND(((ROUND((ROUND(((AE94-((EU94*1.15)))*AV94*1),2)*BS94),2)*AT94)/100),2))</f>
        <v>129.63999999999999</v>
      </c>
      <c r="CZ94" s="2">
        <f>(ROUND((((S94+ROUND((ROUND((((EU94*1.15))*AV94*1),2)*BS94),2))*AU94)/100),2)+ROUND(((ROUND((ROUND(((AE94-((EU94*1.15)))*AV94*1),2)*BS94),2)*AU94)/100),2))</f>
        <v>70.599999999999994</v>
      </c>
      <c r="DB94" s="2">
        <v>6</v>
      </c>
      <c r="DC94" s="2" t="s">
        <v>3</v>
      </c>
      <c r="DD94" s="2" t="s">
        <v>24</v>
      </c>
      <c r="DE94" s="2" t="s">
        <v>48</v>
      </c>
      <c r="DF94" s="2" t="s">
        <v>48</v>
      </c>
      <c r="DG94" s="2" t="s">
        <v>48</v>
      </c>
      <c r="DH94" s="2" t="s">
        <v>3</v>
      </c>
      <c r="DI94" s="2" t="s">
        <v>48</v>
      </c>
      <c r="DJ94" s="2" t="s">
        <v>48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U94" s="2">
        <v>1003</v>
      </c>
      <c r="DV94" s="2" t="s">
        <v>206</v>
      </c>
      <c r="DW94" s="2" t="s">
        <v>206</v>
      </c>
      <c r="DX94" s="2">
        <v>100</v>
      </c>
      <c r="DZ94" s="2" t="s">
        <v>3</v>
      </c>
      <c r="EA94" s="2" t="s">
        <v>3</v>
      </c>
      <c r="EB94" s="2" t="s">
        <v>3</v>
      </c>
      <c r="EC94" s="2" t="s">
        <v>3</v>
      </c>
      <c r="EE94" s="2">
        <v>55896063</v>
      </c>
      <c r="EF94" s="2">
        <v>30</v>
      </c>
      <c r="EG94" s="2" t="s">
        <v>49</v>
      </c>
      <c r="EH94" s="2">
        <v>0</v>
      </c>
      <c r="EI94" s="2" t="s">
        <v>3</v>
      </c>
      <c r="EJ94" s="2">
        <v>1</v>
      </c>
      <c r="EK94" s="2">
        <v>15</v>
      </c>
      <c r="EL94" s="2" t="s">
        <v>137</v>
      </c>
      <c r="EM94" s="2" t="s">
        <v>138</v>
      </c>
      <c r="EO94" s="2" t="s">
        <v>28</v>
      </c>
      <c r="EQ94" s="2">
        <v>0</v>
      </c>
      <c r="ER94" s="2">
        <v>242.6</v>
      </c>
      <c r="ES94" s="2">
        <v>45.25</v>
      </c>
      <c r="ET94" s="2">
        <v>7.97</v>
      </c>
      <c r="EU94" s="2">
        <v>0.25</v>
      </c>
      <c r="EV94" s="2">
        <v>189.38</v>
      </c>
      <c r="EW94" s="2">
        <v>16.64</v>
      </c>
      <c r="EX94" s="2">
        <v>0</v>
      </c>
      <c r="EY94" s="2">
        <v>0</v>
      </c>
      <c r="FQ94" s="2">
        <v>0</v>
      </c>
      <c r="FR94" s="2">
        <v>0</v>
      </c>
      <c r="FS94" s="2">
        <v>0</v>
      </c>
      <c r="FX94" s="2">
        <v>101</v>
      </c>
      <c r="FY94" s="2">
        <v>55</v>
      </c>
      <c r="GA94" s="2" t="s">
        <v>3</v>
      </c>
      <c r="GD94" s="2">
        <v>1</v>
      </c>
      <c r="GF94" s="2">
        <v>2059829092</v>
      </c>
      <c r="GG94" s="2">
        <v>2</v>
      </c>
      <c r="GH94" s="2">
        <v>1</v>
      </c>
      <c r="GI94" s="2">
        <v>2</v>
      </c>
      <c r="GJ94" s="2">
        <v>0</v>
      </c>
      <c r="GK94" s="2">
        <v>0</v>
      </c>
      <c r="GL94" s="2">
        <f t="shared" si="81"/>
        <v>0</v>
      </c>
      <c r="GM94" s="2">
        <f t="shared" si="82"/>
        <v>288.51</v>
      </c>
      <c r="GN94" s="2">
        <f t="shared" si="83"/>
        <v>288.51</v>
      </c>
      <c r="GO94" s="2">
        <f t="shared" si="84"/>
        <v>0</v>
      </c>
      <c r="GP94" s="2">
        <f t="shared" si="85"/>
        <v>0</v>
      </c>
      <c r="GR94" s="2">
        <v>0</v>
      </c>
      <c r="GS94" s="2">
        <v>3</v>
      </c>
      <c r="GT94" s="2">
        <v>0</v>
      </c>
      <c r="GU94" s="2" t="s">
        <v>3</v>
      </c>
      <c r="GV94" s="2">
        <f t="shared" si="86"/>
        <v>0</v>
      </c>
      <c r="GW94" s="2">
        <v>1</v>
      </c>
      <c r="GX94" s="2">
        <f t="shared" si="87"/>
        <v>0</v>
      </c>
      <c r="HA94" s="2">
        <v>0</v>
      </c>
      <c r="HB94" s="2">
        <v>0</v>
      </c>
      <c r="HC94" s="2">
        <f t="shared" si="88"/>
        <v>0</v>
      </c>
      <c r="HE94" s="2" t="s">
        <v>3</v>
      </c>
      <c r="HF94" s="2" t="s">
        <v>3</v>
      </c>
      <c r="HM94" s="2" t="s">
        <v>3</v>
      </c>
      <c r="HN94" s="2" t="s">
        <v>3</v>
      </c>
      <c r="HO94" s="2" t="s">
        <v>3</v>
      </c>
      <c r="HP94" s="2" t="s">
        <v>3</v>
      </c>
      <c r="HQ94" s="2" t="s">
        <v>3</v>
      </c>
      <c r="HS94" s="2">
        <v>0</v>
      </c>
      <c r="IK94" s="2">
        <v>0</v>
      </c>
    </row>
    <row r="95" spans="1:245" x14ac:dyDescent="0.2">
      <c r="A95" s="2">
        <v>18</v>
      </c>
      <c r="B95" s="2">
        <v>1</v>
      </c>
      <c r="C95" s="2">
        <v>88</v>
      </c>
      <c r="E95" s="2" t="s">
        <v>208</v>
      </c>
      <c r="F95" s="2" t="s">
        <v>209</v>
      </c>
      <c r="G95" s="2" t="s">
        <v>210</v>
      </c>
      <c r="H95" s="2" t="s">
        <v>201</v>
      </c>
      <c r="I95" s="2">
        <f>I94*J95</f>
        <v>0.94499999999999995</v>
      </c>
      <c r="J95" s="2">
        <v>105</v>
      </c>
      <c r="K95" s="2">
        <v>105</v>
      </c>
      <c r="O95" s="2">
        <f t="shared" si="62"/>
        <v>149.5</v>
      </c>
      <c r="P95" s="2">
        <f t="shared" si="63"/>
        <v>149.5</v>
      </c>
      <c r="Q95" s="2">
        <f>(ROUND((ROUND(((ET95)*AV95*I95),2)*BB95),2)+ROUND((ROUND(((AE95-(EU95))*AV95*I95),2)*BS95),2))</f>
        <v>0</v>
      </c>
      <c r="R95" s="2">
        <f>(ROUND((ROUND(((EU95)*AV95*I95),2)*BS95),2)+ROUND((ROUND(((AE95-(EU95))*AV95*I95),2)*BS95),2))</f>
        <v>0</v>
      </c>
      <c r="S95" s="2">
        <f t="shared" si="64"/>
        <v>0</v>
      </c>
      <c r="T95" s="2">
        <f t="shared" si="65"/>
        <v>0</v>
      </c>
      <c r="U95" s="2">
        <f t="shared" si="66"/>
        <v>0</v>
      </c>
      <c r="V95" s="2">
        <f t="shared" si="67"/>
        <v>0</v>
      </c>
      <c r="W95" s="2">
        <f t="shared" si="68"/>
        <v>0</v>
      </c>
      <c r="X95" s="2">
        <f>(ROUND((((S95+ROUND((ROUND(((EU95)*AV95*I95),2)*BS95),2))*AT95)/100),2)+ROUND(((ROUND((ROUND(((AE95-(EU95))*AV95*I95),2)*BS95),2)*AT95)/100),2))</f>
        <v>0</v>
      </c>
      <c r="Y95" s="2">
        <f>(ROUND((((S95+ROUND((ROUND(((EU95)*AV95*I95),2)*BS95),2))*AU95)/100),2)+ROUND(((ROUND((ROUND(((AE95-(EU95))*AV95*I95),2)*BS95),2)*AU95)/100),2))</f>
        <v>0</v>
      </c>
      <c r="AA95" s="2">
        <v>56793366</v>
      </c>
      <c r="AB95" s="2">
        <f t="shared" si="69"/>
        <v>8.7899999999999991</v>
      </c>
      <c r="AC95" s="2">
        <f>ROUND((ES95),6)</f>
        <v>8.7899999999999991</v>
      </c>
      <c r="AD95" s="2">
        <f>ROUND((((ET95)-(EU95))+AE95),6)</f>
        <v>0</v>
      </c>
      <c r="AE95" s="2">
        <f>ROUND((EU95),6)</f>
        <v>0</v>
      </c>
      <c r="AF95" s="2">
        <f>ROUND((EV95),6)</f>
        <v>0</v>
      </c>
      <c r="AG95" s="2">
        <f t="shared" si="71"/>
        <v>0</v>
      </c>
      <c r="AH95" s="2">
        <f>(EW95)</f>
        <v>0</v>
      </c>
      <c r="AI95" s="2">
        <f>(EX95)</f>
        <v>0</v>
      </c>
      <c r="AJ95" s="2">
        <f t="shared" si="73"/>
        <v>0</v>
      </c>
      <c r="AK95" s="2">
        <v>8.7899999999999991</v>
      </c>
      <c r="AL95" s="2">
        <v>8.7899999999999991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101</v>
      </c>
      <c r="AU95" s="2">
        <v>55</v>
      </c>
      <c r="AV95" s="2">
        <v>1</v>
      </c>
      <c r="AW95" s="2">
        <v>1</v>
      </c>
      <c r="AZ95" s="2">
        <v>1</v>
      </c>
      <c r="BA95" s="2">
        <v>1</v>
      </c>
      <c r="BB95" s="2">
        <v>1</v>
      </c>
      <c r="BC95" s="2">
        <v>17.989999999999998</v>
      </c>
      <c r="BD95" s="2" t="s">
        <v>3</v>
      </c>
      <c r="BE95" s="2" t="s">
        <v>3</v>
      </c>
      <c r="BF95" s="2" t="s">
        <v>3</v>
      </c>
      <c r="BG95" s="2" t="s">
        <v>3</v>
      </c>
      <c r="BH95" s="2">
        <v>3</v>
      </c>
      <c r="BI95" s="2">
        <v>1</v>
      </c>
      <c r="BJ95" s="2" t="s">
        <v>211</v>
      </c>
      <c r="BM95" s="2">
        <v>15</v>
      </c>
      <c r="BN95" s="2">
        <v>0</v>
      </c>
      <c r="BO95" s="2" t="s">
        <v>209</v>
      </c>
      <c r="BP95" s="2">
        <v>1</v>
      </c>
      <c r="BQ95" s="2">
        <v>30</v>
      </c>
      <c r="BR95" s="2">
        <v>0</v>
      </c>
      <c r="BS95" s="2">
        <v>1</v>
      </c>
      <c r="BT95" s="2">
        <v>1</v>
      </c>
      <c r="BU95" s="2">
        <v>1</v>
      </c>
      <c r="BV95" s="2">
        <v>1</v>
      </c>
      <c r="BW95" s="2">
        <v>1</v>
      </c>
      <c r="BX95" s="2">
        <v>1</v>
      </c>
      <c r="BY95" s="2" t="s">
        <v>3</v>
      </c>
      <c r="BZ95" s="2">
        <v>101</v>
      </c>
      <c r="CA95" s="2">
        <v>55</v>
      </c>
      <c r="CB95" s="2" t="s">
        <v>3</v>
      </c>
      <c r="CE95" s="2">
        <v>1566</v>
      </c>
      <c r="CF95" s="2">
        <v>0</v>
      </c>
      <c r="CG95" s="2">
        <v>0</v>
      </c>
      <c r="CM95" s="2">
        <v>0</v>
      </c>
      <c r="CN95" s="2" t="s">
        <v>520</v>
      </c>
      <c r="CO95" s="2">
        <v>0</v>
      </c>
      <c r="CP95" s="2">
        <f t="shared" si="74"/>
        <v>149.5</v>
      </c>
      <c r="CQ95" s="2">
        <f t="shared" si="75"/>
        <v>158.13</v>
      </c>
      <c r="CR95" s="2">
        <f>(ROUND((ROUND(((ET95)*AV95*1),2)*BB95),2)+ROUND((ROUND(((AE95-(EU95))*AV95*1),2)*BS95),2))</f>
        <v>0</v>
      </c>
      <c r="CS95" s="2">
        <f>(ROUND((ROUND(((EU95)*AV95*1),2)*BS95),2)+ROUND((ROUND(((AE95-(EU95))*AV95*1),2)*BS95),2))</f>
        <v>0</v>
      </c>
      <c r="CT95" s="2">
        <f t="shared" si="76"/>
        <v>0</v>
      </c>
      <c r="CU95" s="2">
        <f t="shared" si="77"/>
        <v>0</v>
      </c>
      <c r="CV95" s="2">
        <f t="shared" si="78"/>
        <v>0</v>
      </c>
      <c r="CW95" s="2">
        <f t="shared" si="79"/>
        <v>0</v>
      </c>
      <c r="CX95" s="2">
        <f t="shared" si="80"/>
        <v>0</v>
      </c>
      <c r="CY95" s="2">
        <f>(ROUND((((S95+ROUND((ROUND(((EU95)*AV95*1),2)*BS95),2))*AT95)/100),2)+ROUND(((ROUND((ROUND(((AE95-(EU95))*AV95*1),2)*BS95),2)*AT95)/100),2))</f>
        <v>0</v>
      </c>
      <c r="CZ95" s="2">
        <f>(ROUND((((S95+ROUND((ROUND(((EU95)*AV95*1),2)*BS95),2))*AU95)/100),2)+ROUND(((ROUND((ROUND(((AE95-(EU95))*AV95*1),2)*BS95),2)*AU95)/100),2))</f>
        <v>0</v>
      </c>
      <c r="DC95" s="2" t="s">
        <v>3</v>
      </c>
      <c r="DD95" s="2" t="s">
        <v>3</v>
      </c>
      <c r="DE95" s="2" t="s">
        <v>3</v>
      </c>
      <c r="DF95" s="2" t="s">
        <v>3</v>
      </c>
      <c r="DG95" s="2" t="s">
        <v>3</v>
      </c>
      <c r="DH95" s="2" t="s">
        <v>3</v>
      </c>
      <c r="DI95" s="2" t="s">
        <v>3</v>
      </c>
      <c r="DJ95" s="2" t="s">
        <v>3</v>
      </c>
      <c r="DK95" s="2" t="s">
        <v>3</v>
      </c>
      <c r="DL95" s="2" t="s">
        <v>3</v>
      </c>
      <c r="DM95" s="2" t="s">
        <v>3</v>
      </c>
      <c r="DN95" s="2">
        <v>0</v>
      </c>
      <c r="DO95" s="2">
        <v>0</v>
      </c>
      <c r="DP95" s="2">
        <v>1</v>
      </c>
      <c r="DQ95" s="2">
        <v>1</v>
      </c>
      <c r="DU95" s="2">
        <v>1003</v>
      </c>
      <c r="DV95" s="2" t="s">
        <v>201</v>
      </c>
      <c r="DW95" s="2" t="s">
        <v>201</v>
      </c>
      <c r="DX95" s="2">
        <v>1</v>
      </c>
      <c r="DZ95" s="2" t="s">
        <v>3</v>
      </c>
      <c r="EA95" s="2" t="s">
        <v>3</v>
      </c>
      <c r="EB95" s="2" t="s">
        <v>3</v>
      </c>
      <c r="EC95" s="2" t="s">
        <v>3</v>
      </c>
      <c r="EE95" s="2">
        <v>55896063</v>
      </c>
      <c r="EF95" s="2">
        <v>30</v>
      </c>
      <c r="EG95" s="2" t="s">
        <v>49</v>
      </c>
      <c r="EH95" s="2">
        <v>0</v>
      </c>
      <c r="EI95" s="2" t="s">
        <v>3</v>
      </c>
      <c r="EJ95" s="2">
        <v>1</v>
      </c>
      <c r="EK95" s="2">
        <v>15</v>
      </c>
      <c r="EL95" s="2" t="s">
        <v>137</v>
      </c>
      <c r="EM95" s="2" t="s">
        <v>138</v>
      </c>
      <c r="EO95" s="2" t="s">
        <v>28</v>
      </c>
      <c r="EQ95" s="2">
        <v>0</v>
      </c>
      <c r="ER95" s="2">
        <v>8.7899999999999991</v>
      </c>
      <c r="ES95" s="2">
        <v>8.7899999999999991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FQ95" s="2">
        <v>0</v>
      </c>
      <c r="FR95" s="2">
        <v>0</v>
      </c>
      <c r="FS95" s="2">
        <v>0</v>
      </c>
      <c r="FX95" s="2">
        <v>101</v>
      </c>
      <c r="FY95" s="2">
        <v>55</v>
      </c>
      <c r="GA95" s="2" t="s">
        <v>3</v>
      </c>
      <c r="GD95" s="2">
        <v>1</v>
      </c>
      <c r="GF95" s="2">
        <v>-2062550467</v>
      </c>
      <c r="GG95" s="2">
        <v>2</v>
      </c>
      <c r="GH95" s="2">
        <v>1</v>
      </c>
      <c r="GI95" s="2">
        <v>2</v>
      </c>
      <c r="GJ95" s="2">
        <v>0</v>
      </c>
      <c r="GK95" s="2">
        <v>0</v>
      </c>
      <c r="GL95" s="2">
        <f t="shared" si="81"/>
        <v>0</v>
      </c>
      <c r="GM95" s="2">
        <f t="shared" si="82"/>
        <v>149.5</v>
      </c>
      <c r="GN95" s="2">
        <f t="shared" si="83"/>
        <v>149.5</v>
      </c>
      <c r="GO95" s="2">
        <f t="shared" si="84"/>
        <v>0</v>
      </c>
      <c r="GP95" s="2">
        <f t="shared" si="85"/>
        <v>0</v>
      </c>
      <c r="GR95" s="2">
        <v>0</v>
      </c>
      <c r="GS95" s="2">
        <v>3</v>
      </c>
      <c r="GT95" s="2">
        <v>0</v>
      </c>
      <c r="GU95" s="2" t="s">
        <v>3</v>
      </c>
      <c r="GV95" s="2">
        <f t="shared" si="86"/>
        <v>0</v>
      </c>
      <c r="GW95" s="2">
        <v>1</v>
      </c>
      <c r="GX95" s="2">
        <f t="shared" si="87"/>
        <v>0</v>
      </c>
      <c r="HA95" s="2">
        <v>0</v>
      </c>
      <c r="HB95" s="2">
        <v>0</v>
      </c>
      <c r="HC95" s="2">
        <f t="shared" si="88"/>
        <v>0</v>
      </c>
      <c r="HE95" s="2" t="s">
        <v>3</v>
      </c>
      <c r="HF95" s="2" t="s">
        <v>3</v>
      </c>
      <c r="HM95" s="2" t="s">
        <v>24</v>
      </c>
      <c r="HN95" s="2" t="s">
        <v>3</v>
      </c>
      <c r="HO95" s="2" t="s">
        <v>3</v>
      </c>
      <c r="HP95" s="2" t="s">
        <v>3</v>
      </c>
      <c r="HQ95" s="2" t="s">
        <v>3</v>
      </c>
      <c r="HS95" s="2">
        <v>0</v>
      </c>
      <c r="IK95" s="2">
        <v>0</v>
      </c>
    </row>
    <row r="97" spans="1:206" x14ac:dyDescent="0.2">
      <c r="A97" s="9">
        <v>51</v>
      </c>
      <c r="B97" s="9">
        <f>B70</f>
        <v>1</v>
      </c>
      <c r="C97" s="9">
        <f>A70</f>
        <v>5</v>
      </c>
      <c r="D97" s="9">
        <f>ROW(A70)</f>
        <v>70</v>
      </c>
      <c r="E97" s="9"/>
      <c r="F97" s="9" t="str">
        <f>IF(F70&lt;&gt;"",F70,"")</f>
        <v>Новый подраздел</v>
      </c>
      <c r="G97" s="9" t="str">
        <f>IF(G70&lt;&gt;"",G70,"")</f>
        <v>Полы</v>
      </c>
      <c r="H97" s="9">
        <v>0</v>
      </c>
      <c r="I97" s="9"/>
      <c r="J97" s="9"/>
      <c r="K97" s="9"/>
      <c r="L97" s="9"/>
      <c r="M97" s="9"/>
      <c r="N97" s="9"/>
      <c r="O97" s="9">
        <f t="shared" ref="O97:T97" si="94">ROUND(AB97,2)</f>
        <v>39315.629999999997</v>
      </c>
      <c r="P97" s="9">
        <f t="shared" si="94"/>
        <v>15059.84</v>
      </c>
      <c r="Q97" s="9">
        <f t="shared" si="94"/>
        <v>172.12</v>
      </c>
      <c r="R97" s="9">
        <f t="shared" si="94"/>
        <v>47.92</v>
      </c>
      <c r="S97" s="9">
        <f t="shared" si="94"/>
        <v>24083.67</v>
      </c>
      <c r="T97" s="9">
        <f t="shared" si="94"/>
        <v>0</v>
      </c>
      <c r="U97" s="9">
        <f>AH97</f>
        <v>35.422045900000001</v>
      </c>
      <c r="V97" s="9">
        <f>AI97</f>
        <v>0</v>
      </c>
      <c r="W97" s="9">
        <f>ROUND(AJ97,2)</f>
        <v>0</v>
      </c>
      <c r="X97" s="9">
        <f>ROUND(AK97,2)</f>
        <v>23512.57</v>
      </c>
      <c r="Y97" s="9">
        <f>ROUND(AL97,2)</f>
        <v>12842.21</v>
      </c>
      <c r="Z97" s="9"/>
      <c r="AA97" s="9"/>
      <c r="AB97" s="9">
        <f>ROUND(SUMIF(AA74:AA95,"=56793366",O74:O95),2)</f>
        <v>39315.629999999997</v>
      </c>
      <c r="AC97" s="9">
        <f>ROUND(SUMIF(AA74:AA95,"=56793366",P74:P95),2)</f>
        <v>15059.84</v>
      </c>
      <c r="AD97" s="9">
        <f>ROUND(SUMIF(AA74:AA95,"=56793366",Q74:Q95),2)</f>
        <v>172.12</v>
      </c>
      <c r="AE97" s="9">
        <f>ROUND(SUMIF(AA74:AA95,"=56793366",R74:R95),2)</f>
        <v>47.92</v>
      </c>
      <c r="AF97" s="9">
        <f>ROUND(SUMIF(AA74:AA95,"=56793366",S74:S95),2)</f>
        <v>24083.67</v>
      </c>
      <c r="AG97" s="9">
        <f>ROUND(SUMIF(AA74:AA95,"=56793366",T74:T95),2)</f>
        <v>0</v>
      </c>
      <c r="AH97" s="9">
        <f>SUMIF(AA74:AA95,"=56793366",U74:U95)</f>
        <v>35.422045900000001</v>
      </c>
      <c r="AI97" s="9">
        <f>SUMIF(AA74:AA95,"=56793366",V74:V95)</f>
        <v>0</v>
      </c>
      <c r="AJ97" s="9">
        <f>ROUND(SUMIF(AA74:AA95,"=56793366",W74:W95),2)</f>
        <v>0</v>
      </c>
      <c r="AK97" s="9">
        <f>ROUND(SUMIF(AA74:AA95,"=56793366",X74:X95),2)</f>
        <v>23512.57</v>
      </c>
      <c r="AL97" s="9">
        <f>ROUND(SUMIF(AA74:AA95,"=56793366",Y74:Y95),2)</f>
        <v>12842.21</v>
      </c>
      <c r="AM97" s="9"/>
      <c r="AN97" s="9"/>
      <c r="AO97" s="9">
        <f t="shared" ref="AO97:BD97" si="95">ROUND(BX97,2)</f>
        <v>0</v>
      </c>
      <c r="AP97" s="9">
        <f t="shared" si="95"/>
        <v>0</v>
      </c>
      <c r="AQ97" s="9">
        <f t="shared" si="95"/>
        <v>0</v>
      </c>
      <c r="AR97" s="9">
        <f t="shared" si="95"/>
        <v>75670.41</v>
      </c>
      <c r="AS97" s="9">
        <f t="shared" si="95"/>
        <v>75670.41</v>
      </c>
      <c r="AT97" s="9">
        <f t="shared" si="95"/>
        <v>0</v>
      </c>
      <c r="AU97" s="9">
        <f t="shared" si="95"/>
        <v>0</v>
      </c>
      <c r="AV97" s="9">
        <f t="shared" si="95"/>
        <v>15059.84</v>
      </c>
      <c r="AW97" s="9">
        <f t="shared" si="95"/>
        <v>15059.84</v>
      </c>
      <c r="AX97" s="9">
        <f t="shared" si="95"/>
        <v>0</v>
      </c>
      <c r="AY97" s="9">
        <f t="shared" si="95"/>
        <v>15059.84</v>
      </c>
      <c r="AZ97" s="9">
        <f t="shared" si="95"/>
        <v>0</v>
      </c>
      <c r="BA97" s="9">
        <f t="shared" si="95"/>
        <v>0</v>
      </c>
      <c r="BB97" s="9">
        <f t="shared" si="95"/>
        <v>0</v>
      </c>
      <c r="BC97" s="9">
        <f t="shared" si="95"/>
        <v>0</v>
      </c>
      <c r="BD97" s="9">
        <f t="shared" si="95"/>
        <v>0</v>
      </c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>
        <f>ROUND(SUMIF(AA74:AA95,"=56793366",FQ74:FQ95),2)</f>
        <v>0</v>
      </c>
      <c r="BY97" s="9">
        <f>ROUND(SUMIF(AA74:AA95,"=56793366",FR74:FR95),2)</f>
        <v>0</v>
      </c>
      <c r="BZ97" s="9">
        <f>ROUND(SUMIF(AA74:AA95,"=56793366",GL74:GL95),2)</f>
        <v>0</v>
      </c>
      <c r="CA97" s="9">
        <f>ROUND(SUMIF(AA74:AA95,"=56793366",GM74:GM95),2)</f>
        <v>75670.41</v>
      </c>
      <c r="CB97" s="9">
        <f>ROUND(SUMIF(AA74:AA95,"=56793366",GN74:GN95),2)</f>
        <v>75670.41</v>
      </c>
      <c r="CC97" s="9">
        <f>ROUND(SUMIF(AA74:AA95,"=56793366",GO74:GO95),2)</f>
        <v>0</v>
      </c>
      <c r="CD97" s="9">
        <f>ROUND(SUMIF(AA74:AA95,"=56793366",GP74:GP95),2)</f>
        <v>0</v>
      </c>
      <c r="CE97" s="9">
        <f>AC97-BX97</f>
        <v>15059.84</v>
      </c>
      <c r="CF97" s="9">
        <f>AC97-BY97</f>
        <v>15059.84</v>
      </c>
      <c r="CG97" s="9">
        <f>BX97-BZ97</f>
        <v>0</v>
      </c>
      <c r="CH97" s="9">
        <f>AC97-BX97-BY97+BZ97</f>
        <v>15059.84</v>
      </c>
      <c r="CI97" s="9">
        <f>BY97-BZ97</f>
        <v>0</v>
      </c>
      <c r="CJ97" s="9">
        <f>ROUND(SUMIF(AA74:AA95,"=56793366",GX74:GX95),2)</f>
        <v>0</v>
      </c>
      <c r="CK97" s="9">
        <f>ROUND(SUMIF(AA74:AA95,"=56793366",GY74:GY95),2)</f>
        <v>0</v>
      </c>
      <c r="CL97" s="9">
        <f>ROUND(SUMIF(AA74:AA95,"=56793366",GZ74:GZ95),2)</f>
        <v>0</v>
      </c>
      <c r="CM97" s="9">
        <f>ROUND(SUMIF(AA74:AA95,"=56793366",HD74:HD95),2)</f>
        <v>0</v>
      </c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>
        <v>0</v>
      </c>
    </row>
    <row r="99" spans="1:206" x14ac:dyDescent="0.2">
      <c r="A99" s="11">
        <v>50</v>
      </c>
      <c r="B99" s="11">
        <v>0</v>
      </c>
      <c r="C99" s="11">
        <v>0</v>
      </c>
      <c r="D99" s="11">
        <v>1</v>
      </c>
      <c r="E99" s="11">
        <v>201</v>
      </c>
      <c r="F99" s="11">
        <f>ROUND(Source!O97,O99)</f>
        <v>39315.629999999997</v>
      </c>
      <c r="G99" s="11" t="s">
        <v>61</v>
      </c>
      <c r="H99" s="11" t="s">
        <v>62</v>
      </c>
      <c r="I99" s="11"/>
      <c r="J99" s="11"/>
      <c r="K99" s="11">
        <v>-201</v>
      </c>
      <c r="L99" s="11">
        <v>1</v>
      </c>
      <c r="M99" s="11">
        <v>3</v>
      </c>
      <c r="N99" s="11" t="s">
        <v>3</v>
      </c>
      <c r="O99" s="11">
        <v>2</v>
      </c>
      <c r="P99" s="11"/>
      <c r="Q99" s="11"/>
      <c r="R99" s="11"/>
      <c r="S99" s="11"/>
      <c r="T99" s="11"/>
      <c r="U99" s="11"/>
      <c r="V99" s="11"/>
      <c r="W99" s="11">
        <v>39315.629999999997</v>
      </c>
      <c r="X99" s="11">
        <v>1</v>
      </c>
      <c r="Y99" s="11">
        <v>39315.629999999997</v>
      </c>
      <c r="Z99" s="11"/>
      <c r="AA99" s="11"/>
      <c r="AB99" s="11"/>
    </row>
    <row r="100" spans="1:206" x14ac:dyDescent="0.2">
      <c r="A100" s="11">
        <v>50</v>
      </c>
      <c r="B100" s="11">
        <v>0</v>
      </c>
      <c r="C100" s="11">
        <v>0</v>
      </c>
      <c r="D100" s="11">
        <v>1</v>
      </c>
      <c r="E100" s="11">
        <v>202</v>
      </c>
      <c r="F100" s="11">
        <f>ROUND(Source!P97,O100)</f>
        <v>15059.84</v>
      </c>
      <c r="G100" s="11" t="s">
        <v>63</v>
      </c>
      <c r="H100" s="11" t="s">
        <v>64</v>
      </c>
      <c r="I100" s="11"/>
      <c r="J100" s="11"/>
      <c r="K100" s="11">
        <v>-202</v>
      </c>
      <c r="L100" s="11">
        <v>2</v>
      </c>
      <c r="M100" s="11">
        <v>3</v>
      </c>
      <c r="N100" s="11" t="s">
        <v>3</v>
      </c>
      <c r="O100" s="11">
        <v>2</v>
      </c>
      <c r="P100" s="11"/>
      <c r="Q100" s="11"/>
      <c r="R100" s="11"/>
      <c r="S100" s="11"/>
      <c r="T100" s="11"/>
      <c r="U100" s="11"/>
      <c r="V100" s="11"/>
      <c r="W100" s="11">
        <v>15059.84</v>
      </c>
      <c r="X100" s="11">
        <v>1</v>
      </c>
      <c r="Y100" s="11">
        <v>15059.84</v>
      </c>
      <c r="Z100" s="11"/>
      <c r="AA100" s="11"/>
      <c r="AB100" s="11"/>
    </row>
    <row r="101" spans="1:206" x14ac:dyDescent="0.2">
      <c r="A101" s="11">
        <v>50</v>
      </c>
      <c r="B101" s="11">
        <v>0</v>
      </c>
      <c r="C101" s="11">
        <v>0</v>
      </c>
      <c r="D101" s="11">
        <v>1</v>
      </c>
      <c r="E101" s="11">
        <v>222</v>
      </c>
      <c r="F101" s="11">
        <f>ROUND(Source!AO97,O101)</f>
        <v>0</v>
      </c>
      <c r="G101" s="11" t="s">
        <v>65</v>
      </c>
      <c r="H101" s="11" t="s">
        <v>66</v>
      </c>
      <c r="I101" s="11"/>
      <c r="J101" s="11"/>
      <c r="K101" s="11">
        <v>-222</v>
      </c>
      <c r="L101" s="11">
        <v>3</v>
      </c>
      <c r="M101" s="11">
        <v>3</v>
      </c>
      <c r="N101" s="11" t="s">
        <v>3</v>
      </c>
      <c r="O101" s="11">
        <v>2</v>
      </c>
      <c r="P101" s="11"/>
      <c r="Q101" s="11"/>
      <c r="R101" s="11"/>
      <c r="S101" s="11"/>
      <c r="T101" s="11"/>
      <c r="U101" s="11"/>
      <c r="V101" s="11"/>
      <c r="W101" s="11">
        <v>0</v>
      </c>
      <c r="X101" s="11">
        <v>1</v>
      </c>
      <c r="Y101" s="11">
        <v>0</v>
      </c>
      <c r="Z101" s="11"/>
      <c r="AA101" s="11"/>
      <c r="AB101" s="11"/>
    </row>
    <row r="102" spans="1:206" x14ac:dyDescent="0.2">
      <c r="A102" s="11">
        <v>50</v>
      </c>
      <c r="B102" s="11">
        <v>0</v>
      </c>
      <c r="C102" s="11">
        <v>0</v>
      </c>
      <c r="D102" s="11">
        <v>1</v>
      </c>
      <c r="E102" s="11">
        <v>225</v>
      </c>
      <c r="F102" s="11">
        <f>ROUND(Source!AV97,O102)</f>
        <v>15059.84</v>
      </c>
      <c r="G102" s="11" t="s">
        <v>67</v>
      </c>
      <c r="H102" s="11" t="s">
        <v>68</v>
      </c>
      <c r="I102" s="11"/>
      <c r="J102" s="11"/>
      <c r="K102" s="11">
        <v>-225</v>
      </c>
      <c r="L102" s="11">
        <v>4</v>
      </c>
      <c r="M102" s="11">
        <v>3</v>
      </c>
      <c r="N102" s="11" t="s">
        <v>3</v>
      </c>
      <c r="O102" s="11">
        <v>2</v>
      </c>
      <c r="P102" s="11"/>
      <c r="Q102" s="11"/>
      <c r="R102" s="11"/>
      <c r="S102" s="11"/>
      <c r="T102" s="11"/>
      <c r="U102" s="11"/>
      <c r="V102" s="11"/>
      <c r="W102" s="11">
        <v>15059.84</v>
      </c>
      <c r="X102" s="11">
        <v>1</v>
      </c>
      <c r="Y102" s="11">
        <v>15059.84</v>
      </c>
      <c r="Z102" s="11"/>
      <c r="AA102" s="11"/>
      <c r="AB102" s="11"/>
    </row>
    <row r="103" spans="1:206" x14ac:dyDescent="0.2">
      <c r="A103" s="11">
        <v>50</v>
      </c>
      <c r="B103" s="11">
        <v>0</v>
      </c>
      <c r="C103" s="11">
        <v>0</v>
      </c>
      <c r="D103" s="11">
        <v>1</v>
      </c>
      <c r="E103" s="11">
        <v>226</v>
      </c>
      <c r="F103" s="11">
        <f>ROUND(Source!AW97,O103)</f>
        <v>15059.84</v>
      </c>
      <c r="G103" s="11" t="s">
        <v>69</v>
      </c>
      <c r="H103" s="11" t="s">
        <v>70</v>
      </c>
      <c r="I103" s="11"/>
      <c r="J103" s="11"/>
      <c r="K103" s="11">
        <v>-226</v>
      </c>
      <c r="L103" s="11">
        <v>5</v>
      </c>
      <c r="M103" s="11">
        <v>3</v>
      </c>
      <c r="N103" s="11" t="s">
        <v>3</v>
      </c>
      <c r="O103" s="11">
        <v>2</v>
      </c>
      <c r="P103" s="11"/>
      <c r="Q103" s="11"/>
      <c r="R103" s="11"/>
      <c r="S103" s="11"/>
      <c r="T103" s="11"/>
      <c r="U103" s="11"/>
      <c r="V103" s="11"/>
      <c r="W103" s="11">
        <v>15059.84</v>
      </c>
      <c r="X103" s="11">
        <v>1</v>
      </c>
      <c r="Y103" s="11">
        <v>15059.84</v>
      </c>
      <c r="Z103" s="11"/>
      <c r="AA103" s="11"/>
      <c r="AB103" s="11"/>
    </row>
    <row r="104" spans="1:206" x14ac:dyDescent="0.2">
      <c r="A104" s="11">
        <v>50</v>
      </c>
      <c r="B104" s="11">
        <v>0</v>
      </c>
      <c r="C104" s="11">
        <v>0</v>
      </c>
      <c r="D104" s="11">
        <v>1</v>
      </c>
      <c r="E104" s="11">
        <v>227</v>
      </c>
      <c r="F104" s="11">
        <f>ROUND(Source!AX97,O104)</f>
        <v>0</v>
      </c>
      <c r="G104" s="11" t="s">
        <v>71</v>
      </c>
      <c r="H104" s="11" t="s">
        <v>72</v>
      </c>
      <c r="I104" s="11"/>
      <c r="J104" s="11"/>
      <c r="K104" s="11">
        <v>-227</v>
      </c>
      <c r="L104" s="11">
        <v>6</v>
      </c>
      <c r="M104" s="11">
        <v>3</v>
      </c>
      <c r="N104" s="11" t="s">
        <v>3</v>
      </c>
      <c r="O104" s="11">
        <v>2</v>
      </c>
      <c r="P104" s="11"/>
      <c r="Q104" s="11"/>
      <c r="R104" s="11"/>
      <c r="S104" s="11"/>
      <c r="T104" s="11"/>
      <c r="U104" s="11"/>
      <c r="V104" s="11"/>
      <c r="W104" s="11">
        <v>0</v>
      </c>
      <c r="X104" s="11">
        <v>1</v>
      </c>
      <c r="Y104" s="11">
        <v>0</v>
      </c>
      <c r="Z104" s="11"/>
      <c r="AA104" s="11"/>
      <c r="AB104" s="11"/>
    </row>
    <row r="105" spans="1:206" x14ac:dyDescent="0.2">
      <c r="A105" s="11">
        <v>50</v>
      </c>
      <c r="B105" s="11">
        <v>0</v>
      </c>
      <c r="C105" s="11">
        <v>0</v>
      </c>
      <c r="D105" s="11">
        <v>1</v>
      </c>
      <c r="E105" s="11">
        <v>228</v>
      </c>
      <c r="F105" s="11">
        <f>ROUND(Source!AY97,O105)</f>
        <v>15059.84</v>
      </c>
      <c r="G105" s="11" t="s">
        <v>73</v>
      </c>
      <c r="H105" s="11" t="s">
        <v>74</v>
      </c>
      <c r="I105" s="11"/>
      <c r="J105" s="11"/>
      <c r="K105" s="11">
        <v>-228</v>
      </c>
      <c r="L105" s="11">
        <v>7</v>
      </c>
      <c r="M105" s="11">
        <v>3</v>
      </c>
      <c r="N105" s="11" t="s">
        <v>3</v>
      </c>
      <c r="O105" s="11">
        <v>2</v>
      </c>
      <c r="P105" s="11"/>
      <c r="Q105" s="11"/>
      <c r="R105" s="11"/>
      <c r="S105" s="11"/>
      <c r="T105" s="11"/>
      <c r="U105" s="11"/>
      <c r="V105" s="11"/>
      <c r="W105" s="11">
        <v>15059.84</v>
      </c>
      <c r="X105" s="11">
        <v>1</v>
      </c>
      <c r="Y105" s="11">
        <v>15059.84</v>
      </c>
      <c r="Z105" s="11"/>
      <c r="AA105" s="11"/>
      <c r="AB105" s="11"/>
    </row>
    <row r="106" spans="1:206" x14ac:dyDescent="0.2">
      <c r="A106" s="11">
        <v>50</v>
      </c>
      <c r="B106" s="11">
        <v>0</v>
      </c>
      <c r="C106" s="11">
        <v>0</v>
      </c>
      <c r="D106" s="11">
        <v>1</v>
      </c>
      <c r="E106" s="11">
        <v>216</v>
      </c>
      <c r="F106" s="11">
        <f>ROUND(Source!AP97,O106)</f>
        <v>0</v>
      </c>
      <c r="G106" s="11" t="s">
        <v>75</v>
      </c>
      <c r="H106" s="11" t="s">
        <v>76</v>
      </c>
      <c r="I106" s="11"/>
      <c r="J106" s="11"/>
      <c r="K106" s="11">
        <v>-216</v>
      </c>
      <c r="L106" s="11">
        <v>8</v>
      </c>
      <c r="M106" s="11">
        <v>3</v>
      </c>
      <c r="N106" s="11" t="s">
        <v>3</v>
      </c>
      <c r="O106" s="11">
        <v>2</v>
      </c>
      <c r="P106" s="11"/>
      <c r="Q106" s="11"/>
      <c r="R106" s="11"/>
      <c r="S106" s="11"/>
      <c r="T106" s="11"/>
      <c r="U106" s="11"/>
      <c r="V106" s="11"/>
      <c r="W106" s="11">
        <v>0</v>
      </c>
      <c r="X106" s="11">
        <v>1</v>
      </c>
      <c r="Y106" s="11">
        <v>0</v>
      </c>
      <c r="Z106" s="11"/>
      <c r="AA106" s="11"/>
      <c r="AB106" s="11"/>
    </row>
    <row r="107" spans="1:206" x14ac:dyDescent="0.2">
      <c r="A107" s="11">
        <v>50</v>
      </c>
      <c r="B107" s="11">
        <v>0</v>
      </c>
      <c r="C107" s="11">
        <v>0</v>
      </c>
      <c r="D107" s="11">
        <v>1</v>
      </c>
      <c r="E107" s="11">
        <v>223</v>
      </c>
      <c r="F107" s="11">
        <f>ROUND(Source!AQ97,O107)</f>
        <v>0</v>
      </c>
      <c r="G107" s="11" t="s">
        <v>77</v>
      </c>
      <c r="H107" s="11" t="s">
        <v>78</v>
      </c>
      <c r="I107" s="11"/>
      <c r="J107" s="11"/>
      <c r="K107" s="11">
        <v>-223</v>
      </c>
      <c r="L107" s="11">
        <v>9</v>
      </c>
      <c r="M107" s="11">
        <v>3</v>
      </c>
      <c r="N107" s="11" t="s">
        <v>3</v>
      </c>
      <c r="O107" s="11">
        <v>2</v>
      </c>
      <c r="P107" s="11"/>
      <c r="Q107" s="11"/>
      <c r="R107" s="11"/>
      <c r="S107" s="11"/>
      <c r="T107" s="11"/>
      <c r="U107" s="11"/>
      <c r="V107" s="11"/>
      <c r="W107" s="11">
        <v>0</v>
      </c>
      <c r="X107" s="11">
        <v>1</v>
      </c>
      <c r="Y107" s="11">
        <v>0</v>
      </c>
      <c r="Z107" s="11"/>
      <c r="AA107" s="11"/>
      <c r="AB107" s="11"/>
    </row>
    <row r="108" spans="1:206" x14ac:dyDescent="0.2">
      <c r="A108" s="11">
        <v>50</v>
      </c>
      <c r="B108" s="11">
        <v>0</v>
      </c>
      <c r="C108" s="11">
        <v>0</v>
      </c>
      <c r="D108" s="11">
        <v>1</v>
      </c>
      <c r="E108" s="11">
        <v>229</v>
      </c>
      <c r="F108" s="11">
        <f>ROUND(Source!AZ97,O108)</f>
        <v>0</v>
      </c>
      <c r="G108" s="11" t="s">
        <v>79</v>
      </c>
      <c r="H108" s="11" t="s">
        <v>80</v>
      </c>
      <c r="I108" s="11"/>
      <c r="J108" s="11"/>
      <c r="K108" s="11">
        <v>-229</v>
      </c>
      <c r="L108" s="11">
        <v>10</v>
      </c>
      <c r="M108" s="11">
        <v>3</v>
      </c>
      <c r="N108" s="11" t="s">
        <v>3</v>
      </c>
      <c r="O108" s="11">
        <v>2</v>
      </c>
      <c r="P108" s="11"/>
      <c r="Q108" s="11"/>
      <c r="R108" s="11"/>
      <c r="S108" s="11"/>
      <c r="T108" s="11"/>
      <c r="U108" s="11"/>
      <c r="V108" s="11"/>
      <c r="W108" s="11">
        <v>0</v>
      </c>
      <c r="X108" s="11">
        <v>1</v>
      </c>
      <c r="Y108" s="11">
        <v>0</v>
      </c>
      <c r="Z108" s="11"/>
      <c r="AA108" s="11"/>
      <c r="AB108" s="11"/>
    </row>
    <row r="109" spans="1:206" x14ac:dyDescent="0.2">
      <c r="A109" s="11">
        <v>50</v>
      </c>
      <c r="B109" s="11">
        <v>0</v>
      </c>
      <c r="C109" s="11">
        <v>0</v>
      </c>
      <c r="D109" s="11">
        <v>1</v>
      </c>
      <c r="E109" s="11">
        <v>203</v>
      </c>
      <c r="F109" s="11">
        <f>ROUND(Source!Q97,O109)</f>
        <v>172.12</v>
      </c>
      <c r="G109" s="11" t="s">
        <v>81</v>
      </c>
      <c r="H109" s="11" t="s">
        <v>82</v>
      </c>
      <c r="I109" s="11"/>
      <c r="J109" s="11"/>
      <c r="K109" s="11">
        <v>-203</v>
      </c>
      <c r="L109" s="11">
        <v>11</v>
      </c>
      <c r="M109" s="11">
        <v>3</v>
      </c>
      <c r="N109" s="11" t="s">
        <v>3</v>
      </c>
      <c r="O109" s="11">
        <v>2</v>
      </c>
      <c r="P109" s="11"/>
      <c r="Q109" s="11"/>
      <c r="R109" s="11"/>
      <c r="S109" s="11"/>
      <c r="T109" s="11"/>
      <c r="U109" s="11"/>
      <c r="V109" s="11"/>
      <c r="W109" s="11">
        <v>172.12</v>
      </c>
      <c r="X109" s="11">
        <v>1</v>
      </c>
      <c r="Y109" s="11">
        <v>172.12</v>
      </c>
      <c r="Z109" s="11"/>
      <c r="AA109" s="11"/>
      <c r="AB109" s="11"/>
    </row>
    <row r="110" spans="1:206" x14ac:dyDescent="0.2">
      <c r="A110" s="11">
        <v>50</v>
      </c>
      <c r="B110" s="11">
        <v>0</v>
      </c>
      <c r="C110" s="11">
        <v>0</v>
      </c>
      <c r="D110" s="11">
        <v>1</v>
      </c>
      <c r="E110" s="11">
        <v>231</v>
      </c>
      <c r="F110" s="11">
        <f>ROUND(Source!BB97,O110)</f>
        <v>0</v>
      </c>
      <c r="G110" s="11" t="s">
        <v>83</v>
      </c>
      <c r="H110" s="11" t="s">
        <v>84</v>
      </c>
      <c r="I110" s="11"/>
      <c r="J110" s="11"/>
      <c r="K110" s="11">
        <v>-231</v>
      </c>
      <c r="L110" s="11">
        <v>12</v>
      </c>
      <c r="M110" s="11">
        <v>3</v>
      </c>
      <c r="N110" s="11" t="s">
        <v>3</v>
      </c>
      <c r="O110" s="11">
        <v>2</v>
      </c>
      <c r="P110" s="11"/>
      <c r="Q110" s="11"/>
      <c r="R110" s="11"/>
      <c r="S110" s="11"/>
      <c r="T110" s="11"/>
      <c r="U110" s="11"/>
      <c r="V110" s="11"/>
      <c r="W110" s="11">
        <v>0</v>
      </c>
      <c r="X110" s="11">
        <v>1</v>
      </c>
      <c r="Y110" s="11">
        <v>0</v>
      </c>
      <c r="Z110" s="11"/>
      <c r="AA110" s="11"/>
      <c r="AB110" s="11"/>
    </row>
    <row r="111" spans="1:206" x14ac:dyDescent="0.2">
      <c r="A111" s="11">
        <v>50</v>
      </c>
      <c r="B111" s="11">
        <v>0</v>
      </c>
      <c r="C111" s="11">
        <v>0</v>
      </c>
      <c r="D111" s="11">
        <v>1</v>
      </c>
      <c r="E111" s="11">
        <v>204</v>
      </c>
      <c r="F111" s="11">
        <f>ROUND(Source!R97,O111)</f>
        <v>47.92</v>
      </c>
      <c r="G111" s="11" t="s">
        <v>85</v>
      </c>
      <c r="H111" s="11" t="s">
        <v>86</v>
      </c>
      <c r="I111" s="11"/>
      <c r="J111" s="11"/>
      <c r="K111" s="11">
        <v>-204</v>
      </c>
      <c r="L111" s="11">
        <v>13</v>
      </c>
      <c r="M111" s="11">
        <v>3</v>
      </c>
      <c r="N111" s="11" t="s">
        <v>3</v>
      </c>
      <c r="O111" s="11">
        <v>2</v>
      </c>
      <c r="P111" s="11"/>
      <c r="Q111" s="11"/>
      <c r="R111" s="11"/>
      <c r="S111" s="11"/>
      <c r="T111" s="11"/>
      <c r="U111" s="11"/>
      <c r="V111" s="11"/>
      <c r="W111" s="11">
        <v>47.92</v>
      </c>
      <c r="X111" s="11">
        <v>1</v>
      </c>
      <c r="Y111" s="11">
        <v>47.92</v>
      </c>
      <c r="Z111" s="11"/>
      <c r="AA111" s="11"/>
      <c r="AB111" s="11"/>
    </row>
    <row r="112" spans="1:206" x14ac:dyDescent="0.2">
      <c r="A112" s="11">
        <v>50</v>
      </c>
      <c r="B112" s="11">
        <v>0</v>
      </c>
      <c r="C112" s="11">
        <v>0</v>
      </c>
      <c r="D112" s="11">
        <v>1</v>
      </c>
      <c r="E112" s="11">
        <v>205</v>
      </c>
      <c r="F112" s="11">
        <f>ROUND(Source!S97,O112)</f>
        <v>24083.67</v>
      </c>
      <c r="G112" s="11" t="s">
        <v>87</v>
      </c>
      <c r="H112" s="11" t="s">
        <v>88</v>
      </c>
      <c r="I112" s="11"/>
      <c r="J112" s="11"/>
      <c r="K112" s="11">
        <v>-205</v>
      </c>
      <c r="L112" s="11">
        <v>14</v>
      </c>
      <c r="M112" s="11">
        <v>3</v>
      </c>
      <c r="N112" s="11" t="s">
        <v>3</v>
      </c>
      <c r="O112" s="11">
        <v>2</v>
      </c>
      <c r="P112" s="11"/>
      <c r="Q112" s="11"/>
      <c r="R112" s="11"/>
      <c r="S112" s="11"/>
      <c r="T112" s="11"/>
      <c r="U112" s="11"/>
      <c r="V112" s="11"/>
      <c r="W112" s="11">
        <v>24083.67</v>
      </c>
      <c r="X112" s="11">
        <v>1</v>
      </c>
      <c r="Y112" s="11">
        <v>24083.67</v>
      </c>
      <c r="Z112" s="11"/>
      <c r="AA112" s="11"/>
      <c r="AB112" s="11"/>
    </row>
    <row r="113" spans="1:88" x14ac:dyDescent="0.2">
      <c r="A113" s="11">
        <v>50</v>
      </c>
      <c r="B113" s="11">
        <v>0</v>
      </c>
      <c r="C113" s="11">
        <v>0</v>
      </c>
      <c r="D113" s="11">
        <v>1</v>
      </c>
      <c r="E113" s="11">
        <v>232</v>
      </c>
      <c r="F113" s="11">
        <f>ROUND(Source!BC97,O113)</f>
        <v>0</v>
      </c>
      <c r="G113" s="11" t="s">
        <v>89</v>
      </c>
      <c r="H113" s="11" t="s">
        <v>90</v>
      </c>
      <c r="I113" s="11"/>
      <c r="J113" s="11"/>
      <c r="K113" s="11">
        <v>-232</v>
      </c>
      <c r="L113" s="11">
        <v>15</v>
      </c>
      <c r="M113" s="11">
        <v>3</v>
      </c>
      <c r="N113" s="11" t="s">
        <v>3</v>
      </c>
      <c r="O113" s="11">
        <v>2</v>
      </c>
      <c r="P113" s="11"/>
      <c r="Q113" s="11"/>
      <c r="R113" s="11"/>
      <c r="S113" s="11"/>
      <c r="T113" s="11"/>
      <c r="U113" s="11"/>
      <c r="V113" s="11"/>
      <c r="W113" s="11">
        <v>0</v>
      </c>
      <c r="X113" s="11">
        <v>1</v>
      </c>
      <c r="Y113" s="11">
        <v>0</v>
      </c>
      <c r="Z113" s="11"/>
      <c r="AA113" s="11"/>
      <c r="AB113" s="11"/>
    </row>
    <row r="114" spans="1:88" x14ac:dyDescent="0.2">
      <c r="A114" s="11">
        <v>50</v>
      </c>
      <c r="B114" s="11">
        <v>0</v>
      </c>
      <c r="C114" s="11">
        <v>0</v>
      </c>
      <c r="D114" s="11">
        <v>1</v>
      </c>
      <c r="E114" s="11">
        <v>214</v>
      </c>
      <c r="F114" s="11">
        <f>ROUND(Source!AS97,O114)</f>
        <v>75670.41</v>
      </c>
      <c r="G114" s="11" t="s">
        <v>91</v>
      </c>
      <c r="H114" s="11" t="s">
        <v>92</v>
      </c>
      <c r="I114" s="11"/>
      <c r="J114" s="11"/>
      <c r="K114" s="11">
        <v>-214</v>
      </c>
      <c r="L114" s="11">
        <v>16</v>
      </c>
      <c r="M114" s="11">
        <v>3</v>
      </c>
      <c r="N114" s="11" t="s">
        <v>3</v>
      </c>
      <c r="O114" s="11">
        <v>2</v>
      </c>
      <c r="P114" s="11"/>
      <c r="Q114" s="11"/>
      <c r="R114" s="11"/>
      <c r="S114" s="11"/>
      <c r="T114" s="11"/>
      <c r="U114" s="11"/>
      <c r="V114" s="11"/>
      <c r="W114" s="11">
        <v>75670.41</v>
      </c>
      <c r="X114" s="11">
        <v>1</v>
      </c>
      <c r="Y114" s="11">
        <v>75670.41</v>
      </c>
      <c r="Z114" s="11"/>
      <c r="AA114" s="11"/>
      <c r="AB114" s="11"/>
    </row>
    <row r="115" spans="1:88" x14ac:dyDescent="0.2">
      <c r="A115" s="11">
        <v>50</v>
      </c>
      <c r="B115" s="11">
        <v>0</v>
      </c>
      <c r="C115" s="11">
        <v>0</v>
      </c>
      <c r="D115" s="11">
        <v>1</v>
      </c>
      <c r="E115" s="11">
        <v>215</v>
      </c>
      <c r="F115" s="11">
        <f>ROUND(Source!AT97,O115)</f>
        <v>0</v>
      </c>
      <c r="G115" s="11" t="s">
        <v>93</v>
      </c>
      <c r="H115" s="11" t="s">
        <v>94</v>
      </c>
      <c r="I115" s="11"/>
      <c r="J115" s="11"/>
      <c r="K115" s="11">
        <v>-215</v>
      </c>
      <c r="L115" s="11">
        <v>17</v>
      </c>
      <c r="M115" s="11">
        <v>3</v>
      </c>
      <c r="N115" s="11" t="s">
        <v>3</v>
      </c>
      <c r="O115" s="11">
        <v>2</v>
      </c>
      <c r="P115" s="11"/>
      <c r="Q115" s="11"/>
      <c r="R115" s="11"/>
      <c r="S115" s="11"/>
      <c r="T115" s="11"/>
      <c r="U115" s="11"/>
      <c r="V115" s="11"/>
      <c r="W115" s="11">
        <v>0</v>
      </c>
      <c r="X115" s="11">
        <v>1</v>
      </c>
      <c r="Y115" s="11">
        <v>0</v>
      </c>
      <c r="Z115" s="11"/>
      <c r="AA115" s="11"/>
      <c r="AB115" s="11"/>
    </row>
    <row r="116" spans="1:88" x14ac:dyDescent="0.2">
      <c r="A116" s="11">
        <v>50</v>
      </c>
      <c r="B116" s="11">
        <v>0</v>
      </c>
      <c r="C116" s="11">
        <v>0</v>
      </c>
      <c r="D116" s="11">
        <v>1</v>
      </c>
      <c r="E116" s="11">
        <v>217</v>
      </c>
      <c r="F116" s="11">
        <f>ROUND(Source!AU97,O116)</f>
        <v>0</v>
      </c>
      <c r="G116" s="11" t="s">
        <v>95</v>
      </c>
      <c r="H116" s="11" t="s">
        <v>96</v>
      </c>
      <c r="I116" s="11"/>
      <c r="J116" s="11"/>
      <c r="K116" s="11">
        <v>-217</v>
      </c>
      <c r="L116" s="11">
        <v>18</v>
      </c>
      <c r="M116" s="11">
        <v>3</v>
      </c>
      <c r="N116" s="11" t="s">
        <v>3</v>
      </c>
      <c r="O116" s="11">
        <v>2</v>
      </c>
      <c r="P116" s="11"/>
      <c r="Q116" s="11"/>
      <c r="R116" s="11"/>
      <c r="S116" s="11"/>
      <c r="T116" s="11"/>
      <c r="U116" s="11"/>
      <c r="V116" s="11"/>
      <c r="W116" s="11">
        <v>0</v>
      </c>
      <c r="X116" s="11">
        <v>1</v>
      </c>
      <c r="Y116" s="11">
        <v>0</v>
      </c>
      <c r="Z116" s="11"/>
      <c r="AA116" s="11"/>
      <c r="AB116" s="11"/>
    </row>
    <row r="117" spans="1:88" x14ac:dyDescent="0.2">
      <c r="A117" s="11">
        <v>50</v>
      </c>
      <c r="B117" s="11">
        <v>0</v>
      </c>
      <c r="C117" s="11">
        <v>0</v>
      </c>
      <c r="D117" s="11">
        <v>1</v>
      </c>
      <c r="E117" s="11">
        <v>230</v>
      </c>
      <c r="F117" s="11">
        <f>ROUND(Source!BA97,O117)</f>
        <v>0</v>
      </c>
      <c r="G117" s="11" t="s">
        <v>97</v>
      </c>
      <c r="H117" s="11" t="s">
        <v>98</v>
      </c>
      <c r="I117" s="11"/>
      <c r="J117" s="11"/>
      <c r="K117" s="11">
        <v>-230</v>
      </c>
      <c r="L117" s="11">
        <v>19</v>
      </c>
      <c r="M117" s="11">
        <v>3</v>
      </c>
      <c r="N117" s="11" t="s">
        <v>3</v>
      </c>
      <c r="O117" s="11">
        <v>2</v>
      </c>
      <c r="P117" s="11"/>
      <c r="Q117" s="11"/>
      <c r="R117" s="11"/>
      <c r="S117" s="11"/>
      <c r="T117" s="11"/>
      <c r="U117" s="11"/>
      <c r="V117" s="11"/>
      <c r="W117" s="11">
        <v>0</v>
      </c>
      <c r="X117" s="11">
        <v>1</v>
      </c>
      <c r="Y117" s="11">
        <v>0</v>
      </c>
      <c r="Z117" s="11"/>
      <c r="AA117" s="11"/>
      <c r="AB117" s="11"/>
    </row>
    <row r="118" spans="1:88" x14ac:dyDescent="0.2">
      <c r="A118" s="11">
        <v>50</v>
      </c>
      <c r="B118" s="11">
        <v>0</v>
      </c>
      <c r="C118" s="11">
        <v>0</v>
      </c>
      <c r="D118" s="11">
        <v>1</v>
      </c>
      <c r="E118" s="11">
        <v>206</v>
      </c>
      <c r="F118" s="11">
        <f>ROUND(Source!T97,O118)</f>
        <v>0</v>
      </c>
      <c r="G118" s="11" t="s">
        <v>99</v>
      </c>
      <c r="H118" s="11" t="s">
        <v>100</v>
      </c>
      <c r="I118" s="11"/>
      <c r="J118" s="11"/>
      <c r="K118" s="11">
        <v>-206</v>
      </c>
      <c r="L118" s="11">
        <v>20</v>
      </c>
      <c r="M118" s="11">
        <v>3</v>
      </c>
      <c r="N118" s="11" t="s">
        <v>3</v>
      </c>
      <c r="O118" s="11">
        <v>2</v>
      </c>
      <c r="P118" s="11"/>
      <c r="Q118" s="11"/>
      <c r="R118" s="11"/>
      <c r="S118" s="11"/>
      <c r="T118" s="11"/>
      <c r="U118" s="11"/>
      <c r="V118" s="11"/>
      <c r="W118" s="11">
        <v>0</v>
      </c>
      <c r="X118" s="11">
        <v>1</v>
      </c>
      <c r="Y118" s="11">
        <v>0</v>
      </c>
      <c r="Z118" s="11"/>
      <c r="AA118" s="11"/>
      <c r="AB118" s="11"/>
    </row>
    <row r="119" spans="1:88" x14ac:dyDescent="0.2">
      <c r="A119" s="11">
        <v>50</v>
      </c>
      <c r="B119" s="11">
        <v>0</v>
      </c>
      <c r="C119" s="11">
        <v>0</v>
      </c>
      <c r="D119" s="11">
        <v>1</v>
      </c>
      <c r="E119" s="11">
        <v>207</v>
      </c>
      <c r="F119" s="11">
        <f>Source!U97</f>
        <v>35.422045900000001</v>
      </c>
      <c r="G119" s="11" t="s">
        <v>101</v>
      </c>
      <c r="H119" s="11" t="s">
        <v>102</v>
      </c>
      <c r="I119" s="11"/>
      <c r="J119" s="11"/>
      <c r="K119" s="11">
        <v>-207</v>
      </c>
      <c r="L119" s="11">
        <v>21</v>
      </c>
      <c r="M119" s="11">
        <v>3</v>
      </c>
      <c r="N119" s="11" t="s">
        <v>3</v>
      </c>
      <c r="O119" s="11">
        <v>-1</v>
      </c>
      <c r="P119" s="11"/>
      <c r="Q119" s="11"/>
      <c r="R119" s="11"/>
      <c r="S119" s="11"/>
      <c r="T119" s="11"/>
      <c r="U119" s="11"/>
      <c r="V119" s="11"/>
      <c r="W119" s="11">
        <v>35.422045900000001</v>
      </c>
      <c r="X119" s="11">
        <v>1</v>
      </c>
      <c r="Y119" s="11">
        <v>35.422045900000001</v>
      </c>
      <c r="Z119" s="11"/>
      <c r="AA119" s="11"/>
      <c r="AB119" s="11"/>
    </row>
    <row r="120" spans="1:88" x14ac:dyDescent="0.2">
      <c r="A120" s="11">
        <v>50</v>
      </c>
      <c r="B120" s="11">
        <v>0</v>
      </c>
      <c r="C120" s="11">
        <v>0</v>
      </c>
      <c r="D120" s="11">
        <v>1</v>
      </c>
      <c r="E120" s="11">
        <v>208</v>
      </c>
      <c r="F120" s="11">
        <f>Source!V97</f>
        <v>0</v>
      </c>
      <c r="G120" s="11" t="s">
        <v>103</v>
      </c>
      <c r="H120" s="11" t="s">
        <v>104</v>
      </c>
      <c r="I120" s="11"/>
      <c r="J120" s="11"/>
      <c r="K120" s="11">
        <v>-208</v>
      </c>
      <c r="L120" s="11">
        <v>22</v>
      </c>
      <c r="M120" s="11">
        <v>3</v>
      </c>
      <c r="N120" s="11" t="s">
        <v>3</v>
      </c>
      <c r="O120" s="11">
        <v>-1</v>
      </c>
      <c r="P120" s="11"/>
      <c r="Q120" s="11"/>
      <c r="R120" s="11"/>
      <c r="S120" s="11"/>
      <c r="T120" s="11"/>
      <c r="U120" s="11"/>
      <c r="V120" s="11"/>
      <c r="W120" s="11">
        <v>0</v>
      </c>
      <c r="X120" s="11">
        <v>1</v>
      </c>
      <c r="Y120" s="11">
        <v>0</v>
      </c>
      <c r="Z120" s="11"/>
      <c r="AA120" s="11"/>
      <c r="AB120" s="11"/>
    </row>
    <row r="121" spans="1:88" x14ac:dyDescent="0.2">
      <c r="A121" s="11">
        <v>50</v>
      </c>
      <c r="B121" s="11">
        <v>0</v>
      </c>
      <c r="C121" s="11">
        <v>0</v>
      </c>
      <c r="D121" s="11">
        <v>1</v>
      </c>
      <c r="E121" s="11">
        <v>209</v>
      </c>
      <c r="F121" s="11">
        <f>ROUND(Source!W97,O121)</f>
        <v>0</v>
      </c>
      <c r="G121" s="11" t="s">
        <v>105</v>
      </c>
      <c r="H121" s="11" t="s">
        <v>106</v>
      </c>
      <c r="I121" s="11"/>
      <c r="J121" s="11"/>
      <c r="K121" s="11">
        <v>-209</v>
      </c>
      <c r="L121" s="11">
        <v>23</v>
      </c>
      <c r="M121" s="11">
        <v>3</v>
      </c>
      <c r="N121" s="11" t="s">
        <v>3</v>
      </c>
      <c r="O121" s="11">
        <v>2</v>
      </c>
      <c r="P121" s="11"/>
      <c r="Q121" s="11"/>
      <c r="R121" s="11"/>
      <c r="S121" s="11"/>
      <c r="T121" s="11"/>
      <c r="U121" s="11"/>
      <c r="V121" s="11"/>
      <c r="W121" s="11">
        <v>0</v>
      </c>
      <c r="X121" s="11">
        <v>1</v>
      </c>
      <c r="Y121" s="11">
        <v>0</v>
      </c>
      <c r="Z121" s="11"/>
      <c r="AA121" s="11"/>
      <c r="AB121" s="11"/>
    </row>
    <row r="122" spans="1:88" x14ac:dyDescent="0.2">
      <c r="A122" s="11">
        <v>50</v>
      </c>
      <c r="B122" s="11">
        <v>0</v>
      </c>
      <c r="C122" s="11">
        <v>0</v>
      </c>
      <c r="D122" s="11">
        <v>1</v>
      </c>
      <c r="E122" s="11">
        <v>233</v>
      </c>
      <c r="F122" s="11">
        <f>ROUND(Source!BD97,O122)</f>
        <v>0</v>
      </c>
      <c r="G122" s="11" t="s">
        <v>107</v>
      </c>
      <c r="H122" s="11" t="s">
        <v>108</v>
      </c>
      <c r="I122" s="11"/>
      <c r="J122" s="11"/>
      <c r="K122" s="11">
        <v>-233</v>
      </c>
      <c r="L122" s="11">
        <v>24</v>
      </c>
      <c r="M122" s="11">
        <v>3</v>
      </c>
      <c r="N122" s="11" t="s">
        <v>3</v>
      </c>
      <c r="O122" s="11">
        <v>2</v>
      </c>
      <c r="P122" s="11"/>
      <c r="Q122" s="11"/>
      <c r="R122" s="11"/>
      <c r="S122" s="11"/>
      <c r="T122" s="11"/>
      <c r="U122" s="11"/>
      <c r="V122" s="11"/>
      <c r="W122" s="11">
        <v>0</v>
      </c>
      <c r="X122" s="11">
        <v>1</v>
      </c>
      <c r="Y122" s="11">
        <v>0</v>
      </c>
      <c r="Z122" s="11"/>
      <c r="AA122" s="11"/>
      <c r="AB122" s="11"/>
    </row>
    <row r="123" spans="1:88" x14ac:dyDescent="0.2">
      <c r="A123" s="11">
        <v>50</v>
      </c>
      <c r="B123" s="11">
        <v>0</v>
      </c>
      <c r="C123" s="11">
        <v>0</v>
      </c>
      <c r="D123" s="11">
        <v>1</v>
      </c>
      <c r="E123" s="11">
        <v>210</v>
      </c>
      <c r="F123" s="11">
        <f>ROUND(Source!X97,O123)</f>
        <v>23512.57</v>
      </c>
      <c r="G123" s="11" t="s">
        <v>109</v>
      </c>
      <c r="H123" s="11" t="s">
        <v>110</v>
      </c>
      <c r="I123" s="11"/>
      <c r="J123" s="11"/>
      <c r="K123" s="11">
        <v>-210</v>
      </c>
      <c r="L123" s="11">
        <v>25</v>
      </c>
      <c r="M123" s="11">
        <v>3</v>
      </c>
      <c r="N123" s="11" t="s">
        <v>3</v>
      </c>
      <c r="O123" s="11">
        <v>2</v>
      </c>
      <c r="P123" s="11"/>
      <c r="Q123" s="11"/>
      <c r="R123" s="11"/>
      <c r="S123" s="11"/>
      <c r="T123" s="11"/>
      <c r="U123" s="11"/>
      <c r="V123" s="11"/>
      <c r="W123" s="11">
        <v>23512.57</v>
      </c>
      <c r="X123" s="11">
        <v>1</v>
      </c>
      <c r="Y123" s="11">
        <v>23512.57</v>
      </c>
      <c r="Z123" s="11"/>
      <c r="AA123" s="11"/>
      <c r="AB123" s="11"/>
    </row>
    <row r="124" spans="1:88" x14ac:dyDescent="0.2">
      <c r="A124" s="11">
        <v>50</v>
      </c>
      <c r="B124" s="11">
        <v>0</v>
      </c>
      <c r="C124" s="11">
        <v>0</v>
      </c>
      <c r="D124" s="11">
        <v>1</v>
      </c>
      <c r="E124" s="11">
        <v>211</v>
      </c>
      <c r="F124" s="11">
        <f>ROUND(Source!Y97,O124)</f>
        <v>12842.21</v>
      </c>
      <c r="G124" s="11" t="s">
        <v>111</v>
      </c>
      <c r="H124" s="11" t="s">
        <v>112</v>
      </c>
      <c r="I124" s="11"/>
      <c r="J124" s="11"/>
      <c r="K124" s="11">
        <v>-211</v>
      </c>
      <c r="L124" s="11">
        <v>26</v>
      </c>
      <c r="M124" s="11">
        <v>3</v>
      </c>
      <c r="N124" s="11" t="s">
        <v>3</v>
      </c>
      <c r="O124" s="11">
        <v>2</v>
      </c>
      <c r="P124" s="11"/>
      <c r="Q124" s="11"/>
      <c r="R124" s="11"/>
      <c r="S124" s="11"/>
      <c r="T124" s="11"/>
      <c r="U124" s="11"/>
      <c r="V124" s="11"/>
      <c r="W124" s="11">
        <v>12842.21</v>
      </c>
      <c r="X124" s="11">
        <v>1</v>
      </c>
      <c r="Y124" s="11">
        <v>12842.21</v>
      </c>
      <c r="Z124" s="11"/>
      <c r="AA124" s="11"/>
      <c r="AB124" s="11"/>
    </row>
    <row r="125" spans="1:88" x14ac:dyDescent="0.2">
      <c r="A125" s="11">
        <v>50</v>
      </c>
      <c r="B125" s="11">
        <v>0</v>
      </c>
      <c r="C125" s="11">
        <v>0</v>
      </c>
      <c r="D125" s="11">
        <v>1</v>
      </c>
      <c r="E125" s="11">
        <v>224</v>
      </c>
      <c r="F125" s="11">
        <f>ROUND(Source!AR97,O125)</f>
        <v>75670.41</v>
      </c>
      <c r="G125" s="11" t="s">
        <v>113</v>
      </c>
      <c r="H125" s="11" t="s">
        <v>114</v>
      </c>
      <c r="I125" s="11"/>
      <c r="J125" s="11"/>
      <c r="K125" s="11">
        <v>-224</v>
      </c>
      <c r="L125" s="11">
        <v>27</v>
      </c>
      <c r="M125" s="11">
        <v>3</v>
      </c>
      <c r="N125" s="11" t="s">
        <v>3</v>
      </c>
      <c r="O125" s="11">
        <v>2</v>
      </c>
      <c r="P125" s="11"/>
      <c r="Q125" s="11"/>
      <c r="R125" s="11"/>
      <c r="S125" s="11"/>
      <c r="T125" s="11"/>
      <c r="U125" s="11"/>
      <c r="V125" s="11"/>
      <c r="W125" s="11">
        <v>75670.41</v>
      </c>
      <c r="X125" s="11">
        <v>1</v>
      </c>
      <c r="Y125" s="11">
        <v>75670.41</v>
      </c>
      <c r="Z125" s="11"/>
      <c r="AA125" s="11"/>
      <c r="AB125" s="11"/>
    </row>
    <row r="127" spans="1:88" x14ac:dyDescent="0.2">
      <c r="A127" s="8">
        <v>5</v>
      </c>
      <c r="B127" s="8">
        <v>1</v>
      </c>
      <c r="C127" s="8"/>
      <c r="D127" s="8">
        <f>ROW(A147)</f>
        <v>147</v>
      </c>
      <c r="E127" s="8"/>
      <c r="F127" s="8" t="s">
        <v>17</v>
      </c>
      <c r="G127" s="8" t="s">
        <v>212</v>
      </c>
      <c r="H127" s="8" t="s">
        <v>3</v>
      </c>
      <c r="I127" s="8">
        <v>0</v>
      </c>
      <c r="J127" s="8"/>
      <c r="K127" s="8">
        <v>0</v>
      </c>
      <c r="L127" s="8"/>
      <c r="M127" s="8" t="s">
        <v>3</v>
      </c>
      <c r="N127" s="8"/>
      <c r="O127" s="8"/>
      <c r="P127" s="8"/>
      <c r="Q127" s="8"/>
      <c r="R127" s="8"/>
      <c r="S127" s="8">
        <v>0</v>
      </c>
      <c r="T127" s="8"/>
      <c r="U127" s="8" t="s">
        <v>3</v>
      </c>
      <c r="V127" s="8">
        <v>0</v>
      </c>
      <c r="W127" s="8"/>
      <c r="X127" s="8"/>
      <c r="Y127" s="8"/>
      <c r="Z127" s="8"/>
      <c r="AA127" s="8"/>
      <c r="AB127" s="8" t="s">
        <v>3</v>
      </c>
      <c r="AC127" s="8" t="s">
        <v>3</v>
      </c>
      <c r="AD127" s="8" t="s">
        <v>3</v>
      </c>
      <c r="AE127" s="8" t="s">
        <v>3</v>
      </c>
      <c r="AF127" s="8" t="s">
        <v>3</v>
      </c>
      <c r="AG127" s="8" t="s">
        <v>3</v>
      </c>
      <c r="AH127" s="8"/>
      <c r="AI127" s="8"/>
      <c r="AJ127" s="8"/>
      <c r="AK127" s="8"/>
      <c r="AL127" s="8"/>
      <c r="AM127" s="8"/>
      <c r="AN127" s="8"/>
      <c r="AO127" s="8"/>
      <c r="AP127" s="8" t="s">
        <v>3</v>
      </c>
      <c r="AQ127" s="8" t="s">
        <v>3</v>
      </c>
      <c r="AR127" s="8" t="s">
        <v>3</v>
      </c>
      <c r="AS127" s="8"/>
      <c r="AT127" s="8"/>
      <c r="AU127" s="8"/>
      <c r="AV127" s="8"/>
      <c r="AW127" s="8"/>
      <c r="AX127" s="8"/>
      <c r="AY127" s="8"/>
      <c r="AZ127" s="8" t="s">
        <v>3</v>
      </c>
      <c r="BA127" s="8"/>
      <c r="BB127" s="8" t="s">
        <v>3</v>
      </c>
      <c r="BC127" s="8" t="s">
        <v>3</v>
      </c>
      <c r="BD127" s="8" t="s">
        <v>3</v>
      </c>
      <c r="BE127" s="8" t="s">
        <v>3</v>
      </c>
      <c r="BF127" s="8" t="s">
        <v>3</v>
      </c>
      <c r="BG127" s="8" t="s">
        <v>3</v>
      </c>
      <c r="BH127" s="8" t="s">
        <v>3</v>
      </c>
      <c r="BI127" s="8" t="s">
        <v>3</v>
      </c>
      <c r="BJ127" s="8" t="s">
        <v>3</v>
      </c>
      <c r="BK127" s="8" t="s">
        <v>3</v>
      </c>
      <c r="BL127" s="8" t="s">
        <v>3</v>
      </c>
      <c r="BM127" s="8" t="s">
        <v>3</v>
      </c>
      <c r="BN127" s="8" t="s">
        <v>3</v>
      </c>
      <c r="BO127" s="8" t="s">
        <v>3</v>
      </c>
      <c r="BP127" s="8" t="s">
        <v>3</v>
      </c>
      <c r="BQ127" s="8"/>
      <c r="BR127" s="8"/>
      <c r="BS127" s="8"/>
      <c r="BT127" s="8"/>
      <c r="BU127" s="8"/>
      <c r="BV127" s="8"/>
      <c r="BW127" s="8"/>
      <c r="BX127" s="8">
        <v>0</v>
      </c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>
        <v>0</v>
      </c>
    </row>
    <row r="129" spans="1:245" x14ac:dyDescent="0.2">
      <c r="A129" s="9">
        <v>52</v>
      </c>
      <c r="B129" s="9">
        <f t="shared" ref="B129:G129" si="96">B147</f>
        <v>1</v>
      </c>
      <c r="C129" s="9">
        <f t="shared" si="96"/>
        <v>5</v>
      </c>
      <c r="D129" s="9">
        <f t="shared" si="96"/>
        <v>127</v>
      </c>
      <c r="E129" s="9">
        <f t="shared" si="96"/>
        <v>0</v>
      </c>
      <c r="F129" s="9" t="str">
        <f t="shared" si="96"/>
        <v>Новый подраздел</v>
      </c>
      <c r="G129" s="9" t="str">
        <f t="shared" si="96"/>
        <v>Стены</v>
      </c>
      <c r="H129" s="9"/>
      <c r="I129" s="9"/>
      <c r="J129" s="9"/>
      <c r="K129" s="9"/>
      <c r="L129" s="9"/>
      <c r="M129" s="9"/>
      <c r="N129" s="9"/>
      <c r="O129" s="9">
        <f t="shared" ref="O129:AT129" si="97">O147</f>
        <v>58146.12</v>
      </c>
      <c r="P129" s="9">
        <f t="shared" si="97"/>
        <v>6707.03</v>
      </c>
      <c r="Q129" s="9">
        <f t="shared" si="97"/>
        <v>110.06</v>
      </c>
      <c r="R129" s="9">
        <f t="shared" si="97"/>
        <v>53.06</v>
      </c>
      <c r="S129" s="9">
        <f t="shared" si="97"/>
        <v>51329.03</v>
      </c>
      <c r="T129" s="9">
        <f t="shared" si="97"/>
        <v>0</v>
      </c>
      <c r="U129" s="9">
        <f t="shared" si="97"/>
        <v>80.041288000000009</v>
      </c>
      <c r="V129" s="9">
        <f t="shared" si="97"/>
        <v>0</v>
      </c>
      <c r="W129" s="9">
        <f t="shared" si="97"/>
        <v>0</v>
      </c>
      <c r="X129" s="9">
        <f t="shared" si="97"/>
        <v>46369.86</v>
      </c>
      <c r="Y129" s="9">
        <f t="shared" si="97"/>
        <v>22974.880000000001</v>
      </c>
      <c r="Z129" s="9">
        <f t="shared" si="97"/>
        <v>0</v>
      </c>
      <c r="AA129" s="9">
        <f t="shared" si="97"/>
        <v>0</v>
      </c>
      <c r="AB129" s="9">
        <f t="shared" si="97"/>
        <v>58146.12</v>
      </c>
      <c r="AC129" s="9">
        <f t="shared" si="97"/>
        <v>6707.03</v>
      </c>
      <c r="AD129" s="9">
        <f t="shared" si="97"/>
        <v>110.06</v>
      </c>
      <c r="AE129" s="9">
        <f t="shared" si="97"/>
        <v>53.06</v>
      </c>
      <c r="AF129" s="9">
        <f t="shared" si="97"/>
        <v>51329.03</v>
      </c>
      <c r="AG129" s="9">
        <f t="shared" si="97"/>
        <v>0</v>
      </c>
      <c r="AH129" s="9">
        <f t="shared" si="97"/>
        <v>80.041288000000009</v>
      </c>
      <c r="AI129" s="9">
        <f t="shared" si="97"/>
        <v>0</v>
      </c>
      <c r="AJ129" s="9">
        <f t="shared" si="97"/>
        <v>0</v>
      </c>
      <c r="AK129" s="9">
        <f t="shared" si="97"/>
        <v>46369.86</v>
      </c>
      <c r="AL129" s="9">
        <f t="shared" si="97"/>
        <v>22974.880000000001</v>
      </c>
      <c r="AM129" s="9">
        <f t="shared" si="97"/>
        <v>0</v>
      </c>
      <c r="AN129" s="9">
        <f t="shared" si="97"/>
        <v>0</v>
      </c>
      <c r="AO129" s="9">
        <f t="shared" si="97"/>
        <v>0</v>
      </c>
      <c r="AP129" s="9">
        <f t="shared" si="97"/>
        <v>0</v>
      </c>
      <c r="AQ129" s="9">
        <f t="shared" si="97"/>
        <v>0</v>
      </c>
      <c r="AR129" s="9">
        <f t="shared" si="97"/>
        <v>127490.86</v>
      </c>
      <c r="AS129" s="9">
        <f t="shared" si="97"/>
        <v>127490.86</v>
      </c>
      <c r="AT129" s="9">
        <f t="shared" si="97"/>
        <v>0</v>
      </c>
      <c r="AU129" s="9">
        <f t="shared" ref="AU129:BZ129" si="98">AU147</f>
        <v>0</v>
      </c>
      <c r="AV129" s="9">
        <f t="shared" si="98"/>
        <v>6707.03</v>
      </c>
      <c r="AW129" s="9">
        <f t="shared" si="98"/>
        <v>6707.03</v>
      </c>
      <c r="AX129" s="9">
        <f t="shared" si="98"/>
        <v>0</v>
      </c>
      <c r="AY129" s="9">
        <f t="shared" si="98"/>
        <v>6707.03</v>
      </c>
      <c r="AZ129" s="9">
        <f t="shared" si="98"/>
        <v>0</v>
      </c>
      <c r="BA129" s="9">
        <f t="shared" si="98"/>
        <v>0</v>
      </c>
      <c r="BB129" s="9">
        <f t="shared" si="98"/>
        <v>0</v>
      </c>
      <c r="BC129" s="9">
        <f t="shared" si="98"/>
        <v>0</v>
      </c>
      <c r="BD129" s="9">
        <f t="shared" si="98"/>
        <v>0</v>
      </c>
      <c r="BE129" s="9">
        <f t="shared" si="98"/>
        <v>0</v>
      </c>
      <c r="BF129" s="9">
        <f t="shared" si="98"/>
        <v>0</v>
      </c>
      <c r="BG129" s="9">
        <f t="shared" si="98"/>
        <v>0</v>
      </c>
      <c r="BH129" s="9">
        <f t="shared" si="98"/>
        <v>0</v>
      </c>
      <c r="BI129" s="9">
        <f t="shared" si="98"/>
        <v>0</v>
      </c>
      <c r="BJ129" s="9">
        <f t="shared" si="98"/>
        <v>0</v>
      </c>
      <c r="BK129" s="9">
        <f t="shared" si="98"/>
        <v>0</v>
      </c>
      <c r="BL129" s="9">
        <f t="shared" si="98"/>
        <v>0</v>
      </c>
      <c r="BM129" s="9">
        <f t="shared" si="98"/>
        <v>0</v>
      </c>
      <c r="BN129" s="9">
        <f t="shared" si="98"/>
        <v>0</v>
      </c>
      <c r="BO129" s="9">
        <f t="shared" si="98"/>
        <v>0</v>
      </c>
      <c r="BP129" s="9">
        <f t="shared" si="98"/>
        <v>0</v>
      </c>
      <c r="BQ129" s="9">
        <f t="shared" si="98"/>
        <v>0</v>
      </c>
      <c r="BR129" s="9">
        <f t="shared" si="98"/>
        <v>0</v>
      </c>
      <c r="BS129" s="9">
        <f t="shared" si="98"/>
        <v>0</v>
      </c>
      <c r="BT129" s="9">
        <f t="shared" si="98"/>
        <v>0</v>
      </c>
      <c r="BU129" s="9">
        <f t="shared" si="98"/>
        <v>0</v>
      </c>
      <c r="BV129" s="9">
        <f t="shared" si="98"/>
        <v>0</v>
      </c>
      <c r="BW129" s="9">
        <f t="shared" si="98"/>
        <v>0</v>
      </c>
      <c r="BX129" s="9">
        <f t="shared" si="98"/>
        <v>0</v>
      </c>
      <c r="BY129" s="9">
        <f t="shared" si="98"/>
        <v>0</v>
      </c>
      <c r="BZ129" s="9">
        <f t="shared" si="98"/>
        <v>0</v>
      </c>
      <c r="CA129" s="9">
        <f t="shared" ref="CA129:DF129" si="99">CA147</f>
        <v>127490.86</v>
      </c>
      <c r="CB129" s="9">
        <f t="shared" si="99"/>
        <v>127490.86</v>
      </c>
      <c r="CC129" s="9">
        <f t="shared" si="99"/>
        <v>0</v>
      </c>
      <c r="CD129" s="9">
        <f t="shared" si="99"/>
        <v>0</v>
      </c>
      <c r="CE129" s="9">
        <f t="shared" si="99"/>
        <v>6707.03</v>
      </c>
      <c r="CF129" s="9">
        <f t="shared" si="99"/>
        <v>6707.03</v>
      </c>
      <c r="CG129" s="9">
        <f t="shared" si="99"/>
        <v>0</v>
      </c>
      <c r="CH129" s="9">
        <f t="shared" si="99"/>
        <v>6707.03</v>
      </c>
      <c r="CI129" s="9">
        <f t="shared" si="99"/>
        <v>0</v>
      </c>
      <c r="CJ129" s="9">
        <f t="shared" si="99"/>
        <v>0</v>
      </c>
      <c r="CK129" s="9">
        <f t="shared" si="99"/>
        <v>0</v>
      </c>
      <c r="CL129" s="9">
        <f t="shared" si="99"/>
        <v>0</v>
      </c>
      <c r="CM129" s="9">
        <f t="shared" si="99"/>
        <v>0</v>
      </c>
      <c r="CN129" s="9">
        <f t="shared" si="99"/>
        <v>0</v>
      </c>
      <c r="CO129" s="9">
        <f t="shared" si="99"/>
        <v>0</v>
      </c>
      <c r="CP129" s="9">
        <f t="shared" si="99"/>
        <v>0</v>
      </c>
      <c r="CQ129" s="9">
        <f t="shared" si="99"/>
        <v>0</v>
      </c>
      <c r="CR129" s="9">
        <f t="shared" si="99"/>
        <v>0</v>
      </c>
      <c r="CS129" s="9">
        <f t="shared" si="99"/>
        <v>0</v>
      </c>
      <c r="CT129" s="9">
        <f t="shared" si="99"/>
        <v>0</v>
      </c>
      <c r="CU129" s="9">
        <f t="shared" si="99"/>
        <v>0</v>
      </c>
      <c r="CV129" s="9">
        <f t="shared" si="99"/>
        <v>0</v>
      </c>
      <c r="CW129" s="9">
        <f t="shared" si="99"/>
        <v>0</v>
      </c>
      <c r="CX129" s="9">
        <f t="shared" si="99"/>
        <v>0</v>
      </c>
      <c r="CY129" s="9">
        <f t="shared" si="99"/>
        <v>0</v>
      </c>
      <c r="CZ129" s="9">
        <f t="shared" si="99"/>
        <v>0</v>
      </c>
      <c r="DA129" s="9">
        <f t="shared" si="99"/>
        <v>0</v>
      </c>
      <c r="DB129" s="9">
        <f t="shared" si="99"/>
        <v>0</v>
      </c>
      <c r="DC129" s="9">
        <f t="shared" si="99"/>
        <v>0</v>
      </c>
      <c r="DD129" s="9">
        <f t="shared" si="99"/>
        <v>0</v>
      </c>
      <c r="DE129" s="9">
        <f t="shared" si="99"/>
        <v>0</v>
      </c>
      <c r="DF129" s="9">
        <f t="shared" si="99"/>
        <v>0</v>
      </c>
      <c r="DG129" s="10">
        <f t="shared" ref="DG129:EL129" si="100">DG147</f>
        <v>0</v>
      </c>
      <c r="DH129" s="10">
        <f t="shared" si="100"/>
        <v>0</v>
      </c>
      <c r="DI129" s="10">
        <f t="shared" si="100"/>
        <v>0</v>
      </c>
      <c r="DJ129" s="10">
        <f t="shared" si="100"/>
        <v>0</v>
      </c>
      <c r="DK129" s="10">
        <f t="shared" si="100"/>
        <v>0</v>
      </c>
      <c r="DL129" s="10">
        <f t="shared" si="100"/>
        <v>0</v>
      </c>
      <c r="DM129" s="10">
        <f t="shared" si="100"/>
        <v>0</v>
      </c>
      <c r="DN129" s="10">
        <f t="shared" si="100"/>
        <v>0</v>
      </c>
      <c r="DO129" s="10">
        <f t="shared" si="100"/>
        <v>0</v>
      </c>
      <c r="DP129" s="10">
        <f t="shared" si="100"/>
        <v>0</v>
      </c>
      <c r="DQ129" s="10">
        <f t="shared" si="100"/>
        <v>0</v>
      </c>
      <c r="DR129" s="10">
        <f t="shared" si="100"/>
        <v>0</v>
      </c>
      <c r="DS129" s="10">
        <f t="shared" si="100"/>
        <v>0</v>
      </c>
      <c r="DT129" s="10">
        <f t="shared" si="100"/>
        <v>0</v>
      </c>
      <c r="DU129" s="10">
        <f t="shared" si="100"/>
        <v>0</v>
      </c>
      <c r="DV129" s="10">
        <f t="shared" si="100"/>
        <v>0</v>
      </c>
      <c r="DW129" s="10">
        <f t="shared" si="100"/>
        <v>0</v>
      </c>
      <c r="DX129" s="10">
        <f t="shared" si="100"/>
        <v>0</v>
      </c>
      <c r="DY129" s="10">
        <f t="shared" si="100"/>
        <v>0</v>
      </c>
      <c r="DZ129" s="10">
        <f t="shared" si="100"/>
        <v>0</v>
      </c>
      <c r="EA129" s="10">
        <f t="shared" si="100"/>
        <v>0</v>
      </c>
      <c r="EB129" s="10">
        <f t="shared" si="100"/>
        <v>0</v>
      </c>
      <c r="EC129" s="10">
        <f t="shared" si="100"/>
        <v>0</v>
      </c>
      <c r="ED129" s="10">
        <f t="shared" si="100"/>
        <v>0</v>
      </c>
      <c r="EE129" s="10">
        <f t="shared" si="100"/>
        <v>0</v>
      </c>
      <c r="EF129" s="10">
        <f t="shared" si="100"/>
        <v>0</v>
      </c>
      <c r="EG129" s="10">
        <f t="shared" si="100"/>
        <v>0</v>
      </c>
      <c r="EH129" s="10">
        <f t="shared" si="100"/>
        <v>0</v>
      </c>
      <c r="EI129" s="10">
        <f t="shared" si="100"/>
        <v>0</v>
      </c>
      <c r="EJ129" s="10">
        <f t="shared" si="100"/>
        <v>0</v>
      </c>
      <c r="EK129" s="10">
        <f t="shared" si="100"/>
        <v>0</v>
      </c>
      <c r="EL129" s="10">
        <f t="shared" si="100"/>
        <v>0</v>
      </c>
      <c r="EM129" s="10">
        <f t="shared" ref="EM129:FR129" si="101">EM147</f>
        <v>0</v>
      </c>
      <c r="EN129" s="10">
        <f t="shared" si="101"/>
        <v>0</v>
      </c>
      <c r="EO129" s="10">
        <f t="shared" si="101"/>
        <v>0</v>
      </c>
      <c r="EP129" s="10">
        <f t="shared" si="101"/>
        <v>0</v>
      </c>
      <c r="EQ129" s="10">
        <f t="shared" si="101"/>
        <v>0</v>
      </c>
      <c r="ER129" s="10">
        <f t="shared" si="101"/>
        <v>0</v>
      </c>
      <c r="ES129" s="10">
        <f t="shared" si="101"/>
        <v>0</v>
      </c>
      <c r="ET129" s="10">
        <f t="shared" si="101"/>
        <v>0</v>
      </c>
      <c r="EU129" s="10">
        <f t="shared" si="101"/>
        <v>0</v>
      </c>
      <c r="EV129" s="10">
        <f t="shared" si="101"/>
        <v>0</v>
      </c>
      <c r="EW129" s="10">
        <f t="shared" si="101"/>
        <v>0</v>
      </c>
      <c r="EX129" s="10">
        <f t="shared" si="101"/>
        <v>0</v>
      </c>
      <c r="EY129" s="10">
        <f t="shared" si="101"/>
        <v>0</v>
      </c>
      <c r="EZ129" s="10">
        <f t="shared" si="101"/>
        <v>0</v>
      </c>
      <c r="FA129" s="10">
        <f t="shared" si="101"/>
        <v>0</v>
      </c>
      <c r="FB129" s="10">
        <f t="shared" si="101"/>
        <v>0</v>
      </c>
      <c r="FC129" s="10">
        <f t="shared" si="101"/>
        <v>0</v>
      </c>
      <c r="FD129" s="10">
        <f t="shared" si="101"/>
        <v>0</v>
      </c>
      <c r="FE129" s="10">
        <f t="shared" si="101"/>
        <v>0</v>
      </c>
      <c r="FF129" s="10">
        <f t="shared" si="101"/>
        <v>0</v>
      </c>
      <c r="FG129" s="10">
        <f t="shared" si="101"/>
        <v>0</v>
      </c>
      <c r="FH129" s="10">
        <f t="shared" si="101"/>
        <v>0</v>
      </c>
      <c r="FI129" s="10">
        <f t="shared" si="101"/>
        <v>0</v>
      </c>
      <c r="FJ129" s="10">
        <f t="shared" si="101"/>
        <v>0</v>
      </c>
      <c r="FK129" s="10">
        <f t="shared" si="101"/>
        <v>0</v>
      </c>
      <c r="FL129" s="10">
        <f t="shared" si="101"/>
        <v>0</v>
      </c>
      <c r="FM129" s="10">
        <f t="shared" si="101"/>
        <v>0</v>
      </c>
      <c r="FN129" s="10">
        <f t="shared" si="101"/>
        <v>0</v>
      </c>
      <c r="FO129" s="10">
        <f t="shared" si="101"/>
        <v>0</v>
      </c>
      <c r="FP129" s="10">
        <f t="shared" si="101"/>
        <v>0</v>
      </c>
      <c r="FQ129" s="10">
        <f t="shared" si="101"/>
        <v>0</v>
      </c>
      <c r="FR129" s="10">
        <f t="shared" si="101"/>
        <v>0</v>
      </c>
      <c r="FS129" s="10">
        <f t="shared" ref="FS129:GX129" si="102">FS147</f>
        <v>0</v>
      </c>
      <c r="FT129" s="10">
        <f t="shared" si="102"/>
        <v>0</v>
      </c>
      <c r="FU129" s="10">
        <f t="shared" si="102"/>
        <v>0</v>
      </c>
      <c r="FV129" s="10">
        <f t="shared" si="102"/>
        <v>0</v>
      </c>
      <c r="FW129" s="10">
        <f t="shared" si="102"/>
        <v>0</v>
      </c>
      <c r="FX129" s="10">
        <f t="shared" si="102"/>
        <v>0</v>
      </c>
      <c r="FY129" s="10">
        <f t="shared" si="102"/>
        <v>0</v>
      </c>
      <c r="FZ129" s="10">
        <f t="shared" si="102"/>
        <v>0</v>
      </c>
      <c r="GA129" s="10">
        <f t="shared" si="102"/>
        <v>0</v>
      </c>
      <c r="GB129" s="10">
        <f t="shared" si="102"/>
        <v>0</v>
      </c>
      <c r="GC129" s="10">
        <f t="shared" si="102"/>
        <v>0</v>
      </c>
      <c r="GD129" s="10">
        <f t="shared" si="102"/>
        <v>0</v>
      </c>
      <c r="GE129" s="10">
        <f t="shared" si="102"/>
        <v>0</v>
      </c>
      <c r="GF129" s="10">
        <f t="shared" si="102"/>
        <v>0</v>
      </c>
      <c r="GG129" s="10">
        <f t="shared" si="102"/>
        <v>0</v>
      </c>
      <c r="GH129" s="10">
        <f t="shared" si="102"/>
        <v>0</v>
      </c>
      <c r="GI129" s="10">
        <f t="shared" si="102"/>
        <v>0</v>
      </c>
      <c r="GJ129" s="10">
        <f t="shared" si="102"/>
        <v>0</v>
      </c>
      <c r="GK129" s="10">
        <f t="shared" si="102"/>
        <v>0</v>
      </c>
      <c r="GL129" s="10">
        <f t="shared" si="102"/>
        <v>0</v>
      </c>
      <c r="GM129" s="10">
        <f t="shared" si="102"/>
        <v>0</v>
      </c>
      <c r="GN129" s="10">
        <f t="shared" si="102"/>
        <v>0</v>
      </c>
      <c r="GO129" s="10">
        <f t="shared" si="102"/>
        <v>0</v>
      </c>
      <c r="GP129" s="10">
        <f t="shared" si="102"/>
        <v>0</v>
      </c>
      <c r="GQ129" s="10">
        <f t="shared" si="102"/>
        <v>0</v>
      </c>
      <c r="GR129" s="10">
        <f t="shared" si="102"/>
        <v>0</v>
      </c>
      <c r="GS129" s="10">
        <f t="shared" si="102"/>
        <v>0</v>
      </c>
      <c r="GT129" s="10">
        <f t="shared" si="102"/>
        <v>0</v>
      </c>
      <c r="GU129" s="10">
        <f t="shared" si="102"/>
        <v>0</v>
      </c>
      <c r="GV129" s="10">
        <f t="shared" si="102"/>
        <v>0</v>
      </c>
      <c r="GW129" s="10">
        <f t="shared" si="102"/>
        <v>0</v>
      </c>
      <c r="GX129" s="10">
        <f t="shared" si="102"/>
        <v>0</v>
      </c>
    </row>
    <row r="131" spans="1:245" x14ac:dyDescent="0.2">
      <c r="A131" s="2">
        <v>17</v>
      </c>
      <c r="B131" s="2">
        <v>1</v>
      </c>
      <c r="C131" s="2">
        <f>ROW(SmtRes!A89)</f>
        <v>89</v>
      </c>
      <c r="D131" s="2">
        <f>ROW(EtalonRes!A89)</f>
        <v>89</v>
      </c>
      <c r="E131" s="2" t="s">
        <v>213</v>
      </c>
      <c r="F131" s="2" t="s">
        <v>214</v>
      </c>
      <c r="G131" s="2" t="s">
        <v>215</v>
      </c>
      <c r="H131" s="2" t="s">
        <v>216</v>
      </c>
      <c r="I131" s="2">
        <v>43.2</v>
      </c>
      <c r="J131" s="2">
        <v>0</v>
      </c>
      <c r="K131" s="2">
        <v>43.2</v>
      </c>
      <c r="O131" s="2">
        <f t="shared" ref="O131:O145" si="103">ROUND(CP131,2)</f>
        <v>15107.98</v>
      </c>
      <c r="P131" s="2">
        <f t="shared" ref="P131:P145" si="104">ROUND((ROUND((AC131*AW131*I131),2)*BC131),2)</f>
        <v>0</v>
      </c>
      <c r="Q131" s="2">
        <f>(ROUND((ROUND(((ET131)*AV131*I131),2)*BB131),2)+ROUND((ROUND(((AE131-(EU131))*AV131*I131),2)*BS131),2))</f>
        <v>0</v>
      </c>
      <c r="R131" s="2">
        <f>(ROUND((ROUND(((EU131)*AV131*I131),2)*BS131),2)+ROUND((ROUND(((AE131-(EU131))*AV131*I131),2)*BS131),2))</f>
        <v>0</v>
      </c>
      <c r="S131" s="2">
        <f t="shared" ref="S131:S145" si="105">ROUND((ROUND((AF131*AV131*I131),2)*BA131),2)</f>
        <v>15107.98</v>
      </c>
      <c r="T131" s="2">
        <f t="shared" ref="T131:T145" si="106">ROUND(CU131*I131,2)</f>
        <v>0</v>
      </c>
      <c r="U131" s="2">
        <f t="shared" ref="U131:U145" si="107">CV131*I131</f>
        <v>25.92</v>
      </c>
      <c r="V131" s="2">
        <f t="shared" ref="V131:V145" si="108">CW131*I131</f>
        <v>0</v>
      </c>
      <c r="W131" s="2">
        <f t="shared" ref="W131:W145" si="109">ROUND(CX131*I131,2)</f>
        <v>0</v>
      </c>
      <c r="X131" s="2">
        <f>(ROUND((((S131+ROUND((ROUND(((EU131)*AV131*I131),2)*BS131),2))*AT131)/100),2)+ROUND(((ROUND((ROUND(((AE131-(EU131))*AV131*I131),2)*BS131),2)*AT131)/100),2))</f>
        <v>13597.18</v>
      </c>
      <c r="Y131" s="2">
        <f>(ROUND((((S131+ROUND((ROUND(((EU131)*AV131*I131),2)*BS131),2))*AU131)/100),2)+ROUND(((ROUND((ROUND(((AE131-(EU131))*AV131*I131),2)*BS131),2)*AU131)/100),2))</f>
        <v>6949.67</v>
      </c>
      <c r="AA131" s="2">
        <v>56793366</v>
      </c>
      <c r="AB131" s="2">
        <f t="shared" ref="AB131:AB145" si="110">ROUND((AC131+AD131+AF131),6)</f>
        <v>6.13</v>
      </c>
      <c r="AC131" s="2">
        <f>ROUND(((ES131*1)),6)</f>
        <v>0</v>
      </c>
      <c r="AD131" s="2">
        <f>ROUND((((ET131)-(EU131))+AE131),6)</f>
        <v>0</v>
      </c>
      <c r="AE131" s="2">
        <f t="shared" ref="AE131:AF133" si="111">ROUND((EU131),6)</f>
        <v>0</v>
      </c>
      <c r="AF131" s="2">
        <f t="shared" si="111"/>
        <v>6.13</v>
      </c>
      <c r="AG131" s="2">
        <f t="shared" ref="AG131:AG145" si="112">ROUND((AP131),6)</f>
        <v>0</v>
      </c>
      <c r="AH131" s="2">
        <f t="shared" ref="AH131:AI133" si="113">(EW131)</f>
        <v>0.6</v>
      </c>
      <c r="AI131" s="2">
        <f t="shared" si="113"/>
        <v>0</v>
      </c>
      <c r="AJ131" s="2">
        <f t="shared" ref="AJ131:AJ145" si="114">(AS131)</f>
        <v>0</v>
      </c>
      <c r="AK131" s="2">
        <v>6.13</v>
      </c>
      <c r="AL131" s="2">
        <v>0</v>
      </c>
      <c r="AM131" s="2">
        <v>0</v>
      </c>
      <c r="AN131" s="2">
        <v>0</v>
      </c>
      <c r="AO131" s="2">
        <v>6.13</v>
      </c>
      <c r="AP131" s="2">
        <v>0</v>
      </c>
      <c r="AQ131" s="2">
        <v>0.6</v>
      </c>
      <c r="AR131" s="2">
        <v>0</v>
      </c>
      <c r="AS131" s="2">
        <v>0</v>
      </c>
      <c r="AT131" s="2">
        <v>90</v>
      </c>
      <c r="AU131" s="2">
        <v>46</v>
      </c>
      <c r="AV131" s="2">
        <v>1</v>
      </c>
      <c r="AW131" s="2">
        <v>1</v>
      </c>
      <c r="AZ131" s="2">
        <v>1</v>
      </c>
      <c r="BA131" s="2">
        <v>57.05</v>
      </c>
      <c r="BB131" s="2">
        <v>1</v>
      </c>
      <c r="BC131" s="2">
        <v>1</v>
      </c>
      <c r="BD131" s="2" t="s">
        <v>3</v>
      </c>
      <c r="BE131" s="2" t="s">
        <v>3</v>
      </c>
      <c r="BF131" s="2" t="s">
        <v>3</v>
      </c>
      <c r="BG131" s="2" t="s">
        <v>3</v>
      </c>
      <c r="BH131" s="2">
        <v>0</v>
      </c>
      <c r="BI131" s="2">
        <v>1</v>
      </c>
      <c r="BJ131" s="2" t="s">
        <v>217</v>
      </c>
      <c r="BM131" s="2">
        <v>99</v>
      </c>
      <c r="BN131" s="2">
        <v>0</v>
      </c>
      <c r="BO131" s="2" t="s">
        <v>214</v>
      </c>
      <c r="BP131" s="2">
        <v>1</v>
      </c>
      <c r="BQ131" s="2">
        <v>60</v>
      </c>
      <c r="BR131" s="2">
        <v>0</v>
      </c>
      <c r="BS131" s="2">
        <v>57.05</v>
      </c>
      <c r="BT131" s="2">
        <v>1</v>
      </c>
      <c r="BU131" s="2">
        <v>1</v>
      </c>
      <c r="BV131" s="2">
        <v>1</v>
      </c>
      <c r="BW131" s="2">
        <v>1</v>
      </c>
      <c r="BX131" s="2">
        <v>1</v>
      </c>
      <c r="BY131" s="2" t="s">
        <v>3</v>
      </c>
      <c r="BZ131" s="2">
        <v>90</v>
      </c>
      <c r="CA131" s="2">
        <v>46</v>
      </c>
      <c r="CB131" s="2" t="s">
        <v>3</v>
      </c>
      <c r="CE131" s="2">
        <v>1566</v>
      </c>
      <c r="CF131" s="2">
        <v>0</v>
      </c>
      <c r="CG131" s="2">
        <v>0</v>
      </c>
      <c r="CM131" s="2">
        <v>0</v>
      </c>
      <c r="CN131" s="2" t="s">
        <v>518</v>
      </c>
      <c r="CO131" s="2">
        <v>0</v>
      </c>
      <c r="CP131" s="2">
        <f t="shared" ref="CP131:CP145" si="115">(P131+Q131+S131)</f>
        <v>15107.98</v>
      </c>
      <c r="CQ131" s="2">
        <f t="shared" ref="CQ131:CQ145" si="116">ROUND((ROUND((AC131*AW131*1),2)*BC131),2)</f>
        <v>0</v>
      </c>
      <c r="CR131" s="2">
        <f>(ROUND((ROUND(((ET131)*AV131*1),2)*BB131),2)+ROUND((ROUND(((AE131-(EU131))*AV131*1),2)*BS131),2))</f>
        <v>0</v>
      </c>
      <c r="CS131" s="2">
        <f>(ROUND((ROUND(((EU131)*AV131*1),2)*BS131),2)+ROUND((ROUND(((AE131-(EU131))*AV131*1),2)*BS131),2))</f>
        <v>0</v>
      </c>
      <c r="CT131" s="2">
        <f t="shared" ref="CT131:CT145" si="117">ROUND((ROUND((AF131*AV131*1),2)*BA131),2)</f>
        <v>349.72</v>
      </c>
      <c r="CU131" s="2">
        <f t="shared" ref="CU131:CU145" si="118">AG131</f>
        <v>0</v>
      </c>
      <c r="CV131" s="2">
        <f t="shared" ref="CV131:CV145" si="119">(AH131*AV131)</f>
        <v>0.6</v>
      </c>
      <c r="CW131" s="2">
        <f t="shared" ref="CW131:CW145" si="120">AI131</f>
        <v>0</v>
      </c>
      <c r="CX131" s="2">
        <f t="shared" ref="CX131:CX145" si="121">AJ131</f>
        <v>0</v>
      </c>
      <c r="CY131" s="2">
        <f>(ROUND((((S131+ROUND((ROUND(((EU131)*AV131*1),2)*BS131),2))*AT131)/100),2)+ROUND(((ROUND((ROUND(((AE131-(EU131))*AV131*1),2)*BS131),2)*AT131)/100),2))</f>
        <v>13597.18</v>
      </c>
      <c r="CZ131" s="2">
        <f>(ROUND((((S131+ROUND((ROUND(((EU131)*AV131*1),2)*BS131),2))*AU131)/100),2)+ROUND(((ROUND((ROUND(((AE131-(EU131))*AV131*1),2)*BS131),2)*AU131)/100),2))</f>
        <v>6949.67</v>
      </c>
      <c r="DC131" s="2" t="s">
        <v>3</v>
      </c>
      <c r="DD131" s="2" t="s">
        <v>24</v>
      </c>
      <c r="DE131" s="2" t="s">
        <v>3</v>
      </c>
      <c r="DF131" s="2" t="s">
        <v>3</v>
      </c>
      <c r="DG131" s="2" t="s">
        <v>3</v>
      </c>
      <c r="DH131" s="2" t="s">
        <v>3</v>
      </c>
      <c r="DI131" s="2" t="s">
        <v>3</v>
      </c>
      <c r="DJ131" s="2" t="s">
        <v>3</v>
      </c>
      <c r="DK131" s="2" t="s">
        <v>3</v>
      </c>
      <c r="DL131" s="2" t="s">
        <v>3</v>
      </c>
      <c r="DM131" s="2" t="s">
        <v>3</v>
      </c>
      <c r="DN131" s="2">
        <v>0</v>
      </c>
      <c r="DO131" s="2">
        <v>0</v>
      </c>
      <c r="DP131" s="2">
        <v>1</v>
      </c>
      <c r="DQ131" s="2">
        <v>1</v>
      </c>
      <c r="DU131" s="2">
        <v>1013</v>
      </c>
      <c r="DV131" s="2" t="s">
        <v>216</v>
      </c>
      <c r="DW131" s="2" t="s">
        <v>216</v>
      </c>
      <c r="DX131" s="2">
        <v>1</v>
      </c>
      <c r="DZ131" s="2" t="s">
        <v>3</v>
      </c>
      <c r="EA131" s="2" t="s">
        <v>3</v>
      </c>
      <c r="EB131" s="2" t="s">
        <v>3</v>
      </c>
      <c r="EC131" s="2" t="s">
        <v>3</v>
      </c>
      <c r="EE131" s="2">
        <v>55896186</v>
      </c>
      <c r="EF131" s="2">
        <v>60</v>
      </c>
      <c r="EG131" s="2" t="s">
        <v>25</v>
      </c>
      <c r="EH131" s="2">
        <v>0</v>
      </c>
      <c r="EI131" s="2" t="s">
        <v>3</v>
      </c>
      <c r="EJ131" s="2">
        <v>1</v>
      </c>
      <c r="EK131" s="2">
        <v>99</v>
      </c>
      <c r="EL131" s="2" t="s">
        <v>218</v>
      </c>
      <c r="EM131" s="2" t="s">
        <v>219</v>
      </c>
      <c r="EO131" s="2" t="s">
        <v>28</v>
      </c>
      <c r="EQ131" s="2">
        <v>0</v>
      </c>
      <c r="ER131" s="2">
        <v>6.13</v>
      </c>
      <c r="ES131" s="2">
        <v>0</v>
      </c>
      <c r="ET131" s="2">
        <v>0</v>
      </c>
      <c r="EU131" s="2">
        <v>0</v>
      </c>
      <c r="EV131" s="2">
        <v>6.13</v>
      </c>
      <c r="EW131" s="2">
        <v>0.6</v>
      </c>
      <c r="EX131" s="2">
        <v>0</v>
      </c>
      <c r="EY131" s="2">
        <v>0</v>
      </c>
      <c r="FQ131" s="2">
        <v>0</v>
      </c>
      <c r="FR131" s="2">
        <v>0</v>
      </c>
      <c r="FS131" s="2">
        <v>0</v>
      </c>
      <c r="FX131" s="2">
        <v>90</v>
      </c>
      <c r="FY131" s="2">
        <v>46</v>
      </c>
      <c r="GA131" s="2" t="s">
        <v>3</v>
      </c>
      <c r="GD131" s="2">
        <v>1</v>
      </c>
      <c r="GF131" s="2">
        <v>-329695849</v>
      </c>
      <c r="GG131" s="2">
        <v>2</v>
      </c>
      <c r="GH131" s="2">
        <v>1</v>
      </c>
      <c r="GI131" s="2">
        <v>2</v>
      </c>
      <c r="GJ131" s="2">
        <v>0</v>
      </c>
      <c r="GK131" s="2">
        <v>0</v>
      </c>
      <c r="GL131" s="2">
        <f t="shared" ref="GL131:GL145" si="122">ROUND(IF(AND(BH131=3,BI131=3,FS131&lt;&gt;0),P131,0),2)</f>
        <v>0</v>
      </c>
      <c r="GM131" s="2">
        <f t="shared" ref="GM131:GM145" si="123">ROUND(O131+X131+Y131,2)+GX131</f>
        <v>35654.83</v>
      </c>
      <c r="GN131" s="2">
        <f t="shared" ref="GN131:GN145" si="124">IF(OR(BI131=0,BI131=1),GM131-GX131,0)</f>
        <v>35654.83</v>
      </c>
      <c r="GO131" s="2">
        <f t="shared" ref="GO131:GO145" si="125">IF(BI131=2,GM131-GX131,0)</f>
        <v>0</v>
      </c>
      <c r="GP131" s="2">
        <f t="shared" ref="GP131:GP145" si="126">IF(BI131=4,GM131-GX131,0)</f>
        <v>0</v>
      </c>
      <c r="GR131" s="2">
        <v>0</v>
      </c>
      <c r="GS131" s="2">
        <v>3</v>
      </c>
      <c r="GT131" s="2">
        <v>0</v>
      </c>
      <c r="GU131" s="2" t="s">
        <v>3</v>
      </c>
      <c r="GV131" s="2">
        <f t="shared" ref="GV131:GV145" si="127">ROUND((GT131),6)</f>
        <v>0</v>
      </c>
      <c r="GW131" s="2">
        <v>1</v>
      </c>
      <c r="GX131" s="2">
        <f t="shared" ref="GX131:GX145" si="128">ROUND(HC131*I131,2)</f>
        <v>0</v>
      </c>
      <c r="HA131" s="2">
        <v>0</v>
      </c>
      <c r="HB131" s="2">
        <v>0</v>
      </c>
      <c r="HC131" s="2">
        <f t="shared" ref="HC131:HC145" si="129">GV131*GW131</f>
        <v>0</v>
      </c>
      <c r="HE131" s="2" t="s">
        <v>3</v>
      </c>
      <c r="HF131" s="2" t="s">
        <v>3</v>
      </c>
      <c r="HM131" s="2" t="s">
        <v>3</v>
      </c>
      <c r="HN131" s="2" t="s">
        <v>3</v>
      </c>
      <c r="HO131" s="2" t="s">
        <v>3</v>
      </c>
      <c r="HP131" s="2" t="s">
        <v>3</v>
      </c>
      <c r="HQ131" s="2" t="s">
        <v>3</v>
      </c>
      <c r="HS131" s="2">
        <v>0</v>
      </c>
      <c r="IK131" s="2">
        <v>0</v>
      </c>
    </row>
    <row r="132" spans="1:245" x14ac:dyDescent="0.2">
      <c r="A132" s="2">
        <v>17</v>
      </c>
      <c r="B132" s="2">
        <v>1</v>
      </c>
      <c r="C132" s="2">
        <f>ROW(SmtRes!A92)</f>
        <v>92</v>
      </c>
      <c r="D132" s="2">
        <f>ROW(EtalonRes!A92)</f>
        <v>92</v>
      </c>
      <c r="E132" s="2" t="s">
        <v>220</v>
      </c>
      <c r="F132" s="2" t="s">
        <v>221</v>
      </c>
      <c r="G132" s="2" t="s">
        <v>222</v>
      </c>
      <c r="H132" s="2" t="s">
        <v>32</v>
      </c>
      <c r="I132" s="2">
        <f>ROUND(17.28/100,9)</f>
        <v>0.17280000000000001</v>
      </c>
      <c r="J132" s="2">
        <v>0</v>
      </c>
      <c r="K132" s="2">
        <f>ROUND(17.28/100,9)</f>
        <v>0.17280000000000001</v>
      </c>
      <c r="O132" s="2">
        <f t="shared" si="103"/>
        <v>20647.54</v>
      </c>
      <c r="P132" s="2">
        <f t="shared" si="104"/>
        <v>0</v>
      </c>
      <c r="Q132" s="2">
        <f>(ROUND((ROUND(((ET132)*AV132*I132),2)*BB132),2)+ROUND((ROUND(((AE132-(EU132))*AV132*I132),2)*BS132),2))</f>
        <v>0</v>
      </c>
      <c r="R132" s="2">
        <f>(ROUND((ROUND(((EU132)*AV132*I132),2)*BS132),2)+ROUND((ROUND(((AE132-(EU132))*AV132*I132),2)*BS132),2))</f>
        <v>0</v>
      </c>
      <c r="S132" s="2">
        <f t="shared" si="105"/>
        <v>20647.54</v>
      </c>
      <c r="T132" s="2">
        <f t="shared" si="106"/>
        <v>0</v>
      </c>
      <c r="U132" s="2">
        <f t="shared" si="107"/>
        <v>30.084479999999999</v>
      </c>
      <c r="V132" s="2">
        <f t="shared" si="108"/>
        <v>0</v>
      </c>
      <c r="W132" s="2">
        <f t="shared" si="109"/>
        <v>0</v>
      </c>
      <c r="X132" s="2">
        <f>(ROUND((((S132+ROUND((ROUND(((EU132)*AV132*I132),2)*BS132),2))*AT132)/100),2)+ROUND(((ROUND((ROUND(((AE132-(EU132))*AV132*I132),2)*BS132),2)*AT132)/100),2))</f>
        <v>18376.310000000001</v>
      </c>
      <c r="Y132" s="2">
        <f>(ROUND((((S132+ROUND((ROUND(((EU132)*AV132*I132),2)*BS132),2))*AU132)/100),2)+ROUND(((ROUND((ROUND(((AE132-(EU132))*AV132*I132),2)*BS132),2)*AU132)/100),2))</f>
        <v>9084.92</v>
      </c>
      <c r="AA132" s="2">
        <v>56793366</v>
      </c>
      <c r="AB132" s="2">
        <f t="shared" si="110"/>
        <v>2094.42</v>
      </c>
      <c r="AC132" s="2">
        <f>ROUND(((ES132*1)),6)</f>
        <v>0</v>
      </c>
      <c r="AD132" s="2">
        <f>ROUND((((ET132)-(EU132))+AE132),6)</f>
        <v>0</v>
      </c>
      <c r="AE132" s="2">
        <f t="shared" si="111"/>
        <v>0</v>
      </c>
      <c r="AF132" s="2">
        <f t="shared" si="111"/>
        <v>2094.42</v>
      </c>
      <c r="AG132" s="2">
        <f t="shared" si="112"/>
        <v>0</v>
      </c>
      <c r="AH132" s="2">
        <f t="shared" si="113"/>
        <v>174.1</v>
      </c>
      <c r="AI132" s="2">
        <f t="shared" si="113"/>
        <v>0</v>
      </c>
      <c r="AJ132" s="2">
        <f t="shared" si="114"/>
        <v>0</v>
      </c>
      <c r="AK132" s="2">
        <v>2094.42</v>
      </c>
      <c r="AL132" s="2">
        <v>0</v>
      </c>
      <c r="AM132" s="2">
        <v>0</v>
      </c>
      <c r="AN132" s="2">
        <v>0</v>
      </c>
      <c r="AO132" s="2">
        <v>2094.42</v>
      </c>
      <c r="AP132" s="2">
        <v>0</v>
      </c>
      <c r="AQ132" s="2">
        <v>174.1</v>
      </c>
      <c r="AR132" s="2">
        <v>0</v>
      </c>
      <c r="AS132" s="2">
        <v>0</v>
      </c>
      <c r="AT132" s="2">
        <v>89</v>
      </c>
      <c r="AU132" s="2">
        <v>44</v>
      </c>
      <c r="AV132" s="2">
        <v>1</v>
      </c>
      <c r="AW132" s="2">
        <v>1</v>
      </c>
      <c r="AZ132" s="2">
        <v>1</v>
      </c>
      <c r="BA132" s="2">
        <v>57.05</v>
      </c>
      <c r="BB132" s="2">
        <v>1</v>
      </c>
      <c r="BC132" s="2">
        <v>1</v>
      </c>
      <c r="BD132" s="2" t="s">
        <v>3</v>
      </c>
      <c r="BE132" s="2" t="s">
        <v>3</v>
      </c>
      <c r="BF132" s="2" t="s">
        <v>3</v>
      </c>
      <c r="BG132" s="2" t="s">
        <v>3</v>
      </c>
      <c r="BH132" s="2">
        <v>0</v>
      </c>
      <c r="BI132" s="2">
        <v>1</v>
      </c>
      <c r="BJ132" s="2" t="s">
        <v>223</v>
      </c>
      <c r="BM132" s="2">
        <v>98</v>
      </c>
      <c r="BN132" s="2">
        <v>0</v>
      </c>
      <c r="BO132" s="2" t="s">
        <v>221</v>
      </c>
      <c r="BP132" s="2">
        <v>1</v>
      </c>
      <c r="BQ132" s="2">
        <v>60</v>
      </c>
      <c r="BR132" s="2">
        <v>0</v>
      </c>
      <c r="BS132" s="2">
        <v>57.05</v>
      </c>
      <c r="BT132" s="2">
        <v>1</v>
      </c>
      <c r="BU132" s="2">
        <v>1</v>
      </c>
      <c r="BV132" s="2">
        <v>1</v>
      </c>
      <c r="BW132" s="2">
        <v>1</v>
      </c>
      <c r="BX132" s="2">
        <v>1</v>
      </c>
      <c r="BY132" s="2" t="s">
        <v>3</v>
      </c>
      <c r="BZ132" s="2">
        <v>89</v>
      </c>
      <c r="CA132" s="2">
        <v>44</v>
      </c>
      <c r="CB132" s="2" t="s">
        <v>3</v>
      </c>
      <c r="CE132" s="2">
        <v>1566</v>
      </c>
      <c r="CF132" s="2">
        <v>0</v>
      </c>
      <c r="CG132" s="2">
        <v>0</v>
      </c>
      <c r="CM132" s="2">
        <v>0</v>
      </c>
      <c r="CN132" s="2" t="s">
        <v>518</v>
      </c>
      <c r="CO132" s="2">
        <v>0</v>
      </c>
      <c r="CP132" s="2">
        <f t="shared" si="115"/>
        <v>20647.54</v>
      </c>
      <c r="CQ132" s="2">
        <f t="shared" si="116"/>
        <v>0</v>
      </c>
      <c r="CR132" s="2">
        <f>(ROUND((ROUND(((ET132)*AV132*1),2)*BB132),2)+ROUND((ROUND(((AE132-(EU132))*AV132*1),2)*BS132),2))</f>
        <v>0</v>
      </c>
      <c r="CS132" s="2">
        <f>(ROUND((ROUND(((EU132)*AV132*1),2)*BS132),2)+ROUND((ROUND(((AE132-(EU132))*AV132*1),2)*BS132),2))</f>
        <v>0</v>
      </c>
      <c r="CT132" s="2">
        <f t="shared" si="117"/>
        <v>119486.66</v>
      </c>
      <c r="CU132" s="2">
        <f t="shared" si="118"/>
        <v>0</v>
      </c>
      <c r="CV132" s="2">
        <f t="shared" si="119"/>
        <v>174.1</v>
      </c>
      <c r="CW132" s="2">
        <f t="shared" si="120"/>
        <v>0</v>
      </c>
      <c r="CX132" s="2">
        <f t="shared" si="121"/>
        <v>0</v>
      </c>
      <c r="CY132" s="2">
        <f>(ROUND((((S132+ROUND((ROUND(((EU132)*AV132*1),2)*BS132),2))*AT132)/100),2)+ROUND(((ROUND((ROUND(((AE132-(EU132))*AV132*1),2)*BS132),2)*AT132)/100),2))</f>
        <v>18376.310000000001</v>
      </c>
      <c r="CZ132" s="2">
        <f>(ROUND((((S132+ROUND((ROUND(((EU132)*AV132*1),2)*BS132),2))*AU132)/100),2)+ROUND(((ROUND((ROUND(((AE132-(EU132))*AV132*1),2)*BS132),2)*AU132)/100),2))</f>
        <v>9084.92</v>
      </c>
      <c r="DC132" s="2" t="s">
        <v>3</v>
      </c>
      <c r="DD132" s="2" t="s">
        <v>24</v>
      </c>
      <c r="DE132" s="2" t="s">
        <v>3</v>
      </c>
      <c r="DF132" s="2" t="s">
        <v>3</v>
      </c>
      <c r="DG132" s="2" t="s">
        <v>3</v>
      </c>
      <c r="DH132" s="2" t="s">
        <v>3</v>
      </c>
      <c r="DI132" s="2" t="s">
        <v>3</v>
      </c>
      <c r="DJ132" s="2" t="s">
        <v>3</v>
      </c>
      <c r="DK132" s="2" t="s">
        <v>3</v>
      </c>
      <c r="DL132" s="2" t="s">
        <v>3</v>
      </c>
      <c r="DM132" s="2" t="s">
        <v>3</v>
      </c>
      <c r="DN132" s="2">
        <v>0</v>
      </c>
      <c r="DO132" s="2">
        <v>0</v>
      </c>
      <c r="DP132" s="2">
        <v>1</v>
      </c>
      <c r="DQ132" s="2">
        <v>1</v>
      </c>
      <c r="DU132" s="2">
        <v>1005</v>
      </c>
      <c r="DV132" s="2" t="s">
        <v>32</v>
      </c>
      <c r="DW132" s="2" t="s">
        <v>32</v>
      </c>
      <c r="DX132" s="2">
        <v>100</v>
      </c>
      <c r="DZ132" s="2" t="s">
        <v>3</v>
      </c>
      <c r="EA132" s="2" t="s">
        <v>3</v>
      </c>
      <c r="EB132" s="2" t="s">
        <v>3</v>
      </c>
      <c r="EC132" s="2" t="s">
        <v>3</v>
      </c>
      <c r="EE132" s="2">
        <v>55896185</v>
      </c>
      <c r="EF132" s="2">
        <v>60</v>
      </c>
      <c r="EG132" s="2" t="s">
        <v>25</v>
      </c>
      <c r="EH132" s="2">
        <v>0</v>
      </c>
      <c r="EI132" s="2" t="s">
        <v>3</v>
      </c>
      <c r="EJ132" s="2">
        <v>1</v>
      </c>
      <c r="EK132" s="2">
        <v>98</v>
      </c>
      <c r="EL132" s="2" t="s">
        <v>224</v>
      </c>
      <c r="EM132" s="2" t="s">
        <v>225</v>
      </c>
      <c r="EO132" s="2" t="s">
        <v>28</v>
      </c>
      <c r="EQ132" s="2">
        <v>0</v>
      </c>
      <c r="ER132" s="2">
        <v>2094.42</v>
      </c>
      <c r="ES132" s="2">
        <v>0</v>
      </c>
      <c r="ET132" s="2">
        <v>0</v>
      </c>
      <c r="EU132" s="2">
        <v>0</v>
      </c>
      <c r="EV132" s="2">
        <v>2094.42</v>
      </c>
      <c r="EW132" s="2">
        <v>174.1</v>
      </c>
      <c r="EX132" s="2">
        <v>0</v>
      </c>
      <c r="EY132" s="2">
        <v>0</v>
      </c>
      <c r="FQ132" s="2">
        <v>0</v>
      </c>
      <c r="FR132" s="2">
        <v>0</v>
      </c>
      <c r="FS132" s="2">
        <v>0</v>
      </c>
      <c r="FX132" s="2">
        <v>89</v>
      </c>
      <c r="FY132" s="2">
        <v>44</v>
      </c>
      <c r="GA132" s="2" t="s">
        <v>3</v>
      </c>
      <c r="GD132" s="2">
        <v>1</v>
      </c>
      <c r="GF132" s="2">
        <v>-1317107962</v>
      </c>
      <c r="GG132" s="2">
        <v>2</v>
      </c>
      <c r="GH132" s="2">
        <v>1</v>
      </c>
      <c r="GI132" s="2">
        <v>2</v>
      </c>
      <c r="GJ132" s="2">
        <v>0</v>
      </c>
      <c r="GK132" s="2">
        <v>0</v>
      </c>
      <c r="GL132" s="2">
        <f t="shared" si="122"/>
        <v>0</v>
      </c>
      <c r="GM132" s="2">
        <f t="shared" si="123"/>
        <v>48108.77</v>
      </c>
      <c r="GN132" s="2">
        <f t="shared" si="124"/>
        <v>48108.77</v>
      </c>
      <c r="GO132" s="2">
        <f t="shared" si="125"/>
        <v>0</v>
      </c>
      <c r="GP132" s="2">
        <f t="shared" si="126"/>
        <v>0</v>
      </c>
      <c r="GR132" s="2">
        <v>0</v>
      </c>
      <c r="GS132" s="2">
        <v>3</v>
      </c>
      <c r="GT132" s="2">
        <v>0</v>
      </c>
      <c r="GU132" s="2" t="s">
        <v>3</v>
      </c>
      <c r="GV132" s="2">
        <f t="shared" si="127"/>
        <v>0</v>
      </c>
      <c r="GW132" s="2">
        <v>1</v>
      </c>
      <c r="GX132" s="2">
        <f t="shared" si="128"/>
        <v>0</v>
      </c>
      <c r="HA132" s="2">
        <v>0</v>
      </c>
      <c r="HB132" s="2">
        <v>0</v>
      </c>
      <c r="HC132" s="2">
        <f t="shared" si="129"/>
        <v>0</v>
      </c>
      <c r="HE132" s="2" t="s">
        <v>3</v>
      </c>
      <c r="HF132" s="2" t="s">
        <v>3</v>
      </c>
      <c r="HM132" s="2" t="s">
        <v>3</v>
      </c>
      <c r="HN132" s="2" t="s">
        <v>3</v>
      </c>
      <c r="HO132" s="2" t="s">
        <v>3</v>
      </c>
      <c r="HP132" s="2" t="s">
        <v>3</v>
      </c>
      <c r="HQ132" s="2" t="s">
        <v>3</v>
      </c>
      <c r="HS132" s="2">
        <v>0</v>
      </c>
      <c r="IK132" s="2">
        <v>0</v>
      </c>
    </row>
    <row r="133" spans="1:245" x14ac:dyDescent="0.2">
      <c r="A133" s="2">
        <v>18</v>
      </c>
      <c r="B133" s="2">
        <v>1</v>
      </c>
      <c r="C133" s="2">
        <v>91</v>
      </c>
      <c r="E133" s="2" t="s">
        <v>226</v>
      </c>
      <c r="F133" s="2" t="s">
        <v>227</v>
      </c>
      <c r="G133" s="2" t="s">
        <v>228</v>
      </c>
      <c r="H133" s="2" t="s">
        <v>151</v>
      </c>
      <c r="I133" s="2">
        <f>I132*J133</f>
        <v>0.38016</v>
      </c>
      <c r="J133" s="2">
        <v>2.1999999999999997</v>
      </c>
      <c r="K133" s="2">
        <v>2.2000000000000002</v>
      </c>
      <c r="O133" s="2">
        <f t="shared" si="103"/>
        <v>1507.44</v>
      </c>
      <c r="P133" s="2">
        <f t="shared" si="104"/>
        <v>1507.44</v>
      </c>
      <c r="Q133" s="2">
        <f>(ROUND((ROUND(((ET133)*AV133*I133),2)*BB133),2)+ROUND((ROUND(((AE133-(EU133))*AV133*I133),2)*BS133),2))</f>
        <v>0</v>
      </c>
      <c r="R133" s="2">
        <f>(ROUND((ROUND(((EU133)*AV133*I133),2)*BS133),2)+ROUND((ROUND(((AE133-(EU133))*AV133*I133),2)*BS133),2))</f>
        <v>0</v>
      </c>
      <c r="S133" s="2">
        <f t="shared" si="105"/>
        <v>0</v>
      </c>
      <c r="T133" s="2">
        <f t="shared" si="106"/>
        <v>0</v>
      </c>
      <c r="U133" s="2">
        <f t="shared" si="107"/>
        <v>0</v>
      </c>
      <c r="V133" s="2">
        <f t="shared" si="108"/>
        <v>0</v>
      </c>
      <c r="W133" s="2">
        <f t="shared" si="109"/>
        <v>0</v>
      </c>
      <c r="X133" s="2">
        <f>(ROUND((((S133+ROUND((ROUND(((EU133)*AV133*I133),2)*BS133),2))*AT133)/100),2)+ROUND(((ROUND((ROUND(((AE133-(EU133))*AV133*I133),2)*BS133),2)*AT133)/100),2))</f>
        <v>0</v>
      </c>
      <c r="Y133" s="2">
        <f>(ROUND((((S133+ROUND((ROUND(((EU133)*AV133*I133),2)*BS133),2))*AU133)/100),2)+ROUND(((ROUND((ROUND(((AE133-(EU133))*AV133*I133),2)*BS133),2)*AU133)/100),2))</f>
        <v>0</v>
      </c>
      <c r="AA133" s="2">
        <v>56793366</v>
      </c>
      <c r="AB133" s="2">
        <f t="shared" si="110"/>
        <v>529.41999999999996</v>
      </c>
      <c r="AC133" s="2">
        <f>ROUND((ES133),6)</f>
        <v>529.41999999999996</v>
      </c>
      <c r="AD133" s="2">
        <f>ROUND((((ET133)-(EU133))+AE133),6)</f>
        <v>0</v>
      </c>
      <c r="AE133" s="2">
        <f t="shared" si="111"/>
        <v>0</v>
      </c>
      <c r="AF133" s="2">
        <f t="shared" si="111"/>
        <v>0</v>
      </c>
      <c r="AG133" s="2">
        <f t="shared" si="112"/>
        <v>0</v>
      </c>
      <c r="AH133" s="2">
        <f t="shared" si="113"/>
        <v>0</v>
      </c>
      <c r="AI133" s="2">
        <f t="shared" si="113"/>
        <v>0</v>
      </c>
      <c r="AJ133" s="2">
        <f t="shared" si="114"/>
        <v>0</v>
      </c>
      <c r="AK133" s="2">
        <v>529.41999999999996</v>
      </c>
      <c r="AL133" s="2">
        <v>529.41999999999996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89</v>
      </c>
      <c r="AU133" s="2">
        <v>44</v>
      </c>
      <c r="AV133" s="2">
        <v>1</v>
      </c>
      <c r="AW133" s="2">
        <v>1</v>
      </c>
      <c r="AZ133" s="2">
        <v>1</v>
      </c>
      <c r="BA133" s="2">
        <v>1</v>
      </c>
      <c r="BB133" s="2">
        <v>1</v>
      </c>
      <c r="BC133" s="2">
        <v>7.49</v>
      </c>
      <c r="BD133" s="2" t="s">
        <v>3</v>
      </c>
      <c r="BE133" s="2" t="s">
        <v>3</v>
      </c>
      <c r="BF133" s="2" t="s">
        <v>3</v>
      </c>
      <c r="BG133" s="2" t="s">
        <v>3</v>
      </c>
      <c r="BH133" s="2">
        <v>3</v>
      </c>
      <c r="BI133" s="2">
        <v>1</v>
      </c>
      <c r="BJ133" s="2" t="s">
        <v>229</v>
      </c>
      <c r="BM133" s="2">
        <v>98</v>
      </c>
      <c r="BN133" s="2">
        <v>0</v>
      </c>
      <c r="BO133" s="2" t="s">
        <v>227</v>
      </c>
      <c r="BP133" s="2">
        <v>1</v>
      </c>
      <c r="BQ133" s="2">
        <v>60</v>
      </c>
      <c r="BR133" s="2">
        <v>0</v>
      </c>
      <c r="BS133" s="2">
        <v>1</v>
      </c>
      <c r="BT133" s="2">
        <v>1</v>
      </c>
      <c r="BU133" s="2">
        <v>1</v>
      </c>
      <c r="BV133" s="2">
        <v>1</v>
      </c>
      <c r="BW133" s="2">
        <v>1</v>
      </c>
      <c r="BX133" s="2">
        <v>1</v>
      </c>
      <c r="BY133" s="2" t="s">
        <v>3</v>
      </c>
      <c r="BZ133" s="2">
        <v>89</v>
      </c>
      <c r="CA133" s="2">
        <v>44</v>
      </c>
      <c r="CB133" s="2" t="s">
        <v>3</v>
      </c>
      <c r="CE133" s="2">
        <v>1566</v>
      </c>
      <c r="CF133" s="2">
        <v>0</v>
      </c>
      <c r="CG133" s="2">
        <v>0</v>
      </c>
      <c r="CM133" s="2">
        <v>0</v>
      </c>
      <c r="CN133" s="2" t="s">
        <v>520</v>
      </c>
      <c r="CO133" s="2">
        <v>0</v>
      </c>
      <c r="CP133" s="2">
        <f t="shared" si="115"/>
        <v>1507.44</v>
      </c>
      <c r="CQ133" s="2">
        <f t="shared" si="116"/>
        <v>3965.36</v>
      </c>
      <c r="CR133" s="2">
        <f>(ROUND((ROUND(((ET133)*AV133*1),2)*BB133),2)+ROUND((ROUND(((AE133-(EU133))*AV133*1),2)*BS133),2))</f>
        <v>0</v>
      </c>
      <c r="CS133" s="2">
        <f>(ROUND((ROUND(((EU133)*AV133*1),2)*BS133),2)+ROUND((ROUND(((AE133-(EU133))*AV133*1),2)*BS133),2))</f>
        <v>0</v>
      </c>
      <c r="CT133" s="2">
        <f t="shared" si="117"/>
        <v>0</v>
      </c>
      <c r="CU133" s="2">
        <f t="shared" si="118"/>
        <v>0</v>
      </c>
      <c r="CV133" s="2">
        <f t="shared" si="119"/>
        <v>0</v>
      </c>
      <c r="CW133" s="2">
        <f t="shared" si="120"/>
        <v>0</v>
      </c>
      <c r="CX133" s="2">
        <f t="shared" si="121"/>
        <v>0</v>
      </c>
      <c r="CY133" s="2">
        <f>(ROUND((((S133+ROUND((ROUND(((EU133)*AV133*1),2)*BS133),2))*AT133)/100),2)+ROUND(((ROUND((ROUND(((AE133-(EU133))*AV133*1),2)*BS133),2)*AT133)/100),2))</f>
        <v>0</v>
      </c>
      <c r="CZ133" s="2">
        <f>(ROUND((((S133+ROUND((ROUND(((EU133)*AV133*1),2)*BS133),2))*AU133)/100),2)+ROUND(((ROUND((ROUND(((AE133-(EU133))*AV133*1),2)*BS133),2)*AU133)/100),2))</f>
        <v>0</v>
      </c>
      <c r="DC133" s="2" t="s">
        <v>3</v>
      </c>
      <c r="DD133" s="2" t="s">
        <v>3</v>
      </c>
      <c r="DE133" s="2" t="s">
        <v>3</v>
      </c>
      <c r="DF133" s="2" t="s">
        <v>3</v>
      </c>
      <c r="DG133" s="2" t="s">
        <v>3</v>
      </c>
      <c r="DH133" s="2" t="s">
        <v>3</v>
      </c>
      <c r="DI133" s="2" t="s">
        <v>3</v>
      </c>
      <c r="DJ133" s="2" t="s">
        <v>3</v>
      </c>
      <c r="DK133" s="2" t="s">
        <v>3</v>
      </c>
      <c r="DL133" s="2" t="s">
        <v>3</v>
      </c>
      <c r="DM133" s="2" t="s">
        <v>3</v>
      </c>
      <c r="DN133" s="2">
        <v>0</v>
      </c>
      <c r="DO133" s="2">
        <v>0</v>
      </c>
      <c r="DP133" s="2">
        <v>1</v>
      </c>
      <c r="DQ133" s="2">
        <v>1</v>
      </c>
      <c r="DU133" s="2">
        <v>1007</v>
      </c>
      <c r="DV133" s="2" t="s">
        <v>151</v>
      </c>
      <c r="DW133" s="2" t="s">
        <v>151</v>
      </c>
      <c r="DX133" s="2">
        <v>1</v>
      </c>
      <c r="DZ133" s="2" t="s">
        <v>3</v>
      </c>
      <c r="EA133" s="2" t="s">
        <v>3</v>
      </c>
      <c r="EB133" s="2" t="s">
        <v>3</v>
      </c>
      <c r="EC133" s="2" t="s">
        <v>3</v>
      </c>
      <c r="EE133" s="2">
        <v>55896185</v>
      </c>
      <c r="EF133" s="2">
        <v>60</v>
      </c>
      <c r="EG133" s="2" t="s">
        <v>25</v>
      </c>
      <c r="EH133" s="2">
        <v>0</v>
      </c>
      <c r="EI133" s="2" t="s">
        <v>3</v>
      </c>
      <c r="EJ133" s="2">
        <v>1</v>
      </c>
      <c r="EK133" s="2">
        <v>98</v>
      </c>
      <c r="EL133" s="2" t="s">
        <v>224</v>
      </c>
      <c r="EM133" s="2" t="s">
        <v>225</v>
      </c>
      <c r="EO133" s="2" t="s">
        <v>28</v>
      </c>
      <c r="EQ133" s="2">
        <v>0</v>
      </c>
      <c r="ER133" s="2">
        <v>529.41999999999996</v>
      </c>
      <c r="ES133" s="2">
        <v>529.41999999999996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FQ133" s="2">
        <v>0</v>
      </c>
      <c r="FR133" s="2">
        <v>0</v>
      </c>
      <c r="FS133" s="2">
        <v>0</v>
      </c>
      <c r="FX133" s="2">
        <v>89</v>
      </c>
      <c r="FY133" s="2">
        <v>44</v>
      </c>
      <c r="GA133" s="2" t="s">
        <v>3</v>
      </c>
      <c r="GD133" s="2">
        <v>1</v>
      </c>
      <c r="GF133" s="2">
        <v>231842433</v>
      </c>
      <c r="GG133" s="2">
        <v>2</v>
      </c>
      <c r="GH133" s="2">
        <v>1</v>
      </c>
      <c r="GI133" s="2">
        <v>2</v>
      </c>
      <c r="GJ133" s="2">
        <v>0</v>
      </c>
      <c r="GK133" s="2">
        <v>0</v>
      </c>
      <c r="GL133" s="2">
        <f t="shared" si="122"/>
        <v>0</v>
      </c>
      <c r="GM133" s="2">
        <f t="shared" si="123"/>
        <v>1507.44</v>
      </c>
      <c r="GN133" s="2">
        <f t="shared" si="124"/>
        <v>1507.44</v>
      </c>
      <c r="GO133" s="2">
        <f t="shared" si="125"/>
        <v>0</v>
      </c>
      <c r="GP133" s="2">
        <f t="shared" si="126"/>
        <v>0</v>
      </c>
      <c r="GR133" s="2">
        <v>0</v>
      </c>
      <c r="GS133" s="2">
        <v>3</v>
      </c>
      <c r="GT133" s="2">
        <v>0</v>
      </c>
      <c r="GU133" s="2" t="s">
        <v>3</v>
      </c>
      <c r="GV133" s="2">
        <f t="shared" si="127"/>
        <v>0</v>
      </c>
      <c r="GW133" s="2">
        <v>1</v>
      </c>
      <c r="GX133" s="2">
        <f t="shared" si="128"/>
        <v>0</v>
      </c>
      <c r="HA133" s="2">
        <v>0</v>
      </c>
      <c r="HB133" s="2">
        <v>0</v>
      </c>
      <c r="HC133" s="2">
        <f t="shared" si="129"/>
        <v>0</v>
      </c>
      <c r="HE133" s="2" t="s">
        <v>3</v>
      </c>
      <c r="HF133" s="2" t="s">
        <v>3</v>
      </c>
      <c r="HM133" s="2" t="s">
        <v>24</v>
      </c>
      <c r="HN133" s="2" t="s">
        <v>3</v>
      </c>
      <c r="HO133" s="2" t="s">
        <v>3</v>
      </c>
      <c r="HP133" s="2" t="s">
        <v>3</v>
      </c>
      <c r="HQ133" s="2" t="s">
        <v>3</v>
      </c>
      <c r="HS133" s="2">
        <v>0</v>
      </c>
      <c r="IK133" s="2">
        <v>0</v>
      </c>
    </row>
    <row r="134" spans="1:245" x14ac:dyDescent="0.2">
      <c r="A134" s="2">
        <v>17</v>
      </c>
      <c r="B134" s="2">
        <v>1</v>
      </c>
      <c r="C134" s="2">
        <f>ROW(SmtRes!A102)</f>
        <v>102</v>
      </c>
      <c r="D134" s="2">
        <f>ROW(EtalonRes!A102)</f>
        <v>102</v>
      </c>
      <c r="E134" s="2" t="s">
        <v>230</v>
      </c>
      <c r="F134" s="2" t="s">
        <v>231</v>
      </c>
      <c r="G134" s="2" t="s">
        <v>232</v>
      </c>
      <c r="H134" s="2" t="s">
        <v>32</v>
      </c>
      <c r="I134" s="2">
        <f>ROUND(43.2/100,9)</f>
        <v>0.432</v>
      </c>
      <c r="J134" s="2">
        <v>0</v>
      </c>
      <c r="K134" s="2">
        <f>ROUND(43.2/100,9)</f>
        <v>0.432</v>
      </c>
      <c r="O134" s="2">
        <f t="shared" si="103"/>
        <v>12521.85</v>
      </c>
      <c r="P134" s="2">
        <f t="shared" si="104"/>
        <v>74.47</v>
      </c>
      <c r="Q134" s="2">
        <f>(ROUND((ROUND((((ET134*1.15))*AV134*I134),2)*BB134),2)+ROUND((ROUND(((AE134-((EU134*1.15)))*AV134*I134),2)*BS134),2))</f>
        <v>74.95</v>
      </c>
      <c r="R134" s="2">
        <f>(ROUND((ROUND((((EU134*1.15))*AV134*I134),2)*BS134),2)+ROUND((ROUND(((AE134-((EU134*1.15)))*AV134*I134),2)*BS134),2))</f>
        <v>35.94</v>
      </c>
      <c r="S134" s="2">
        <f t="shared" si="105"/>
        <v>12372.43</v>
      </c>
      <c r="T134" s="2">
        <f t="shared" si="106"/>
        <v>0</v>
      </c>
      <c r="U134" s="2">
        <f t="shared" si="107"/>
        <v>19.032408</v>
      </c>
      <c r="V134" s="2">
        <f t="shared" si="108"/>
        <v>0</v>
      </c>
      <c r="W134" s="2">
        <f t="shared" si="109"/>
        <v>0</v>
      </c>
      <c r="X134" s="2">
        <f>(ROUND((((S134+ROUND((ROUND((((EU134*1.15))*AV134*I134),2)*BS134),2))*AT134)/100),2)+ROUND(((ROUND((ROUND(((AE134-((EU134*1.15)))*AV134*I134),2)*BS134),2)*AT134)/100),2))</f>
        <v>11167.53</v>
      </c>
      <c r="Y134" s="2">
        <f>(ROUND((((S134+ROUND((ROUND((((EU134*1.15))*AV134*I134),2)*BS134),2))*AU134)/100),2)+ROUND(((ROUND((ROUND(((AE134-((EU134*1.15)))*AV134*I134),2)*BS134),2)*AU134)/100),2))</f>
        <v>5211.5200000000004</v>
      </c>
      <c r="AA134" s="2">
        <v>56793366</v>
      </c>
      <c r="AB134" s="2">
        <f t="shared" si="110"/>
        <v>595.75049999999999</v>
      </c>
      <c r="AC134" s="2">
        <f>ROUND(((ES134*1)),6)</f>
        <v>83.69</v>
      </c>
      <c r="AD134" s="2">
        <f>ROUND(((((ET134*1.15))-((EU134*1.15)))+AE134),6)</f>
        <v>10.0395</v>
      </c>
      <c r="AE134" s="2">
        <f>ROUND(((EU134*1.15)),6)</f>
        <v>1.4490000000000001</v>
      </c>
      <c r="AF134" s="2">
        <f>ROUND(((EV134*1.15)),6)</f>
        <v>502.02100000000002</v>
      </c>
      <c r="AG134" s="2">
        <f t="shared" si="112"/>
        <v>0</v>
      </c>
      <c r="AH134" s="2">
        <f>((EW134*1.15))</f>
        <v>44.0565</v>
      </c>
      <c r="AI134" s="2">
        <f>((EX134*1.15))</f>
        <v>0</v>
      </c>
      <c r="AJ134" s="2">
        <f t="shared" si="114"/>
        <v>0</v>
      </c>
      <c r="AK134" s="2">
        <v>528.96</v>
      </c>
      <c r="AL134" s="2">
        <v>83.69</v>
      </c>
      <c r="AM134" s="2">
        <v>8.73</v>
      </c>
      <c r="AN134" s="2">
        <v>1.26</v>
      </c>
      <c r="AO134" s="2">
        <v>436.54</v>
      </c>
      <c r="AP134" s="2">
        <v>0</v>
      </c>
      <c r="AQ134" s="2">
        <v>38.31</v>
      </c>
      <c r="AR134" s="2">
        <v>0</v>
      </c>
      <c r="AS134" s="2">
        <v>0</v>
      </c>
      <c r="AT134" s="2">
        <v>90</v>
      </c>
      <c r="AU134" s="2">
        <v>42</v>
      </c>
      <c r="AV134" s="2">
        <v>1</v>
      </c>
      <c r="AW134" s="2">
        <v>1</v>
      </c>
      <c r="AZ134" s="2">
        <v>1</v>
      </c>
      <c r="BA134" s="2">
        <v>57.05</v>
      </c>
      <c r="BB134" s="2">
        <v>17.27</v>
      </c>
      <c r="BC134" s="2">
        <v>2.06</v>
      </c>
      <c r="BD134" s="2" t="s">
        <v>3</v>
      </c>
      <c r="BE134" s="2" t="s">
        <v>3</v>
      </c>
      <c r="BF134" s="2" t="s">
        <v>3</v>
      </c>
      <c r="BG134" s="2" t="s">
        <v>3</v>
      </c>
      <c r="BH134" s="2">
        <v>0</v>
      </c>
      <c r="BI134" s="2">
        <v>1</v>
      </c>
      <c r="BJ134" s="2" t="s">
        <v>233</v>
      </c>
      <c r="BM134" s="2">
        <v>20</v>
      </c>
      <c r="BN134" s="2">
        <v>0</v>
      </c>
      <c r="BO134" s="2" t="s">
        <v>231</v>
      </c>
      <c r="BP134" s="2">
        <v>1</v>
      </c>
      <c r="BQ134" s="2">
        <v>30</v>
      </c>
      <c r="BR134" s="2">
        <v>0</v>
      </c>
      <c r="BS134" s="2">
        <v>57.05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</v>
      </c>
      <c r="BZ134" s="2">
        <v>90</v>
      </c>
      <c r="CA134" s="2">
        <v>42</v>
      </c>
      <c r="CB134" s="2" t="s">
        <v>3</v>
      </c>
      <c r="CE134" s="2">
        <v>1566</v>
      </c>
      <c r="CF134" s="2">
        <v>0</v>
      </c>
      <c r="CG134" s="2">
        <v>0</v>
      </c>
      <c r="CM134" s="2">
        <v>0</v>
      </c>
      <c r="CN134" s="2" t="s">
        <v>518</v>
      </c>
      <c r="CO134" s="2">
        <v>0</v>
      </c>
      <c r="CP134" s="2">
        <f t="shared" si="115"/>
        <v>12521.85</v>
      </c>
      <c r="CQ134" s="2">
        <f t="shared" si="116"/>
        <v>172.4</v>
      </c>
      <c r="CR134" s="2">
        <f>(ROUND((ROUND((((ET134*1.15))*AV134*1),2)*BB134),2)+ROUND((ROUND(((AE134-((EU134*1.15)))*AV134*1),2)*BS134),2))</f>
        <v>173.39</v>
      </c>
      <c r="CS134" s="2">
        <f>(ROUND((ROUND((((EU134*1.15))*AV134*1),2)*BS134),2)+ROUND((ROUND(((AE134-((EU134*1.15)))*AV134*1),2)*BS134),2))</f>
        <v>82.72</v>
      </c>
      <c r="CT134" s="2">
        <f t="shared" si="117"/>
        <v>28640.240000000002</v>
      </c>
      <c r="CU134" s="2">
        <f t="shared" si="118"/>
        <v>0</v>
      </c>
      <c r="CV134" s="2">
        <f t="shared" si="119"/>
        <v>44.0565</v>
      </c>
      <c r="CW134" s="2">
        <f t="shared" si="120"/>
        <v>0</v>
      </c>
      <c r="CX134" s="2">
        <f t="shared" si="121"/>
        <v>0</v>
      </c>
      <c r="CY134" s="2">
        <f>(ROUND((((S134+ROUND((ROUND((((EU134*1.15))*AV134*1),2)*BS134),2))*AT134)/100),2)+ROUND(((ROUND((ROUND(((AE134-((EU134*1.15)))*AV134*1),2)*BS134),2)*AT134)/100),2))</f>
        <v>11209.64</v>
      </c>
      <c r="CZ134" s="2">
        <f>(ROUND((((S134+ROUND((ROUND((((EU134*1.15))*AV134*1),2)*BS134),2))*AU134)/100),2)+ROUND(((ROUND((ROUND(((AE134-((EU134*1.15)))*AV134*1),2)*BS134),2)*AU134)/100),2))</f>
        <v>5231.16</v>
      </c>
      <c r="DB134" s="2">
        <v>7</v>
      </c>
      <c r="DC134" s="2" t="s">
        <v>3</v>
      </c>
      <c r="DD134" s="2" t="s">
        <v>24</v>
      </c>
      <c r="DE134" s="2" t="s">
        <v>48</v>
      </c>
      <c r="DF134" s="2" t="s">
        <v>48</v>
      </c>
      <c r="DG134" s="2" t="s">
        <v>48</v>
      </c>
      <c r="DH134" s="2" t="s">
        <v>3</v>
      </c>
      <c r="DI134" s="2" t="s">
        <v>48</v>
      </c>
      <c r="DJ134" s="2" t="s">
        <v>48</v>
      </c>
      <c r="DK134" s="2" t="s">
        <v>3</v>
      </c>
      <c r="DL134" s="2" t="s">
        <v>3</v>
      </c>
      <c r="DM134" s="2" t="s">
        <v>3</v>
      </c>
      <c r="DN134" s="2">
        <v>0</v>
      </c>
      <c r="DO134" s="2">
        <v>0</v>
      </c>
      <c r="DP134" s="2">
        <v>1</v>
      </c>
      <c r="DQ134" s="2">
        <v>1</v>
      </c>
      <c r="DU134" s="2">
        <v>1005</v>
      </c>
      <c r="DV134" s="2" t="s">
        <v>32</v>
      </c>
      <c r="DW134" s="2" t="s">
        <v>32</v>
      </c>
      <c r="DX134" s="2">
        <v>100</v>
      </c>
      <c r="DZ134" s="2" t="s">
        <v>3</v>
      </c>
      <c r="EA134" s="2" t="s">
        <v>3</v>
      </c>
      <c r="EB134" s="2" t="s">
        <v>3</v>
      </c>
      <c r="EC134" s="2" t="s">
        <v>3</v>
      </c>
      <c r="EE134" s="2">
        <v>55896072</v>
      </c>
      <c r="EF134" s="2">
        <v>30</v>
      </c>
      <c r="EG134" s="2" t="s">
        <v>49</v>
      </c>
      <c r="EH134" s="2">
        <v>0</v>
      </c>
      <c r="EI134" s="2" t="s">
        <v>3</v>
      </c>
      <c r="EJ134" s="2">
        <v>1</v>
      </c>
      <c r="EK134" s="2">
        <v>20</v>
      </c>
      <c r="EL134" s="2" t="s">
        <v>234</v>
      </c>
      <c r="EM134" s="2" t="s">
        <v>235</v>
      </c>
      <c r="EO134" s="2" t="s">
        <v>28</v>
      </c>
      <c r="EQ134" s="2">
        <v>0</v>
      </c>
      <c r="ER134" s="2">
        <v>528.96</v>
      </c>
      <c r="ES134" s="2">
        <v>83.69</v>
      </c>
      <c r="ET134" s="2">
        <v>8.73</v>
      </c>
      <c r="EU134" s="2">
        <v>1.26</v>
      </c>
      <c r="EV134" s="2">
        <v>436.54</v>
      </c>
      <c r="EW134" s="2">
        <v>38.31</v>
      </c>
      <c r="EX134" s="2">
        <v>0</v>
      </c>
      <c r="EY134" s="2">
        <v>0</v>
      </c>
      <c r="FQ134" s="2">
        <v>0</v>
      </c>
      <c r="FR134" s="2">
        <v>0</v>
      </c>
      <c r="FS134" s="2">
        <v>0</v>
      </c>
      <c r="FX134" s="2">
        <v>90</v>
      </c>
      <c r="FY134" s="2">
        <v>42</v>
      </c>
      <c r="GA134" s="2" t="s">
        <v>3</v>
      </c>
      <c r="GD134" s="2">
        <v>1</v>
      </c>
      <c r="GF134" s="2">
        <v>-468562403</v>
      </c>
      <c r="GG134" s="2">
        <v>2</v>
      </c>
      <c r="GH134" s="2">
        <v>1</v>
      </c>
      <c r="GI134" s="2">
        <v>2</v>
      </c>
      <c r="GJ134" s="2">
        <v>0</v>
      </c>
      <c r="GK134" s="2">
        <v>0</v>
      </c>
      <c r="GL134" s="2">
        <f t="shared" si="122"/>
        <v>0</v>
      </c>
      <c r="GM134" s="2">
        <f t="shared" si="123"/>
        <v>28900.9</v>
      </c>
      <c r="GN134" s="2">
        <f t="shared" si="124"/>
        <v>28900.9</v>
      </c>
      <c r="GO134" s="2">
        <f t="shared" si="125"/>
        <v>0</v>
      </c>
      <c r="GP134" s="2">
        <f t="shared" si="126"/>
        <v>0</v>
      </c>
      <c r="GR134" s="2">
        <v>0</v>
      </c>
      <c r="GS134" s="2">
        <v>3</v>
      </c>
      <c r="GT134" s="2">
        <v>0</v>
      </c>
      <c r="GU134" s="2" t="s">
        <v>3</v>
      </c>
      <c r="GV134" s="2">
        <f t="shared" si="127"/>
        <v>0</v>
      </c>
      <c r="GW134" s="2">
        <v>1</v>
      </c>
      <c r="GX134" s="2">
        <f t="shared" si="128"/>
        <v>0</v>
      </c>
      <c r="HA134" s="2">
        <v>0</v>
      </c>
      <c r="HB134" s="2">
        <v>0</v>
      </c>
      <c r="HC134" s="2">
        <f t="shared" si="129"/>
        <v>0</v>
      </c>
      <c r="HE134" s="2" t="s">
        <v>3</v>
      </c>
      <c r="HF134" s="2" t="s">
        <v>3</v>
      </c>
      <c r="HM134" s="2" t="s">
        <v>3</v>
      </c>
      <c r="HN134" s="2" t="s">
        <v>3</v>
      </c>
      <c r="HO134" s="2" t="s">
        <v>3</v>
      </c>
      <c r="HP134" s="2" t="s">
        <v>3</v>
      </c>
      <c r="HQ134" s="2" t="s">
        <v>3</v>
      </c>
      <c r="HS134" s="2">
        <v>0</v>
      </c>
      <c r="IK134" s="2">
        <v>0</v>
      </c>
    </row>
    <row r="135" spans="1:245" x14ac:dyDescent="0.2">
      <c r="A135" s="2">
        <v>18</v>
      </c>
      <c r="B135" s="2">
        <v>1</v>
      </c>
      <c r="C135" s="2">
        <v>101</v>
      </c>
      <c r="E135" s="2" t="s">
        <v>236</v>
      </c>
      <c r="F135" s="2" t="s">
        <v>237</v>
      </c>
      <c r="G135" s="2" t="s">
        <v>238</v>
      </c>
      <c r="H135" s="2" t="s">
        <v>239</v>
      </c>
      <c r="I135" s="2">
        <f>I134*J135</f>
        <v>9.6849999999999992E-3</v>
      </c>
      <c r="J135" s="2">
        <v>2.2418981481481481E-2</v>
      </c>
      <c r="K135" s="2">
        <v>2.2420000000000002E-2</v>
      </c>
      <c r="O135" s="2">
        <f t="shared" si="103"/>
        <v>693.03</v>
      </c>
      <c r="P135" s="2">
        <f t="shared" si="104"/>
        <v>693.03</v>
      </c>
      <c r="Q135" s="2">
        <f>(ROUND((ROUND(((ET135)*AV135*I135),2)*BB135),2)+ROUND((ROUND(((AE135-(EU135))*AV135*I135),2)*BS135),2))</f>
        <v>0</v>
      </c>
      <c r="R135" s="2">
        <f>(ROUND((ROUND(((EU135)*AV135*I135),2)*BS135),2)+ROUND((ROUND(((AE135-(EU135))*AV135*I135),2)*BS135),2))</f>
        <v>0</v>
      </c>
      <c r="S135" s="2">
        <f t="shared" si="105"/>
        <v>0</v>
      </c>
      <c r="T135" s="2">
        <f t="shared" si="106"/>
        <v>0</v>
      </c>
      <c r="U135" s="2">
        <f t="shared" si="107"/>
        <v>0</v>
      </c>
      <c r="V135" s="2">
        <f t="shared" si="108"/>
        <v>0</v>
      </c>
      <c r="W135" s="2">
        <f t="shared" si="109"/>
        <v>0</v>
      </c>
      <c r="X135" s="2">
        <f>(ROUND((((S135+ROUND((ROUND(((EU135)*AV135*I135),2)*BS135),2))*AT135)/100),2)+ROUND(((ROUND((ROUND(((AE135-(EU135))*AV135*I135),2)*BS135),2)*AT135)/100),2))</f>
        <v>0</v>
      </c>
      <c r="Y135" s="2">
        <f>(ROUND((((S135+ROUND((ROUND(((EU135)*AV135*I135),2)*BS135),2))*AU135)/100),2)+ROUND(((ROUND((ROUND(((AE135-(EU135))*AV135*I135),2)*BS135),2)*AU135)/100),2))</f>
        <v>0</v>
      </c>
      <c r="AA135" s="2">
        <v>56793366</v>
      </c>
      <c r="AB135" s="2">
        <f t="shared" si="110"/>
        <v>20922.849999999999</v>
      </c>
      <c r="AC135" s="2">
        <f>ROUND((ES135),6)</f>
        <v>20922.849999999999</v>
      </c>
      <c r="AD135" s="2">
        <f>ROUND((((ET135)-(EU135))+AE135),6)</f>
        <v>0</v>
      </c>
      <c r="AE135" s="2">
        <f t="shared" ref="AE135:AF137" si="130">ROUND((EU135),6)</f>
        <v>0</v>
      </c>
      <c r="AF135" s="2">
        <f t="shared" si="130"/>
        <v>0</v>
      </c>
      <c r="AG135" s="2">
        <f t="shared" si="112"/>
        <v>0</v>
      </c>
      <c r="AH135" s="2">
        <f t="shared" ref="AH135:AI137" si="131">(EW135)</f>
        <v>0</v>
      </c>
      <c r="AI135" s="2">
        <f t="shared" si="131"/>
        <v>0</v>
      </c>
      <c r="AJ135" s="2">
        <f t="shared" si="114"/>
        <v>0</v>
      </c>
      <c r="AK135" s="2">
        <v>20922.849999999999</v>
      </c>
      <c r="AL135" s="2">
        <v>20922.849999999999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90</v>
      </c>
      <c r="AU135" s="2">
        <v>42</v>
      </c>
      <c r="AV135" s="2">
        <v>1</v>
      </c>
      <c r="AW135" s="2">
        <v>1</v>
      </c>
      <c r="AZ135" s="2">
        <v>1</v>
      </c>
      <c r="BA135" s="2">
        <v>1</v>
      </c>
      <c r="BB135" s="2">
        <v>1</v>
      </c>
      <c r="BC135" s="2">
        <v>3.42</v>
      </c>
      <c r="BD135" s="2" t="s">
        <v>3</v>
      </c>
      <c r="BE135" s="2" t="s">
        <v>3</v>
      </c>
      <c r="BF135" s="2" t="s">
        <v>3</v>
      </c>
      <c r="BG135" s="2" t="s">
        <v>3</v>
      </c>
      <c r="BH135" s="2">
        <v>3</v>
      </c>
      <c r="BI135" s="2">
        <v>1</v>
      </c>
      <c r="BJ135" s="2" t="s">
        <v>240</v>
      </c>
      <c r="BM135" s="2">
        <v>20</v>
      </c>
      <c r="BN135" s="2">
        <v>0</v>
      </c>
      <c r="BO135" s="2" t="s">
        <v>237</v>
      </c>
      <c r="BP135" s="2">
        <v>1</v>
      </c>
      <c r="BQ135" s="2">
        <v>30</v>
      </c>
      <c r="BR135" s="2">
        <v>0</v>
      </c>
      <c r="BS135" s="2">
        <v>1</v>
      </c>
      <c r="BT135" s="2">
        <v>1</v>
      </c>
      <c r="BU135" s="2">
        <v>1</v>
      </c>
      <c r="BV135" s="2">
        <v>1</v>
      </c>
      <c r="BW135" s="2">
        <v>1</v>
      </c>
      <c r="BX135" s="2">
        <v>1</v>
      </c>
      <c r="BY135" s="2" t="s">
        <v>3</v>
      </c>
      <c r="BZ135" s="2">
        <v>90</v>
      </c>
      <c r="CA135" s="2">
        <v>42</v>
      </c>
      <c r="CB135" s="2" t="s">
        <v>3</v>
      </c>
      <c r="CE135" s="2">
        <v>1566</v>
      </c>
      <c r="CF135" s="2">
        <v>0</v>
      </c>
      <c r="CG135" s="2">
        <v>0</v>
      </c>
      <c r="CM135" s="2">
        <v>0</v>
      </c>
      <c r="CN135" s="2" t="s">
        <v>520</v>
      </c>
      <c r="CO135" s="2">
        <v>0</v>
      </c>
      <c r="CP135" s="2">
        <f t="shared" si="115"/>
        <v>693.03</v>
      </c>
      <c r="CQ135" s="2">
        <f t="shared" si="116"/>
        <v>71556.149999999994</v>
      </c>
      <c r="CR135" s="2">
        <f>(ROUND((ROUND(((ET135)*AV135*1),2)*BB135),2)+ROUND((ROUND(((AE135-(EU135))*AV135*1),2)*BS135),2))</f>
        <v>0</v>
      </c>
      <c r="CS135" s="2">
        <f>(ROUND((ROUND(((EU135)*AV135*1),2)*BS135),2)+ROUND((ROUND(((AE135-(EU135))*AV135*1),2)*BS135),2))</f>
        <v>0</v>
      </c>
      <c r="CT135" s="2">
        <f t="shared" si="117"/>
        <v>0</v>
      </c>
      <c r="CU135" s="2">
        <f t="shared" si="118"/>
        <v>0</v>
      </c>
      <c r="CV135" s="2">
        <f t="shared" si="119"/>
        <v>0</v>
      </c>
      <c r="CW135" s="2">
        <f t="shared" si="120"/>
        <v>0</v>
      </c>
      <c r="CX135" s="2">
        <f t="shared" si="121"/>
        <v>0</v>
      </c>
      <c r="CY135" s="2">
        <f>(ROUND((((S135+ROUND((ROUND(((EU135)*AV135*1),2)*BS135),2))*AT135)/100),2)+ROUND(((ROUND((ROUND(((AE135-(EU135))*AV135*1),2)*BS135),2)*AT135)/100),2))</f>
        <v>0</v>
      </c>
      <c r="CZ135" s="2">
        <f>(ROUND((((S135+ROUND((ROUND(((EU135)*AV135*1),2)*BS135),2))*AU135)/100),2)+ROUND(((ROUND((ROUND(((AE135-(EU135))*AV135*1),2)*BS135),2)*AU135)/100),2))</f>
        <v>0</v>
      </c>
      <c r="DC135" s="2" t="s">
        <v>3</v>
      </c>
      <c r="DD135" s="2" t="s">
        <v>3</v>
      </c>
      <c r="DE135" s="2" t="s">
        <v>3</v>
      </c>
      <c r="DF135" s="2" t="s">
        <v>3</v>
      </c>
      <c r="DG135" s="2" t="s">
        <v>3</v>
      </c>
      <c r="DH135" s="2" t="s">
        <v>3</v>
      </c>
      <c r="DI135" s="2" t="s">
        <v>3</v>
      </c>
      <c r="DJ135" s="2" t="s">
        <v>3</v>
      </c>
      <c r="DK135" s="2" t="s">
        <v>3</v>
      </c>
      <c r="DL135" s="2" t="s">
        <v>3</v>
      </c>
      <c r="DM135" s="2" t="s">
        <v>3</v>
      </c>
      <c r="DN135" s="2">
        <v>0</v>
      </c>
      <c r="DO135" s="2">
        <v>0</v>
      </c>
      <c r="DP135" s="2">
        <v>1</v>
      </c>
      <c r="DQ135" s="2">
        <v>1</v>
      </c>
      <c r="DU135" s="2">
        <v>1009</v>
      </c>
      <c r="DV135" s="2" t="s">
        <v>239</v>
      </c>
      <c r="DW135" s="2" t="s">
        <v>239</v>
      </c>
      <c r="DX135" s="2">
        <v>1000</v>
      </c>
      <c r="DZ135" s="2" t="s">
        <v>3</v>
      </c>
      <c r="EA135" s="2" t="s">
        <v>3</v>
      </c>
      <c r="EB135" s="2" t="s">
        <v>3</v>
      </c>
      <c r="EC135" s="2" t="s">
        <v>3</v>
      </c>
      <c r="EE135" s="2">
        <v>55896072</v>
      </c>
      <c r="EF135" s="2">
        <v>30</v>
      </c>
      <c r="EG135" s="2" t="s">
        <v>49</v>
      </c>
      <c r="EH135" s="2">
        <v>0</v>
      </c>
      <c r="EI135" s="2" t="s">
        <v>3</v>
      </c>
      <c r="EJ135" s="2">
        <v>1</v>
      </c>
      <c r="EK135" s="2">
        <v>20</v>
      </c>
      <c r="EL135" s="2" t="s">
        <v>234</v>
      </c>
      <c r="EM135" s="2" t="s">
        <v>235</v>
      </c>
      <c r="EO135" s="2" t="s">
        <v>28</v>
      </c>
      <c r="EQ135" s="2">
        <v>0</v>
      </c>
      <c r="ER135" s="2">
        <v>20922.849999999999</v>
      </c>
      <c r="ES135" s="2">
        <v>20922.849999999999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FQ135" s="2">
        <v>0</v>
      </c>
      <c r="FR135" s="2">
        <v>0</v>
      </c>
      <c r="FS135" s="2">
        <v>0</v>
      </c>
      <c r="FX135" s="2">
        <v>90</v>
      </c>
      <c r="FY135" s="2">
        <v>42</v>
      </c>
      <c r="GA135" s="2" t="s">
        <v>3</v>
      </c>
      <c r="GD135" s="2">
        <v>1</v>
      </c>
      <c r="GF135" s="2">
        <v>-1592580343</v>
      </c>
      <c r="GG135" s="2">
        <v>2</v>
      </c>
      <c r="GH135" s="2">
        <v>1</v>
      </c>
      <c r="GI135" s="2">
        <v>2</v>
      </c>
      <c r="GJ135" s="2">
        <v>0</v>
      </c>
      <c r="GK135" s="2">
        <v>0</v>
      </c>
      <c r="GL135" s="2">
        <f t="shared" si="122"/>
        <v>0</v>
      </c>
      <c r="GM135" s="2">
        <f t="shared" si="123"/>
        <v>693.03</v>
      </c>
      <c r="GN135" s="2">
        <f t="shared" si="124"/>
        <v>693.03</v>
      </c>
      <c r="GO135" s="2">
        <f t="shared" si="125"/>
        <v>0</v>
      </c>
      <c r="GP135" s="2">
        <f t="shared" si="126"/>
        <v>0</v>
      </c>
      <c r="GR135" s="2">
        <v>0</v>
      </c>
      <c r="GS135" s="2">
        <v>3</v>
      </c>
      <c r="GT135" s="2">
        <v>0</v>
      </c>
      <c r="GU135" s="2" t="s">
        <v>3</v>
      </c>
      <c r="GV135" s="2">
        <f t="shared" si="127"/>
        <v>0</v>
      </c>
      <c r="GW135" s="2">
        <v>1</v>
      </c>
      <c r="GX135" s="2">
        <f t="shared" si="128"/>
        <v>0</v>
      </c>
      <c r="HA135" s="2">
        <v>0</v>
      </c>
      <c r="HB135" s="2">
        <v>0</v>
      </c>
      <c r="HC135" s="2">
        <f t="shared" si="129"/>
        <v>0</v>
      </c>
      <c r="HE135" s="2" t="s">
        <v>3</v>
      </c>
      <c r="HF135" s="2" t="s">
        <v>3</v>
      </c>
      <c r="HM135" s="2" t="s">
        <v>24</v>
      </c>
      <c r="HN135" s="2" t="s">
        <v>3</v>
      </c>
      <c r="HO135" s="2" t="s">
        <v>3</v>
      </c>
      <c r="HP135" s="2" t="s">
        <v>3</v>
      </c>
      <c r="HQ135" s="2" t="s">
        <v>3</v>
      </c>
      <c r="HS135" s="2">
        <v>0</v>
      </c>
      <c r="IK135" s="2">
        <v>0</v>
      </c>
    </row>
    <row r="136" spans="1:245" x14ac:dyDescent="0.2">
      <c r="A136" s="2">
        <v>18</v>
      </c>
      <c r="B136" s="2">
        <v>1</v>
      </c>
      <c r="C136" s="2">
        <v>100</v>
      </c>
      <c r="E136" s="2" t="s">
        <v>241</v>
      </c>
      <c r="F136" s="2" t="s">
        <v>160</v>
      </c>
      <c r="G136" s="2" t="s">
        <v>161</v>
      </c>
      <c r="H136" s="2" t="s">
        <v>146</v>
      </c>
      <c r="I136" s="2">
        <f>I134*J136</f>
        <v>18.36</v>
      </c>
      <c r="J136" s="2">
        <v>42.5</v>
      </c>
      <c r="K136" s="2">
        <v>42.5</v>
      </c>
      <c r="O136" s="2">
        <f t="shared" si="103"/>
        <v>2096.36</v>
      </c>
      <c r="P136" s="2">
        <f t="shared" si="104"/>
        <v>2096.36</v>
      </c>
      <c r="Q136" s="2">
        <f>(ROUND((ROUND(((ET136)*AV136*I136),2)*BB136),2)+ROUND((ROUND(((AE136-(EU136))*AV136*I136),2)*BS136),2))</f>
        <v>0</v>
      </c>
      <c r="R136" s="2">
        <f>(ROUND((ROUND(((EU136)*AV136*I136),2)*BS136),2)+ROUND((ROUND(((AE136-(EU136))*AV136*I136),2)*BS136),2))</f>
        <v>0</v>
      </c>
      <c r="S136" s="2">
        <f t="shared" si="105"/>
        <v>0</v>
      </c>
      <c r="T136" s="2">
        <f t="shared" si="106"/>
        <v>0</v>
      </c>
      <c r="U136" s="2">
        <f t="shared" si="107"/>
        <v>0</v>
      </c>
      <c r="V136" s="2">
        <f t="shared" si="108"/>
        <v>0</v>
      </c>
      <c r="W136" s="2">
        <f t="shared" si="109"/>
        <v>0</v>
      </c>
      <c r="X136" s="2">
        <f>(ROUND((((S136+ROUND((ROUND(((EU136)*AV136*I136),2)*BS136),2))*AT136)/100),2)+ROUND(((ROUND((ROUND(((AE136-(EU136))*AV136*I136),2)*BS136),2)*AT136)/100),2))</f>
        <v>0</v>
      </c>
      <c r="Y136" s="2">
        <f>(ROUND((((S136+ROUND((ROUND(((EU136)*AV136*I136),2)*BS136),2))*AU136)/100),2)+ROUND(((ROUND((ROUND(((AE136-(EU136))*AV136*I136),2)*BS136),2)*AU136)/100),2))</f>
        <v>0</v>
      </c>
      <c r="AA136" s="2">
        <v>56793366</v>
      </c>
      <c r="AB136" s="2">
        <f t="shared" si="110"/>
        <v>17.3</v>
      </c>
      <c r="AC136" s="2">
        <f>ROUND((ES136),6)</f>
        <v>17.3</v>
      </c>
      <c r="AD136" s="2">
        <f>ROUND((((ET136)-(EU136))+AE136),6)</f>
        <v>0</v>
      </c>
      <c r="AE136" s="2">
        <f t="shared" si="130"/>
        <v>0</v>
      </c>
      <c r="AF136" s="2">
        <f t="shared" si="130"/>
        <v>0</v>
      </c>
      <c r="AG136" s="2">
        <f t="shared" si="112"/>
        <v>0</v>
      </c>
      <c r="AH136" s="2">
        <f t="shared" si="131"/>
        <v>0</v>
      </c>
      <c r="AI136" s="2">
        <f t="shared" si="131"/>
        <v>0</v>
      </c>
      <c r="AJ136" s="2">
        <f t="shared" si="114"/>
        <v>0</v>
      </c>
      <c r="AK136" s="2">
        <v>17.3</v>
      </c>
      <c r="AL136" s="2">
        <v>17.3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90</v>
      </c>
      <c r="AU136" s="2">
        <v>42</v>
      </c>
      <c r="AV136" s="2">
        <v>1</v>
      </c>
      <c r="AW136" s="2">
        <v>1</v>
      </c>
      <c r="AZ136" s="2">
        <v>1</v>
      </c>
      <c r="BA136" s="2">
        <v>1</v>
      </c>
      <c r="BB136" s="2">
        <v>1</v>
      </c>
      <c r="BC136" s="2">
        <v>6.6</v>
      </c>
      <c r="BD136" s="2" t="s">
        <v>3</v>
      </c>
      <c r="BE136" s="2" t="s">
        <v>3</v>
      </c>
      <c r="BF136" s="2" t="s">
        <v>3</v>
      </c>
      <c r="BG136" s="2" t="s">
        <v>3</v>
      </c>
      <c r="BH136" s="2">
        <v>3</v>
      </c>
      <c r="BI136" s="2">
        <v>1</v>
      </c>
      <c r="BJ136" s="2" t="s">
        <v>162</v>
      </c>
      <c r="BM136" s="2">
        <v>20</v>
      </c>
      <c r="BN136" s="2">
        <v>0</v>
      </c>
      <c r="BO136" s="2" t="s">
        <v>160</v>
      </c>
      <c r="BP136" s="2">
        <v>1</v>
      </c>
      <c r="BQ136" s="2">
        <v>30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3</v>
      </c>
      <c r="BZ136" s="2">
        <v>90</v>
      </c>
      <c r="CA136" s="2">
        <v>42</v>
      </c>
      <c r="CB136" s="2" t="s">
        <v>3</v>
      </c>
      <c r="CE136" s="2">
        <v>1566</v>
      </c>
      <c r="CF136" s="2">
        <v>0</v>
      </c>
      <c r="CG136" s="2">
        <v>0</v>
      </c>
      <c r="CM136" s="2">
        <v>0</v>
      </c>
      <c r="CN136" s="2" t="s">
        <v>520</v>
      </c>
      <c r="CO136" s="2">
        <v>0</v>
      </c>
      <c r="CP136" s="2">
        <f t="shared" si="115"/>
        <v>2096.36</v>
      </c>
      <c r="CQ136" s="2">
        <f t="shared" si="116"/>
        <v>114.18</v>
      </c>
      <c r="CR136" s="2">
        <f>(ROUND((ROUND(((ET136)*AV136*1),2)*BB136),2)+ROUND((ROUND(((AE136-(EU136))*AV136*1),2)*BS136),2))</f>
        <v>0</v>
      </c>
      <c r="CS136" s="2">
        <f>(ROUND((ROUND(((EU136)*AV136*1),2)*BS136),2)+ROUND((ROUND(((AE136-(EU136))*AV136*1),2)*BS136),2))</f>
        <v>0</v>
      </c>
      <c r="CT136" s="2">
        <f t="shared" si="117"/>
        <v>0</v>
      </c>
      <c r="CU136" s="2">
        <f t="shared" si="118"/>
        <v>0</v>
      </c>
      <c r="CV136" s="2">
        <f t="shared" si="119"/>
        <v>0</v>
      </c>
      <c r="CW136" s="2">
        <f t="shared" si="120"/>
        <v>0</v>
      </c>
      <c r="CX136" s="2">
        <f t="shared" si="121"/>
        <v>0</v>
      </c>
      <c r="CY136" s="2">
        <f>(ROUND((((S136+ROUND((ROUND(((EU136)*AV136*1),2)*BS136),2))*AT136)/100),2)+ROUND(((ROUND((ROUND(((AE136-(EU136))*AV136*1),2)*BS136),2)*AT136)/100),2))</f>
        <v>0</v>
      </c>
      <c r="CZ136" s="2">
        <f>(ROUND((((S136+ROUND((ROUND(((EU136)*AV136*1),2)*BS136),2))*AU136)/100),2)+ROUND(((ROUND((ROUND(((AE136-(EU136))*AV136*1),2)*BS136),2)*AU136)/100),2))</f>
        <v>0</v>
      </c>
      <c r="DC136" s="2" t="s">
        <v>3</v>
      </c>
      <c r="DD136" s="2" t="s">
        <v>3</v>
      </c>
      <c r="DE136" s="2" t="s">
        <v>3</v>
      </c>
      <c r="DF136" s="2" t="s">
        <v>3</v>
      </c>
      <c r="DG136" s="2" t="s">
        <v>3</v>
      </c>
      <c r="DH136" s="2" t="s">
        <v>3</v>
      </c>
      <c r="DI136" s="2" t="s">
        <v>3</v>
      </c>
      <c r="DJ136" s="2" t="s">
        <v>3</v>
      </c>
      <c r="DK136" s="2" t="s">
        <v>3</v>
      </c>
      <c r="DL136" s="2" t="s">
        <v>3</v>
      </c>
      <c r="DM136" s="2" t="s">
        <v>3</v>
      </c>
      <c r="DN136" s="2">
        <v>0</v>
      </c>
      <c r="DO136" s="2">
        <v>0</v>
      </c>
      <c r="DP136" s="2">
        <v>1</v>
      </c>
      <c r="DQ136" s="2">
        <v>1</v>
      </c>
      <c r="DU136" s="2">
        <v>1009</v>
      </c>
      <c r="DV136" s="2" t="s">
        <v>146</v>
      </c>
      <c r="DW136" s="2" t="s">
        <v>146</v>
      </c>
      <c r="DX136" s="2">
        <v>1</v>
      </c>
      <c r="DZ136" s="2" t="s">
        <v>3</v>
      </c>
      <c r="EA136" s="2" t="s">
        <v>3</v>
      </c>
      <c r="EB136" s="2" t="s">
        <v>3</v>
      </c>
      <c r="EC136" s="2" t="s">
        <v>3</v>
      </c>
      <c r="EE136" s="2">
        <v>55896072</v>
      </c>
      <c r="EF136" s="2">
        <v>30</v>
      </c>
      <c r="EG136" s="2" t="s">
        <v>49</v>
      </c>
      <c r="EH136" s="2">
        <v>0</v>
      </c>
      <c r="EI136" s="2" t="s">
        <v>3</v>
      </c>
      <c r="EJ136" s="2">
        <v>1</v>
      </c>
      <c r="EK136" s="2">
        <v>20</v>
      </c>
      <c r="EL136" s="2" t="s">
        <v>234</v>
      </c>
      <c r="EM136" s="2" t="s">
        <v>235</v>
      </c>
      <c r="EO136" s="2" t="s">
        <v>28</v>
      </c>
      <c r="EQ136" s="2">
        <v>0</v>
      </c>
      <c r="ER136" s="2">
        <v>17.3</v>
      </c>
      <c r="ES136" s="2">
        <v>17.3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FQ136" s="2">
        <v>0</v>
      </c>
      <c r="FR136" s="2">
        <v>0</v>
      </c>
      <c r="FS136" s="2">
        <v>0</v>
      </c>
      <c r="FX136" s="2">
        <v>90</v>
      </c>
      <c r="FY136" s="2">
        <v>42</v>
      </c>
      <c r="GA136" s="2" t="s">
        <v>3</v>
      </c>
      <c r="GD136" s="2">
        <v>1</v>
      </c>
      <c r="GF136" s="2">
        <v>1866012392</v>
      </c>
      <c r="GG136" s="2">
        <v>2</v>
      </c>
      <c r="GH136" s="2">
        <v>1</v>
      </c>
      <c r="GI136" s="2">
        <v>2</v>
      </c>
      <c r="GJ136" s="2">
        <v>0</v>
      </c>
      <c r="GK136" s="2">
        <v>0</v>
      </c>
      <c r="GL136" s="2">
        <f t="shared" si="122"/>
        <v>0</v>
      </c>
      <c r="GM136" s="2">
        <f t="shared" si="123"/>
        <v>2096.36</v>
      </c>
      <c r="GN136" s="2">
        <f t="shared" si="124"/>
        <v>2096.36</v>
      </c>
      <c r="GO136" s="2">
        <f t="shared" si="125"/>
        <v>0</v>
      </c>
      <c r="GP136" s="2">
        <f t="shared" si="126"/>
        <v>0</v>
      </c>
      <c r="GR136" s="2">
        <v>0</v>
      </c>
      <c r="GS136" s="2">
        <v>3</v>
      </c>
      <c r="GT136" s="2">
        <v>0</v>
      </c>
      <c r="GU136" s="2" t="s">
        <v>3</v>
      </c>
      <c r="GV136" s="2">
        <f t="shared" si="127"/>
        <v>0</v>
      </c>
      <c r="GW136" s="2">
        <v>1</v>
      </c>
      <c r="GX136" s="2">
        <f t="shared" si="128"/>
        <v>0</v>
      </c>
      <c r="HA136" s="2">
        <v>0</v>
      </c>
      <c r="HB136" s="2">
        <v>0</v>
      </c>
      <c r="HC136" s="2">
        <f t="shared" si="129"/>
        <v>0</v>
      </c>
      <c r="HE136" s="2" t="s">
        <v>3</v>
      </c>
      <c r="HF136" s="2" t="s">
        <v>3</v>
      </c>
      <c r="HM136" s="2" t="s">
        <v>24</v>
      </c>
      <c r="HN136" s="2" t="s">
        <v>3</v>
      </c>
      <c r="HO136" s="2" t="s">
        <v>3</v>
      </c>
      <c r="HP136" s="2" t="s">
        <v>3</v>
      </c>
      <c r="HQ136" s="2" t="s">
        <v>3</v>
      </c>
      <c r="HS136" s="2">
        <v>0</v>
      </c>
      <c r="IK136" s="2">
        <v>0</v>
      </c>
    </row>
    <row r="137" spans="1:245" x14ac:dyDescent="0.2">
      <c r="A137" s="2">
        <v>18</v>
      </c>
      <c r="B137" s="2">
        <v>1</v>
      </c>
      <c r="C137" s="2">
        <v>102</v>
      </c>
      <c r="E137" s="2" t="s">
        <v>242</v>
      </c>
      <c r="F137" s="2" t="s">
        <v>243</v>
      </c>
      <c r="G137" s="2" t="s">
        <v>522</v>
      </c>
      <c r="H137" s="2" t="s">
        <v>146</v>
      </c>
      <c r="I137" s="2">
        <f>I134*J137</f>
        <v>50.232959999999999</v>
      </c>
      <c r="J137" s="2">
        <v>116.28</v>
      </c>
      <c r="K137" s="2">
        <v>116.28</v>
      </c>
      <c r="O137" s="2">
        <f t="shared" si="103"/>
        <v>1226.3399999999999</v>
      </c>
      <c r="P137" s="2">
        <f t="shared" si="104"/>
        <v>1226.3399999999999</v>
      </c>
      <c r="Q137" s="2">
        <f>(ROUND((ROUND(((ET137)*AV137*I137),2)*BB137),2)+ROUND((ROUND(((AE137-(EU137))*AV137*I137),2)*BS137),2))</f>
        <v>0</v>
      </c>
      <c r="R137" s="2">
        <f>(ROUND((ROUND(((EU137)*AV137*I137),2)*BS137),2)+ROUND((ROUND(((AE137-(EU137))*AV137*I137),2)*BS137),2))</f>
        <v>0</v>
      </c>
      <c r="S137" s="2">
        <f t="shared" si="105"/>
        <v>0</v>
      </c>
      <c r="T137" s="2">
        <f t="shared" si="106"/>
        <v>0</v>
      </c>
      <c r="U137" s="2">
        <f t="shared" si="107"/>
        <v>0</v>
      </c>
      <c r="V137" s="2">
        <f t="shared" si="108"/>
        <v>0</v>
      </c>
      <c r="W137" s="2">
        <f t="shared" si="109"/>
        <v>0</v>
      </c>
      <c r="X137" s="2">
        <f>(ROUND((((S137+ROUND((ROUND(((EU137)*AV137*I137),2)*BS137),2))*AT137)/100),2)+ROUND(((ROUND((ROUND(((AE137-(EU137))*AV137*I137),2)*BS137),2)*AT137)/100),2))</f>
        <v>0</v>
      </c>
      <c r="Y137" s="2">
        <f>(ROUND((((S137+ROUND((ROUND(((EU137)*AV137*I137),2)*BS137),2))*AU137)/100),2)+ROUND(((ROUND((ROUND(((AE137-(EU137))*AV137*I137),2)*BS137),2)*AU137)/100),2))</f>
        <v>0</v>
      </c>
      <c r="AA137" s="2">
        <v>56793366</v>
      </c>
      <c r="AB137" s="2">
        <f t="shared" si="110"/>
        <v>5.94</v>
      </c>
      <c r="AC137" s="2">
        <f>ROUND((ES137),6)</f>
        <v>5.94</v>
      </c>
      <c r="AD137" s="2">
        <f>ROUND((((ET137)-(EU137))+AE137),6)</f>
        <v>0</v>
      </c>
      <c r="AE137" s="2">
        <f t="shared" si="130"/>
        <v>0</v>
      </c>
      <c r="AF137" s="2">
        <f t="shared" si="130"/>
        <v>0</v>
      </c>
      <c r="AG137" s="2">
        <f t="shared" si="112"/>
        <v>0</v>
      </c>
      <c r="AH137" s="2">
        <f t="shared" si="131"/>
        <v>0</v>
      </c>
      <c r="AI137" s="2">
        <f t="shared" si="131"/>
        <v>0</v>
      </c>
      <c r="AJ137" s="2">
        <f t="shared" si="114"/>
        <v>0</v>
      </c>
      <c r="AK137" s="2">
        <v>5.94</v>
      </c>
      <c r="AL137" s="2">
        <v>5.94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90</v>
      </c>
      <c r="AU137" s="2">
        <v>42</v>
      </c>
      <c r="AV137" s="2">
        <v>1</v>
      </c>
      <c r="AW137" s="2">
        <v>1</v>
      </c>
      <c r="AZ137" s="2">
        <v>1</v>
      </c>
      <c r="BA137" s="2">
        <v>1</v>
      </c>
      <c r="BB137" s="2">
        <v>1</v>
      </c>
      <c r="BC137" s="2">
        <v>4.1100000000000003</v>
      </c>
      <c r="BD137" s="2" t="s">
        <v>3</v>
      </c>
      <c r="BE137" s="2" t="s">
        <v>3</v>
      </c>
      <c r="BF137" s="2" t="s">
        <v>3</v>
      </c>
      <c r="BG137" s="2" t="s">
        <v>3</v>
      </c>
      <c r="BH137" s="2">
        <v>3</v>
      </c>
      <c r="BI137" s="2">
        <v>1</v>
      </c>
      <c r="BJ137" s="2" t="s">
        <v>244</v>
      </c>
      <c r="BM137" s="2">
        <v>20</v>
      </c>
      <c r="BN137" s="2">
        <v>0</v>
      </c>
      <c r="BO137" s="2" t="s">
        <v>243</v>
      </c>
      <c r="BP137" s="2">
        <v>1</v>
      </c>
      <c r="BQ137" s="2">
        <v>30</v>
      </c>
      <c r="BR137" s="2">
        <v>0</v>
      </c>
      <c r="BS137" s="2">
        <v>1</v>
      </c>
      <c r="BT137" s="2">
        <v>1</v>
      </c>
      <c r="BU137" s="2">
        <v>1</v>
      </c>
      <c r="BV137" s="2">
        <v>1</v>
      </c>
      <c r="BW137" s="2">
        <v>1</v>
      </c>
      <c r="BX137" s="2">
        <v>1</v>
      </c>
      <c r="BY137" s="2" t="s">
        <v>3</v>
      </c>
      <c r="BZ137" s="2">
        <v>90</v>
      </c>
      <c r="CA137" s="2">
        <v>42</v>
      </c>
      <c r="CB137" s="2" t="s">
        <v>3</v>
      </c>
      <c r="CE137" s="2">
        <v>1566</v>
      </c>
      <c r="CF137" s="2">
        <v>0</v>
      </c>
      <c r="CG137" s="2">
        <v>0</v>
      </c>
      <c r="CM137" s="2">
        <v>0</v>
      </c>
      <c r="CN137" s="2" t="s">
        <v>520</v>
      </c>
      <c r="CO137" s="2">
        <v>0</v>
      </c>
      <c r="CP137" s="2">
        <f t="shared" si="115"/>
        <v>1226.3399999999999</v>
      </c>
      <c r="CQ137" s="2">
        <f t="shared" si="116"/>
        <v>24.41</v>
      </c>
      <c r="CR137" s="2">
        <f>(ROUND((ROUND(((ET137)*AV137*1),2)*BB137),2)+ROUND((ROUND(((AE137-(EU137))*AV137*1),2)*BS137),2))</f>
        <v>0</v>
      </c>
      <c r="CS137" s="2">
        <f>(ROUND((ROUND(((EU137)*AV137*1),2)*BS137),2)+ROUND((ROUND(((AE137-(EU137))*AV137*1),2)*BS137),2))</f>
        <v>0</v>
      </c>
      <c r="CT137" s="2">
        <f t="shared" si="117"/>
        <v>0</v>
      </c>
      <c r="CU137" s="2">
        <f t="shared" si="118"/>
        <v>0</v>
      </c>
      <c r="CV137" s="2">
        <f t="shared" si="119"/>
        <v>0</v>
      </c>
      <c r="CW137" s="2">
        <f t="shared" si="120"/>
        <v>0</v>
      </c>
      <c r="CX137" s="2">
        <f t="shared" si="121"/>
        <v>0</v>
      </c>
      <c r="CY137" s="2">
        <f>(ROUND((((S137+ROUND((ROUND(((EU137)*AV137*1),2)*BS137),2))*AT137)/100),2)+ROUND(((ROUND((ROUND(((AE137-(EU137))*AV137*1),2)*BS137),2)*AT137)/100),2))</f>
        <v>0</v>
      </c>
      <c r="CZ137" s="2">
        <f>(ROUND((((S137+ROUND((ROUND(((EU137)*AV137*1),2)*BS137),2))*AU137)/100),2)+ROUND(((ROUND((ROUND(((AE137-(EU137))*AV137*1),2)*BS137),2)*AU137)/100),2))</f>
        <v>0</v>
      </c>
      <c r="DC137" s="2" t="s">
        <v>3</v>
      </c>
      <c r="DD137" s="2" t="s">
        <v>3</v>
      </c>
      <c r="DE137" s="2" t="s">
        <v>3</v>
      </c>
      <c r="DF137" s="2" t="s">
        <v>3</v>
      </c>
      <c r="DG137" s="2" t="s">
        <v>3</v>
      </c>
      <c r="DH137" s="2" t="s">
        <v>3</v>
      </c>
      <c r="DI137" s="2" t="s">
        <v>3</v>
      </c>
      <c r="DJ137" s="2" t="s">
        <v>3</v>
      </c>
      <c r="DK137" s="2" t="s">
        <v>3</v>
      </c>
      <c r="DL137" s="2" t="s">
        <v>3</v>
      </c>
      <c r="DM137" s="2" t="s">
        <v>3</v>
      </c>
      <c r="DN137" s="2">
        <v>0</v>
      </c>
      <c r="DO137" s="2">
        <v>0</v>
      </c>
      <c r="DP137" s="2">
        <v>1</v>
      </c>
      <c r="DQ137" s="2">
        <v>1</v>
      </c>
      <c r="DU137" s="2">
        <v>1009</v>
      </c>
      <c r="DV137" s="2" t="s">
        <v>146</v>
      </c>
      <c r="DW137" s="2" t="s">
        <v>146</v>
      </c>
      <c r="DX137" s="2">
        <v>1</v>
      </c>
      <c r="DZ137" s="2" t="s">
        <v>3</v>
      </c>
      <c r="EA137" s="2" t="s">
        <v>3</v>
      </c>
      <c r="EB137" s="2" t="s">
        <v>3</v>
      </c>
      <c r="EC137" s="2" t="s">
        <v>3</v>
      </c>
      <c r="EE137" s="2">
        <v>55896072</v>
      </c>
      <c r="EF137" s="2">
        <v>30</v>
      </c>
      <c r="EG137" s="2" t="s">
        <v>49</v>
      </c>
      <c r="EH137" s="2">
        <v>0</v>
      </c>
      <c r="EI137" s="2" t="s">
        <v>3</v>
      </c>
      <c r="EJ137" s="2">
        <v>1</v>
      </c>
      <c r="EK137" s="2">
        <v>20</v>
      </c>
      <c r="EL137" s="2" t="s">
        <v>234</v>
      </c>
      <c r="EM137" s="2" t="s">
        <v>235</v>
      </c>
      <c r="EO137" s="2" t="s">
        <v>28</v>
      </c>
      <c r="EQ137" s="2">
        <v>0</v>
      </c>
      <c r="ER137" s="2">
        <v>5.94</v>
      </c>
      <c r="ES137" s="2">
        <v>5.94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FQ137" s="2">
        <v>0</v>
      </c>
      <c r="FR137" s="2">
        <v>0</v>
      </c>
      <c r="FS137" s="2">
        <v>0</v>
      </c>
      <c r="FX137" s="2">
        <v>90</v>
      </c>
      <c r="FY137" s="2">
        <v>42</v>
      </c>
      <c r="GA137" s="2" t="s">
        <v>3</v>
      </c>
      <c r="GD137" s="2">
        <v>1</v>
      </c>
      <c r="GF137" s="2">
        <v>1859139387</v>
      </c>
      <c r="GG137" s="2">
        <v>2</v>
      </c>
      <c r="GH137" s="2">
        <v>1</v>
      </c>
      <c r="GI137" s="2">
        <v>2</v>
      </c>
      <c r="GJ137" s="2">
        <v>0</v>
      </c>
      <c r="GK137" s="2">
        <v>0</v>
      </c>
      <c r="GL137" s="2">
        <f t="shared" si="122"/>
        <v>0</v>
      </c>
      <c r="GM137" s="2">
        <f t="shared" si="123"/>
        <v>1226.3399999999999</v>
      </c>
      <c r="GN137" s="2">
        <f t="shared" si="124"/>
        <v>1226.3399999999999</v>
      </c>
      <c r="GO137" s="2">
        <f t="shared" si="125"/>
        <v>0</v>
      </c>
      <c r="GP137" s="2">
        <f t="shared" si="126"/>
        <v>0</v>
      </c>
      <c r="GR137" s="2">
        <v>0</v>
      </c>
      <c r="GS137" s="2">
        <v>3</v>
      </c>
      <c r="GT137" s="2">
        <v>0</v>
      </c>
      <c r="GU137" s="2" t="s">
        <v>3</v>
      </c>
      <c r="GV137" s="2">
        <f t="shared" si="127"/>
        <v>0</v>
      </c>
      <c r="GW137" s="2">
        <v>1</v>
      </c>
      <c r="GX137" s="2">
        <f t="shared" si="128"/>
        <v>0</v>
      </c>
      <c r="HA137" s="2">
        <v>0</v>
      </c>
      <c r="HB137" s="2">
        <v>0</v>
      </c>
      <c r="HC137" s="2">
        <f t="shared" si="129"/>
        <v>0</v>
      </c>
      <c r="HE137" s="2" t="s">
        <v>3</v>
      </c>
      <c r="HF137" s="2" t="s">
        <v>3</v>
      </c>
      <c r="HM137" s="2" t="s">
        <v>24</v>
      </c>
      <c r="HN137" s="2" t="s">
        <v>3</v>
      </c>
      <c r="HO137" s="2" t="s">
        <v>3</v>
      </c>
      <c r="HP137" s="2" t="s">
        <v>3</v>
      </c>
      <c r="HQ137" s="2" t="s">
        <v>3</v>
      </c>
      <c r="HS137" s="2">
        <v>0</v>
      </c>
      <c r="IK137" s="2">
        <v>0</v>
      </c>
    </row>
    <row r="138" spans="1:245" x14ac:dyDescent="0.2">
      <c r="A138" s="2">
        <v>17</v>
      </c>
      <c r="B138" s="2">
        <v>1</v>
      </c>
      <c r="C138" s="2">
        <f>ROW(SmtRes!A107)</f>
        <v>107</v>
      </c>
      <c r="D138" s="2">
        <f>ROW(EtalonRes!A107)</f>
        <v>107</v>
      </c>
      <c r="E138" s="2" t="s">
        <v>245</v>
      </c>
      <c r="F138" s="2" t="s">
        <v>246</v>
      </c>
      <c r="G138" s="2" t="s">
        <v>247</v>
      </c>
      <c r="H138" s="2" t="s">
        <v>248</v>
      </c>
      <c r="I138" s="2">
        <f>ROUND(0.5/100,9)</f>
        <v>5.0000000000000001E-3</v>
      </c>
      <c r="J138" s="2">
        <v>0</v>
      </c>
      <c r="K138" s="2">
        <f>ROUND(0.5/100,9)</f>
        <v>5.0000000000000001E-3</v>
      </c>
      <c r="O138" s="2">
        <f t="shared" si="103"/>
        <v>249.48</v>
      </c>
      <c r="P138" s="2">
        <f t="shared" si="104"/>
        <v>0</v>
      </c>
      <c r="Q138" s="2">
        <f>(ROUND((ROUND((((ET138*1.15))*AV138*I138),2)*BB138),2)+ROUND((ROUND(((AE138-((EU138*1.15)))*AV138*I138),2)*BS138),2))</f>
        <v>0.17</v>
      </c>
      <c r="R138" s="2">
        <f>(ROUND((ROUND((((EU138*1.15))*AV138*I138),2)*BS138),2)+ROUND((ROUND(((AE138-((EU138*1.15)))*AV138*I138),2)*BS138),2))</f>
        <v>0</v>
      </c>
      <c r="S138" s="2">
        <f t="shared" si="105"/>
        <v>249.31</v>
      </c>
      <c r="T138" s="2">
        <f t="shared" si="106"/>
        <v>0</v>
      </c>
      <c r="U138" s="2">
        <f t="shared" si="107"/>
        <v>0.37144999999999995</v>
      </c>
      <c r="V138" s="2">
        <f t="shared" si="108"/>
        <v>0</v>
      </c>
      <c r="W138" s="2">
        <f t="shared" si="109"/>
        <v>0</v>
      </c>
      <c r="X138" s="2">
        <f>(ROUND((((S138+ROUND((ROUND((((EU138*1.15))*AV138*I138),2)*BS138),2))*AT138)/100),2)+ROUND(((ROUND((ROUND(((AE138-((EU138*1.15)))*AV138*I138),2)*BS138),2)*AT138)/100),2))</f>
        <v>224.38</v>
      </c>
      <c r="Y138" s="2">
        <f>(ROUND((((S138+ROUND((ROUND((((EU138*1.15))*AV138*I138),2)*BS138),2))*AU138)/100),2)+ROUND(((ROUND((ROUND(((AE138-((EU138*1.15)))*AV138*I138),2)*BS138),2)*AU138)/100),2))</f>
        <v>104.71</v>
      </c>
      <c r="AA138" s="2">
        <v>56793366</v>
      </c>
      <c r="AB138" s="2">
        <f t="shared" si="110"/>
        <v>876.99850000000004</v>
      </c>
      <c r="AC138" s="2">
        <f>ROUND(((ES138*1)),6)</f>
        <v>0.48</v>
      </c>
      <c r="AD138" s="2">
        <f>ROUND(((((ET138*1.15))-((EU138*1.15)))+AE138),6)</f>
        <v>2.8635000000000002</v>
      </c>
      <c r="AE138" s="2">
        <f>ROUND(((EU138*1.15)),6)</f>
        <v>0.437</v>
      </c>
      <c r="AF138" s="2">
        <f>ROUND(((EV138*1.15)),6)</f>
        <v>873.65499999999997</v>
      </c>
      <c r="AG138" s="2">
        <f t="shared" si="112"/>
        <v>0</v>
      </c>
      <c r="AH138" s="2">
        <f>((EW138*1.15))</f>
        <v>74.289999999999992</v>
      </c>
      <c r="AI138" s="2">
        <f>((EX138*1.15))</f>
        <v>0</v>
      </c>
      <c r="AJ138" s="2">
        <f t="shared" si="114"/>
        <v>0</v>
      </c>
      <c r="AK138" s="2">
        <v>762.67</v>
      </c>
      <c r="AL138" s="2">
        <v>0.48</v>
      </c>
      <c r="AM138" s="2">
        <v>2.4900000000000002</v>
      </c>
      <c r="AN138" s="2">
        <v>0.38</v>
      </c>
      <c r="AO138" s="2">
        <v>759.7</v>
      </c>
      <c r="AP138" s="2">
        <v>0</v>
      </c>
      <c r="AQ138" s="2">
        <v>64.599999999999994</v>
      </c>
      <c r="AR138" s="2">
        <v>0</v>
      </c>
      <c r="AS138" s="2">
        <v>0</v>
      </c>
      <c r="AT138" s="2">
        <v>90</v>
      </c>
      <c r="AU138" s="2">
        <v>42</v>
      </c>
      <c r="AV138" s="2">
        <v>1</v>
      </c>
      <c r="AW138" s="2">
        <v>1</v>
      </c>
      <c r="AZ138" s="2">
        <v>1</v>
      </c>
      <c r="BA138" s="2">
        <v>57.05</v>
      </c>
      <c r="BB138" s="2">
        <v>17.47</v>
      </c>
      <c r="BC138" s="2">
        <v>13.29</v>
      </c>
      <c r="BD138" s="2" t="s">
        <v>3</v>
      </c>
      <c r="BE138" s="2" t="s">
        <v>3</v>
      </c>
      <c r="BF138" s="2" t="s">
        <v>3</v>
      </c>
      <c r="BG138" s="2" t="s">
        <v>3</v>
      </c>
      <c r="BH138" s="2">
        <v>0</v>
      </c>
      <c r="BI138" s="2">
        <v>1</v>
      </c>
      <c r="BJ138" s="2" t="s">
        <v>249</v>
      </c>
      <c r="BM138" s="2">
        <v>20</v>
      </c>
      <c r="BN138" s="2">
        <v>0</v>
      </c>
      <c r="BO138" s="2" t="s">
        <v>246</v>
      </c>
      <c r="BP138" s="2">
        <v>1</v>
      </c>
      <c r="BQ138" s="2">
        <v>30</v>
      </c>
      <c r="BR138" s="2">
        <v>0</v>
      </c>
      <c r="BS138" s="2">
        <v>57.05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3</v>
      </c>
      <c r="BZ138" s="2">
        <v>90</v>
      </c>
      <c r="CA138" s="2">
        <v>42</v>
      </c>
      <c r="CB138" s="2" t="s">
        <v>3</v>
      </c>
      <c r="CE138" s="2">
        <v>1566</v>
      </c>
      <c r="CF138" s="2">
        <v>0</v>
      </c>
      <c r="CG138" s="2">
        <v>0</v>
      </c>
      <c r="CM138" s="2">
        <v>0</v>
      </c>
      <c r="CN138" s="2" t="s">
        <v>518</v>
      </c>
      <c r="CO138" s="2">
        <v>0</v>
      </c>
      <c r="CP138" s="2">
        <f t="shared" si="115"/>
        <v>249.48</v>
      </c>
      <c r="CQ138" s="2">
        <f t="shared" si="116"/>
        <v>6.38</v>
      </c>
      <c r="CR138" s="2">
        <f>(ROUND((ROUND((((ET138*1.15))*AV138*1),2)*BB138),2)+ROUND((ROUND(((AE138-((EU138*1.15)))*AV138*1),2)*BS138),2))</f>
        <v>49.96</v>
      </c>
      <c r="CS138" s="2">
        <f>(ROUND((ROUND((((EU138*1.15))*AV138*1),2)*BS138),2)+ROUND((ROUND(((AE138-((EU138*1.15)))*AV138*1),2)*BS138),2))</f>
        <v>25.1</v>
      </c>
      <c r="CT138" s="2">
        <f t="shared" si="117"/>
        <v>49842.3</v>
      </c>
      <c r="CU138" s="2">
        <f t="shared" si="118"/>
        <v>0</v>
      </c>
      <c r="CV138" s="2">
        <f t="shared" si="119"/>
        <v>74.289999999999992</v>
      </c>
      <c r="CW138" s="2">
        <f t="shared" si="120"/>
        <v>0</v>
      </c>
      <c r="CX138" s="2">
        <f t="shared" si="121"/>
        <v>0</v>
      </c>
      <c r="CY138" s="2">
        <f>(ROUND((((S138+ROUND((ROUND((((EU138*1.15))*AV138*1),2)*BS138),2))*AT138)/100),2)+ROUND(((ROUND((ROUND(((AE138-((EU138*1.15)))*AV138*1),2)*BS138),2)*AT138)/100),2))</f>
        <v>246.97</v>
      </c>
      <c r="CZ138" s="2">
        <f>(ROUND((((S138+ROUND((ROUND((((EU138*1.15))*AV138*1),2)*BS138),2))*AU138)/100),2)+ROUND(((ROUND((ROUND(((AE138-((EU138*1.15)))*AV138*1),2)*BS138),2)*AU138)/100),2))</f>
        <v>115.25</v>
      </c>
      <c r="DB138" s="2">
        <v>8</v>
      </c>
      <c r="DC138" s="2" t="s">
        <v>3</v>
      </c>
      <c r="DD138" s="2" t="s">
        <v>24</v>
      </c>
      <c r="DE138" s="2" t="s">
        <v>48</v>
      </c>
      <c r="DF138" s="2" t="s">
        <v>48</v>
      </c>
      <c r="DG138" s="2" t="s">
        <v>48</v>
      </c>
      <c r="DH138" s="2" t="s">
        <v>3</v>
      </c>
      <c r="DI138" s="2" t="s">
        <v>48</v>
      </c>
      <c r="DJ138" s="2" t="s">
        <v>48</v>
      </c>
      <c r="DK138" s="2" t="s">
        <v>3</v>
      </c>
      <c r="DL138" s="2" t="s">
        <v>3</v>
      </c>
      <c r="DM138" s="2" t="s">
        <v>3</v>
      </c>
      <c r="DN138" s="2">
        <v>0</v>
      </c>
      <c r="DO138" s="2">
        <v>0</v>
      </c>
      <c r="DP138" s="2">
        <v>1</v>
      </c>
      <c r="DQ138" s="2">
        <v>1</v>
      </c>
      <c r="DU138" s="2">
        <v>1005</v>
      </c>
      <c r="DV138" s="2" t="s">
        <v>248</v>
      </c>
      <c r="DW138" s="2" t="s">
        <v>248</v>
      </c>
      <c r="DX138" s="2">
        <v>100</v>
      </c>
      <c r="DZ138" s="2" t="s">
        <v>3</v>
      </c>
      <c r="EA138" s="2" t="s">
        <v>3</v>
      </c>
      <c r="EB138" s="2" t="s">
        <v>3</v>
      </c>
      <c r="EC138" s="2" t="s">
        <v>3</v>
      </c>
      <c r="EE138" s="2">
        <v>55896072</v>
      </c>
      <c r="EF138" s="2">
        <v>30</v>
      </c>
      <c r="EG138" s="2" t="s">
        <v>49</v>
      </c>
      <c r="EH138" s="2">
        <v>0</v>
      </c>
      <c r="EI138" s="2" t="s">
        <v>3</v>
      </c>
      <c r="EJ138" s="2">
        <v>1</v>
      </c>
      <c r="EK138" s="2">
        <v>20</v>
      </c>
      <c r="EL138" s="2" t="s">
        <v>234</v>
      </c>
      <c r="EM138" s="2" t="s">
        <v>235</v>
      </c>
      <c r="EO138" s="2" t="s">
        <v>28</v>
      </c>
      <c r="EQ138" s="2">
        <v>0</v>
      </c>
      <c r="ER138" s="2">
        <v>762.67</v>
      </c>
      <c r="ES138" s="2">
        <v>0.48</v>
      </c>
      <c r="ET138" s="2">
        <v>2.4900000000000002</v>
      </c>
      <c r="EU138" s="2">
        <v>0.38</v>
      </c>
      <c r="EV138" s="2">
        <v>759.7</v>
      </c>
      <c r="EW138" s="2">
        <v>64.599999999999994</v>
      </c>
      <c r="EX138" s="2">
        <v>0</v>
      </c>
      <c r="EY138" s="2">
        <v>0</v>
      </c>
      <c r="FQ138" s="2">
        <v>0</v>
      </c>
      <c r="FR138" s="2">
        <v>0</v>
      </c>
      <c r="FS138" s="2">
        <v>0</v>
      </c>
      <c r="FX138" s="2">
        <v>90</v>
      </c>
      <c r="FY138" s="2">
        <v>42</v>
      </c>
      <c r="GA138" s="2" t="s">
        <v>3</v>
      </c>
      <c r="GD138" s="2">
        <v>1</v>
      </c>
      <c r="GF138" s="2">
        <v>-1297861177</v>
      </c>
      <c r="GG138" s="2">
        <v>2</v>
      </c>
      <c r="GH138" s="2">
        <v>1</v>
      </c>
      <c r="GI138" s="2">
        <v>2</v>
      </c>
      <c r="GJ138" s="2">
        <v>0</v>
      </c>
      <c r="GK138" s="2">
        <v>0</v>
      </c>
      <c r="GL138" s="2">
        <f t="shared" si="122"/>
        <v>0</v>
      </c>
      <c r="GM138" s="2">
        <f t="shared" si="123"/>
        <v>578.57000000000005</v>
      </c>
      <c r="GN138" s="2">
        <f t="shared" si="124"/>
        <v>578.57000000000005</v>
      </c>
      <c r="GO138" s="2">
        <f t="shared" si="125"/>
        <v>0</v>
      </c>
      <c r="GP138" s="2">
        <f t="shared" si="126"/>
        <v>0</v>
      </c>
      <c r="GR138" s="2">
        <v>0</v>
      </c>
      <c r="GS138" s="2">
        <v>3</v>
      </c>
      <c r="GT138" s="2">
        <v>0</v>
      </c>
      <c r="GU138" s="2" t="s">
        <v>3</v>
      </c>
      <c r="GV138" s="2">
        <f t="shared" si="127"/>
        <v>0</v>
      </c>
      <c r="GW138" s="2">
        <v>1</v>
      </c>
      <c r="GX138" s="2">
        <f t="shared" si="128"/>
        <v>0</v>
      </c>
      <c r="HA138" s="2">
        <v>0</v>
      </c>
      <c r="HB138" s="2">
        <v>0</v>
      </c>
      <c r="HC138" s="2">
        <f t="shared" si="129"/>
        <v>0</v>
      </c>
      <c r="HE138" s="2" t="s">
        <v>3</v>
      </c>
      <c r="HF138" s="2" t="s">
        <v>3</v>
      </c>
      <c r="HM138" s="2" t="s">
        <v>3</v>
      </c>
      <c r="HN138" s="2" t="s">
        <v>3</v>
      </c>
      <c r="HO138" s="2" t="s">
        <v>3</v>
      </c>
      <c r="HP138" s="2" t="s">
        <v>3</v>
      </c>
      <c r="HQ138" s="2" t="s">
        <v>3</v>
      </c>
      <c r="HS138" s="2">
        <v>0</v>
      </c>
      <c r="IK138" s="2">
        <v>0</v>
      </c>
    </row>
    <row r="139" spans="1:245" x14ac:dyDescent="0.2">
      <c r="A139" s="2">
        <v>18</v>
      </c>
      <c r="B139" s="2">
        <v>1</v>
      </c>
      <c r="C139" s="2">
        <v>106</v>
      </c>
      <c r="E139" s="2" t="s">
        <v>250</v>
      </c>
      <c r="F139" s="2" t="s">
        <v>251</v>
      </c>
      <c r="G139" s="2" t="s">
        <v>252</v>
      </c>
      <c r="H139" s="2" t="s">
        <v>239</v>
      </c>
      <c r="I139" s="2">
        <f>I138*J139</f>
        <v>1.2300000000000001E-4</v>
      </c>
      <c r="J139" s="2">
        <v>2.46E-2</v>
      </c>
      <c r="K139" s="2">
        <v>2.46E-2</v>
      </c>
      <c r="O139" s="2">
        <f t="shared" si="103"/>
        <v>7.37</v>
      </c>
      <c r="P139" s="2">
        <f t="shared" si="104"/>
        <v>7.37</v>
      </c>
      <c r="Q139" s="2">
        <f>(ROUND((ROUND(((ET139)*AV139*I139),2)*BB139),2)+ROUND((ROUND(((AE139-(EU139))*AV139*I139),2)*BS139),2))</f>
        <v>0</v>
      </c>
      <c r="R139" s="2">
        <f>(ROUND((ROUND(((EU139)*AV139*I139),2)*BS139),2)+ROUND((ROUND(((AE139-(EU139))*AV139*I139),2)*BS139),2))</f>
        <v>0</v>
      </c>
      <c r="S139" s="2">
        <f t="shared" si="105"/>
        <v>0</v>
      </c>
      <c r="T139" s="2">
        <f t="shared" si="106"/>
        <v>0</v>
      </c>
      <c r="U139" s="2">
        <f t="shared" si="107"/>
        <v>0</v>
      </c>
      <c r="V139" s="2">
        <f t="shared" si="108"/>
        <v>0</v>
      </c>
      <c r="W139" s="2">
        <f t="shared" si="109"/>
        <v>0</v>
      </c>
      <c r="X139" s="2">
        <f>(ROUND((((S139+ROUND((ROUND(((EU139)*AV139*I139),2)*BS139),2))*AT139)/100),2)+ROUND(((ROUND((ROUND(((AE139-(EU139))*AV139*I139),2)*BS139),2)*AT139)/100),2))</f>
        <v>0</v>
      </c>
      <c r="Y139" s="2">
        <f>(ROUND((((S139+ROUND((ROUND(((EU139)*AV139*I139),2)*BS139),2))*AU139)/100),2)+ROUND(((ROUND((ROUND(((AE139-(EU139))*AV139*I139),2)*BS139),2)*AU139)/100),2))</f>
        <v>0</v>
      </c>
      <c r="AA139" s="2">
        <v>56793366</v>
      </c>
      <c r="AB139" s="2">
        <f t="shared" si="110"/>
        <v>15250.71</v>
      </c>
      <c r="AC139" s="2">
        <f>ROUND((ES139),6)</f>
        <v>15250.71</v>
      </c>
      <c r="AD139" s="2">
        <f>ROUND((((ET139)-(EU139))+AE139),6)</f>
        <v>0</v>
      </c>
      <c r="AE139" s="2">
        <f t="shared" ref="AE139:AF142" si="132">ROUND((EU139),6)</f>
        <v>0</v>
      </c>
      <c r="AF139" s="2">
        <f t="shared" si="132"/>
        <v>0</v>
      </c>
      <c r="AG139" s="2">
        <f t="shared" si="112"/>
        <v>0</v>
      </c>
      <c r="AH139" s="2">
        <f t="shared" ref="AH139:AI142" si="133">(EW139)</f>
        <v>0</v>
      </c>
      <c r="AI139" s="2">
        <f t="shared" si="133"/>
        <v>0</v>
      </c>
      <c r="AJ139" s="2">
        <f t="shared" si="114"/>
        <v>0</v>
      </c>
      <c r="AK139" s="2">
        <v>15250.71</v>
      </c>
      <c r="AL139" s="2">
        <v>15250.71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90</v>
      </c>
      <c r="AU139" s="2">
        <v>42</v>
      </c>
      <c r="AV139" s="2">
        <v>1</v>
      </c>
      <c r="AW139" s="2">
        <v>1</v>
      </c>
      <c r="AZ139" s="2">
        <v>1</v>
      </c>
      <c r="BA139" s="2">
        <v>1</v>
      </c>
      <c r="BB139" s="2">
        <v>1</v>
      </c>
      <c r="BC139" s="2">
        <v>3.92</v>
      </c>
      <c r="BD139" s="2" t="s">
        <v>3</v>
      </c>
      <c r="BE139" s="2" t="s">
        <v>3</v>
      </c>
      <c r="BF139" s="2" t="s">
        <v>3</v>
      </c>
      <c r="BG139" s="2" t="s">
        <v>3</v>
      </c>
      <c r="BH139" s="2">
        <v>3</v>
      </c>
      <c r="BI139" s="2">
        <v>1</v>
      </c>
      <c r="BJ139" s="2" t="s">
        <v>253</v>
      </c>
      <c r="BM139" s="2">
        <v>20</v>
      </c>
      <c r="BN139" s="2">
        <v>0</v>
      </c>
      <c r="BO139" s="2" t="s">
        <v>251</v>
      </c>
      <c r="BP139" s="2">
        <v>1</v>
      </c>
      <c r="BQ139" s="2">
        <v>30</v>
      </c>
      <c r="BR139" s="2">
        <v>0</v>
      </c>
      <c r="BS139" s="2">
        <v>1</v>
      </c>
      <c r="BT139" s="2">
        <v>1</v>
      </c>
      <c r="BU139" s="2">
        <v>1</v>
      </c>
      <c r="BV139" s="2">
        <v>1</v>
      </c>
      <c r="BW139" s="2">
        <v>1</v>
      </c>
      <c r="BX139" s="2">
        <v>1</v>
      </c>
      <c r="BY139" s="2" t="s">
        <v>3</v>
      </c>
      <c r="BZ139" s="2">
        <v>90</v>
      </c>
      <c r="CA139" s="2">
        <v>42</v>
      </c>
      <c r="CB139" s="2" t="s">
        <v>3</v>
      </c>
      <c r="CE139" s="2">
        <v>1566</v>
      </c>
      <c r="CF139" s="2">
        <v>0</v>
      </c>
      <c r="CG139" s="2">
        <v>0</v>
      </c>
      <c r="CM139" s="2">
        <v>0</v>
      </c>
      <c r="CN139" s="2" t="s">
        <v>520</v>
      </c>
      <c r="CO139" s="2">
        <v>0</v>
      </c>
      <c r="CP139" s="2">
        <f t="shared" si="115"/>
        <v>7.37</v>
      </c>
      <c r="CQ139" s="2">
        <f t="shared" si="116"/>
        <v>59782.78</v>
      </c>
      <c r="CR139" s="2">
        <f>(ROUND((ROUND(((ET139)*AV139*1),2)*BB139),2)+ROUND((ROUND(((AE139-(EU139))*AV139*1),2)*BS139),2))</f>
        <v>0</v>
      </c>
      <c r="CS139" s="2">
        <f>(ROUND((ROUND(((EU139)*AV139*1),2)*BS139),2)+ROUND((ROUND(((AE139-(EU139))*AV139*1),2)*BS139),2))</f>
        <v>0</v>
      </c>
      <c r="CT139" s="2">
        <f t="shared" si="117"/>
        <v>0</v>
      </c>
      <c r="CU139" s="2">
        <f t="shared" si="118"/>
        <v>0</v>
      </c>
      <c r="CV139" s="2">
        <f t="shared" si="119"/>
        <v>0</v>
      </c>
      <c r="CW139" s="2">
        <f t="shared" si="120"/>
        <v>0</v>
      </c>
      <c r="CX139" s="2">
        <f t="shared" si="121"/>
        <v>0</v>
      </c>
      <c r="CY139" s="2">
        <f>(ROUND((((S139+ROUND((ROUND(((EU139)*AV139*1),2)*BS139),2))*AT139)/100),2)+ROUND(((ROUND((ROUND(((AE139-(EU139))*AV139*1),2)*BS139),2)*AT139)/100),2))</f>
        <v>0</v>
      </c>
      <c r="CZ139" s="2">
        <f>(ROUND((((S139+ROUND((ROUND(((EU139)*AV139*1),2)*BS139),2))*AU139)/100),2)+ROUND(((ROUND((ROUND(((AE139-(EU139))*AV139*1),2)*BS139),2)*AU139)/100),2))</f>
        <v>0</v>
      </c>
      <c r="DC139" s="2" t="s">
        <v>3</v>
      </c>
      <c r="DD139" s="2" t="s">
        <v>3</v>
      </c>
      <c r="DE139" s="2" t="s">
        <v>3</v>
      </c>
      <c r="DF139" s="2" t="s">
        <v>3</v>
      </c>
      <c r="DG139" s="2" t="s">
        <v>3</v>
      </c>
      <c r="DH139" s="2" t="s">
        <v>3</v>
      </c>
      <c r="DI139" s="2" t="s">
        <v>3</v>
      </c>
      <c r="DJ139" s="2" t="s">
        <v>3</v>
      </c>
      <c r="DK139" s="2" t="s">
        <v>3</v>
      </c>
      <c r="DL139" s="2" t="s">
        <v>3</v>
      </c>
      <c r="DM139" s="2" t="s">
        <v>3</v>
      </c>
      <c r="DN139" s="2">
        <v>0</v>
      </c>
      <c r="DO139" s="2">
        <v>0</v>
      </c>
      <c r="DP139" s="2">
        <v>1</v>
      </c>
      <c r="DQ139" s="2">
        <v>1</v>
      </c>
      <c r="DU139" s="2">
        <v>1009</v>
      </c>
      <c r="DV139" s="2" t="s">
        <v>239</v>
      </c>
      <c r="DW139" s="2" t="s">
        <v>239</v>
      </c>
      <c r="DX139" s="2">
        <v>1000</v>
      </c>
      <c r="DZ139" s="2" t="s">
        <v>3</v>
      </c>
      <c r="EA139" s="2" t="s">
        <v>3</v>
      </c>
      <c r="EB139" s="2" t="s">
        <v>3</v>
      </c>
      <c r="EC139" s="2" t="s">
        <v>3</v>
      </c>
      <c r="EE139" s="2">
        <v>55896072</v>
      </c>
      <c r="EF139" s="2">
        <v>30</v>
      </c>
      <c r="EG139" s="2" t="s">
        <v>49</v>
      </c>
      <c r="EH139" s="2">
        <v>0</v>
      </c>
      <c r="EI139" s="2" t="s">
        <v>3</v>
      </c>
      <c r="EJ139" s="2">
        <v>1</v>
      </c>
      <c r="EK139" s="2">
        <v>20</v>
      </c>
      <c r="EL139" s="2" t="s">
        <v>234</v>
      </c>
      <c r="EM139" s="2" t="s">
        <v>235</v>
      </c>
      <c r="EO139" s="2" t="s">
        <v>28</v>
      </c>
      <c r="EQ139" s="2">
        <v>0</v>
      </c>
      <c r="ER139" s="2">
        <v>15250.71</v>
      </c>
      <c r="ES139" s="2">
        <v>15250.71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FQ139" s="2">
        <v>0</v>
      </c>
      <c r="FR139" s="2">
        <v>0</v>
      </c>
      <c r="FS139" s="2">
        <v>0</v>
      </c>
      <c r="FX139" s="2">
        <v>90</v>
      </c>
      <c r="FY139" s="2">
        <v>42</v>
      </c>
      <c r="GA139" s="2" t="s">
        <v>3</v>
      </c>
      <c r="GD139" s="2">
        <v>1</v>
      </c>
      <c r="GF139" s="2">
        <v>512212386</v>
      </c>
      <c r="GG139" s="2">
        <v>2</v>
      </c>
      <c r="GH139" s="2">
        <v>1</v>
      </c>
      <c r="GI139" s="2">
        <v>2</v>
      </c>
      <c r="GJ139" s="2">
        <v>0</v>
      </c>
      <c r="GK139" s="2">
        <v>0</v>
      </c>
      <c r="GL139" s="2">
        <f t="shared" si="122"/>
        <v>0</v>
      </c>
      <c r="GM139" s="2">
        <f t="shared" si="123"/>
        <v>7.37</v>
      </c>
      <c r="GN139" s="2">
        <f t="shared" si="124"/>
        <v>7.37</v>
      </c>
      <c r="GO139" s="2">
        <f t="shared" si="125"/>
        <v>0</v>
      </c>
      <c r="GP139" s="2">
        <f t="shared" si="126"/>
        <v>0</v>
      </c>
      <c r="GR139" s="2">
        <v>0</v>
      </c>
      <c r="GS139" s="2">
        <v>3</v>
      </c>
      <c r="GT139" s="2">
        <v>0</v>
      </c>
      <c r="GU139" s="2" t="s">
        <v>3</v>
      </c>
      <c r="GV139" s="2">
        <f t="shared" si="127"/>
        <v>0</v>
      </c>
      <c r="GW139" s="2">
        <v>1</v>
      </c>
      <c r="GX139" s="2">
        <f t="shared" si="128"/>
        <v>0</v>
      </c>
      <c r="HA139" s="2">
        <v>0</v>
      </c>
      <c r="HB139" s="2">
        <v>0</v>
      </c>
      <c r="HC139" s="2">
        <f t="shared" si="129"/>
        <v>0</v>
      </c>
      <c r="HE139" s="2" t="s">
        <v>3</v>
      </c>
      <c r="HF139" s="2" t="s">
        <v>3</v>
      </c>
      <c r="HM139" s="2" t="s">
        <v>24</v>
      </c>
      <c r="HN139" s="2" t="s">
        <v>3</v>
      </c>
      <c r="HO139" s="2" t="s">
        <v>3</v>
      </c>
      <c r="HP139" s="2" t="s">
        <v>3</v>
      </c>
      <c r="HQ139" s="2" t="s">
        <v>3</v>
      </c>
      <c r="HS139" s="2">
        <v>0</v>
      </c>
      <c r="IK139" s="2">
        <v>0</v>
      </c>
    </row>
    <row r="140" spans="1:245" x14ac:dyDescent="0.2">
      <c r="A140" s="2">
        <v>18</v>
      </c>
      <c r="B140" s="2">
        <v>1</v>
      </c>
      <c r="C140" s="2">
        <v>107</v>
      </c>
      <c r="E140" s="2" t="s">
        <v>254</v>
      </c>
      <c r="F140" s="2" t="s">
        <v>255</v>
      </c>
      <c r="G140" s="2" t="s">
        <v>256</v>
      </c>
      <c r="H140" s="2" t="s">
        <v>146</v>
      </c>
      <c r="I140" s="2">
        <f>I138*J140</f>
        <v>1.3499999999999998E-2</v>
      </c>
      <c r="J140" s="2">
        <v>2.6999999999999997</v>
      </c>
      <c r="K140" s="2">
        <v>2.7</v>
      </c>
      <c r="O140" s="2">
        <f t="shared" si="103"/>
        <v>1.1499999999999999</v>
      </c>
      <c r="P140" s="2">
        <f t="shared" si="104"/>
        <v>1.1499999999999999</v>
      </c>
      <c r="Q140" s="2">
        <f>(ROUND((ROUND(((ET140)*AV140*I140),2)*BB140),2)+ROUND((ROUND(((AE140-(EU140))*AV140*I140),2)*BS140),2))</f>
        <v>0</v>
      </c>
      <c r="R140" s="2">
        <f>(ROUND((ROUND(((EU140)*AV140*I140),2)*BS140),2)+ROUND((ROUND(((AE140-(EU140))*AV140*I140),2)*BS140),2))</f>
        <v>0</v>
      </c>
      <c r="S140" s="2">
        <f t="shared" si="105"/>
        <v>0</v>
      </c>
      <c r="T140" s="2">
        <f t="shared" si="106"/>
        <v>0</v>
      </c>
      <c r="U140" s="2">
        <f t="shared" si="107"/>
        <v>0</v>
      </c>
      <c r="V140" s="2">
        <f t="shared" si="108"/>
        <v>0</v>
      </c>
      <c r="W140" s="2">
        <f t="shared" si="109"/>
        <v>0</v>
      </c>
      <c r="X140" s="2">
        <f>(ROUND((((S140+ROUND((ROUND(((EU140)*AV140*I140),2)*BS140),2))*AT140)/100),2)+ROUND(((ROUND((ROUND(((AE140-(EU140))*AV140*I140),2)*BS140),2)*AT140)/100),2))</f>
        <v>0</v>
      </c>
      <c r="Y140" s="2">
        <f>(ROUND((((S140+ROUND((ROUND(((EU140)*AV140*I140),2)*BS140),2))*AU140)/100),2)+ROUND(((ROUND((ROUND(((AE140-(EU140))*AV140*I140),2)*BS140),2)*AU140)/100),2))</f>
        <v>0</v>
      </c>
      <c r="AA140" s="2">
        <v>56793366</v>
      </c>
      <c r="AB140" s="2">
        <f t="shared" si="110"/>
        <v>20.190000000000001</v>
      </c>
      <c r="AC140" s="2">
        <f>ROUND((ES140),6)</f>
        <v>20.190000000000001</v>
      </c>
      <c r="AD140" s="2">
        <f>ROUND((((ET140)-(EU140))+AE140),6)</f>
        <v>0</v>
      </c>
      <c r="AE140" s="2">
        <f t="shared" si="132"/>
        <v>0</v>
      </c>
      <c r="AF140" s="2">
        <f t="shared" si="132"/>
        <v>0</v>
      </c>
      <c r="AG140" s="2">
        <f t="shared" si="112"/>
        <v>0</v>
      </c>
      <c r="AH140" s="2">
        <f t="shared" si="133"/>
        <v>0</v>
      </c>
      <c r="AI140" s="2">
        <f t="shared" si="133"/>
        <v>0</v>
      </c>
      <c r="AJ140" s="2">
        <f t="shared" si="114"/>
        <v>0</v>
      </c>
      <c r="AK140" s="2">
        <v>20.190000000000001</v>
      </c>
      <c r="AL140" s="2">
        <v>20.190000000000001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90</v>
      </c>
      <c r="AU140" s="2">
        <v>42</v>
      </c>
      <c r="AV140" s="2">
        <v>1</v>
      </c>
      <c r="AW140" s="2">
        <v>1</v>
      </c>
      <c r="AZ140" s="2">
        <v>1</v>
      </c>
      <c r="BA140" s="2">
        <v>1</v>
      </c>
      <c r="BB140" s="2">
        <v>1</v>
      </c>
      <c r="BC140" s="2">
        <v>4.25</v>
      </c>
      <c r="BD140" s="2" t="s">
        <v>3</v>
      </c>
      <c r="BE140" s="2" t="s">
        <v>3</v>
      </c>
      <c r="BF140" s="2" t="s">
        <v>3</v>
      </c>
      <c r="BG140" s="2" t="s">
        <v>3</v>
      </c>
      <c r="BH140" s="2">
        <v>3</v>
      </c>
      <c r="BI140" s="2">
        <v>1</v>
      </c>
      <c r="BJ140" s="2" t="s">
        <v>257</v>
      </c>
      <c r="BM140" s="2">
        <v>20</v>
      </c>
      <c r="BN140" s="2">
        <v>0</v>
      </c>
      <c r="BO140" s="2" t="s">
        <v>255</v>
      </c>
      <c r="BP140" s="2">
        <v>1</v>
      </c>
      <c r="BQ140" s="2">
        <v>30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3</v>
      </c>
      <c r="BZ140" s="2">
        <v>90</v>
      </c>
      <c r="CA140" s="2">
        <v>42</v>
      </c>
      <c r="CB140" s="2" t="s">
        <v>3</v>
      </c>
      <c r="CE140" s="2">
        <v>1566</v>
      </c>
      <c r="CF140" s="2">
        <v>0</v>
      </c>
      <c r="CG140" s="2">
        <v>0</v>
      </c>
      <c r="CM140" s="2">
        <v>0</v>
      </c>
      <c r="CN140" s="2" t="s">
        <v>520</v>
      </c>
      <c r="CO140" s="2">
        <v>0</v>
      </c>
      <c r="CP140" s="2">
        <f t="shared" si="115"/>
        <v>1.1499999999999999</v>
      </c>
      <c r="CQ140" s="2">
        <f t="shared" si="116"/>
        <v>85.81</v>
      </c>
      <c r="CR140" s="2">
        <f>(ROUND((ROUND(((ET140)*AV140*1),2)*BB140),2)+ROUND((ROUND(((AE140-(EU140))*AV140*1),2)*BS140),2))</f>
        <v>0</v>
      </c>
      <c r="CS140" s="2">
        <f>(ROUND((ROUND(((EU140)*AV140*1),2)*BS140),2)+ROUND((ROUND(((AE140-(EU140))*AV140*1),2)*BS140),2))</f>
        <v>0</v>
      </c>
      <c r="CT140" s="2">
        <f t="shared" si="117"/>
        <v>0</v>
      </c>
      <c r="CU140" s="2">
        <f t="shared" si="118"/>
        <v>0</v>
      </c>
      <c r="CV140" s="2">
        <f t="shared" si="119"/>
        <v>0</v>
      </c>
      <c r="CW140" s="2">
        <f t="shared" si="120"/>
        <v>0</v>
      </c>
      <c r="CX140" s="2">
        <f t="shared" si="121"/>
        <v>0</v>
      </c>
      <c r="CY140" s="2">
        <f>(ROUND((((S140+ROUND((ROUND(((EU140)*AV140*1),2)*BS140),2))*AT140)/100),2)+ROUND(((ROUND((ROUND(((AE140-(EU140))*AV140*1),2)*BS140),2)*AT140)/100),2))</f>
        <v>0</v>
      </c>
      <c r="CZ140" s="2">
        <f>(ROUND((((S140+ROUND((ROUND(((EU140)*AV140*1),2)*BS140),2))*AU140)/100),2)+ROUND(((ROUND((ROUND(((AE140-(EU140))*AV140*1),2)*BS140),2)*AU140)/100),2))</f>
        <v>0</v>
      </c>
      <c r="DC140" s="2" t="s">
        <v>3</v>
      </c>
      <c r="DD140" s="2" t="s">
        <v>3</v>
      </c>
      <c r="DE140" s="2" t="s">
        <v>3</v>
      </c>
      <c r="DF140" s="2" t="s">
        <v>3</v>
      </c>
      <c r="DG140" s="2" t="s">
        <v>3</v>
      </c>
      <c r="DH140" s="2" t="s">
        <v>3</v>
      </c>
      <c r="DI140" s="2" t="s">
        <v>3</v>
      </c>
      <c r="DJ140" s="2" t="s">
        <v>3</v>
      </c>
      <c r="DK140" s="2" t="s">
        <v>3</v>
      </c>
      <c r="DL140" s="2" t="s">
        <v>3</v>
      </c>
      <c r="DM140" s="2" t="s">
        <v>3</v>
      </c>
      <c r="DN140" s="2">
        <v>0</v>
      </c>
      <c r="DO140" s="2">
        <v>0</v>
      </c>
      <c r="DP140" s="2">
        <v>1</v>
      </c>
      <c r="DQ140" s="2">
        <v>1</v>
      </c>
      <c r="DU140" s="2">
        <v>1009</v>
      </c>
      <c r="DV140" s="2" t="s">
        <v>146</v>
      </c>
      <c r="DW140" s="2" t="s">
        <v>146</v>
      </c>
      <c r="DX140" s="2">
        <v>1</v>
      </c>
      <c r="DZ140" s="2" t="s">
        <v>3</v>
      </c>
      <c r="EA140" s="2" t="s">
        <v>3</v>
      </c>
      <c r="EB140" s="2" t="s">
        <v>3</v>
      </c>
      <c r="EC140" s="2" t="s">
        <v>3</v>
      </c>
      <c r="EE140" s="2">
        <v>55896072</v>
      </c>
      <c r="EF140" s="2">
        <v>30</v>
      </c>
      <c r="EG140" s="2" t="s">
        <v>49</v>
      </c>
      <c r="EH140" s="2">
        <v>0</v>
      </c>
      <c r="EI140" s="2" t="s">
        <v>3</v>
      </c>
      <c r="EJ140" s="2">
        <v>1</v>
      </c>
      <c r="EK140" s="2">
        <v>20</v>
      </c>
      <c r="EL140" s="2" t="s">
        <v>234</v>
      </c>
      <c r="EM140" s="2" t="s">
        <v>235</v>
      </c>
      <c r="EO140" s="2" t="s">
        <v>28</v>
      </c>
      <c r="EQ140" s="2">
        <v>0</v>
      </c>
      <c r="ER140" s="2">
        <v>20.190000000000001</v>
      </c>
      <c r="ES140" s="2">
        <v>20.190000000000001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FQ140" s="2">
        <v>0</v>
      </c>
      <c r="FR140" s="2">
        <v>0</v>
      </c>
      <c r="FS140" s="2">
        <v>0</v>
      </c>
      <c r="FX140" s="2">
        <v>90</v>
      </c>
      <c r="FY140" s="2">
        <v>42</v>
      </c>
      <c r="GA140" s="2" t="s">
        <v>3</v>
      </c>
      <c r="GD140" s="2">
        <v>1</v>
      </c>
      <c r="GF140" s="2">
        <v>488689173</v>
      </c>
      <c r="GG140" s="2">
        <v>2</v>
      </c>
      <c r="GH140" s="2">
        <v>1</v>
      </c>
      <c r="GI140" s="2">
        <v>2</v>
      </c>
      <c r="GJ140" s="2">
        <v>0</v>
      </c>
      <c r="GK140" s="2">
        <v>0</v>
      </c>
      <c r="GL140" s="2">
        <f t="shared" si="122"/>
        <v>0</v>
      </c>
      <c r="GM140" s="2">
        <f t="shared" si="123"/>
        <v>1.1499999999999999</v>
      </c>
      <c r="GN140" s="2">
        <f t="shared" si="124"/>
        <v>1.1499999999999999</v>
      </c>
      <c r="GO140" s="2">
        <f t="shared" si="125"/>
        <v>0</v>
      </c>
      <c r="GP140" s="2">
        <f t="shared" si="126"/>
        <v>0</v>
      </c>
      <c r="GR140" s="2">
        <v>0</v>
      </c>
      <c r="GS140" s="2">
        <v>3</v>
      </c>
      <c r="GT140" s="2">
        <v>0</v>
      </c>
      <c r="GU140" s="2" t="s">
        <v>3</v>
      </c>
      <c r="GV140" s="2">
        <f t="shared" si="127"/>
        <v>0</v>
      </c>
      <c r="GW140" s="2">
        <v>1</v>
      </c>
      <c r="GX140" s="2">
        <f t="shared" si="128"/>
        <v>0</v>
      </c>
      <c r="HA140" s="2">
        <v>0</v>
      </c>
      <c r="HB140" s="2">
        <v>0</v>
      </c>
      <c r="HC140" s="2">
        <f t="shared" si="129"/>
        <v>0</v>
      </c>
      <c r="HE140" s="2" t="s">
        <v>3</v>
      </c>
      <c r="HF140" s="2" t="s">
        <v>3</v>
      </c>
      <c r="HM140" s="2" t="s">
        <v>24</v>
      </c>
      <c r="HN140" s="2" t="s">
        <v>3</v>
      </c>
      <c r="HO140" s="2" t="s">
        <v>3</v>
      </c>
      <c r="HP140" s="2" t="s">
        <v>3</v>
      </c>
      <c r="HQ140" s="2" t="s">
        <v>3</v>
      </c>
      <c r="HS140" s="2">
        <v>0</v>
      </c>
      <c r="IK140" s="2">
        <v>0</v>
      </c>
    </row>
    <row r="141" spans="1:245" x14ac:dyDescent="0.2">
      <c r="A141" s="2">
        <v>17</v>
      </c>
      <c r="B141" s="2">
        <v>1</v>
      </c>
      <c r="C141" s="2">
        <f>ROW(SmtRes!A110)</f>
        <v>110</v>
      </c>
      <c r="D141" s="2">
        <f>ROW(EtalonRes!A110)</f>
        <v>110</v>
      </c>
      <c r="E141" s="2" t="s">
        <v>258</v>
      </c>
      <c r="F141" s="2" t="s">
        <v>259</v>
      </c>
      <c r="G141" s="2" t="s">
        <v>260</v>
      </c>
      <c r="H141" s="2" t="s">
        <v>22</v>
      </c>
      <c r="I141" s="2">
        <f>ROUND(1/100,9)</f>
        <v>0.01</v>
      </c>
      <c r="J141" s="2">
        <v>0</v>
      </c>
      <c r="K141" s="2">
        <f>ROUND(1/100,9)</f>
        <v>0.01</v>
      </c>
      <c r="O141" s="2">
        <f t="shared" si="103"/>
        <v>298.04000000000002</v>
      </c>
      <c r="P141" s="2">
        <f t="shared" si="104"/>
        <v>3.66</v>
      </c>
      <c r="Q141" s="2">
        <f>(ROUND((ROUND(((ET141)*AV141*I141),2)*BB141),2)+ROUND((ROUND(((AE141-(EU141))*AV141*I141),2)*BS141),2))</f>
        <v>0</v>
      </c>
      <c r="R141" s="2">
        <f>(ROUND((ROUND(((EU141)*AV141*I141),2)*BS141),2)+ROUND((ROUND(((AE141-(EU141))*AV141*I141),2)*BS141),2))</f>
        <v>0</v>
      </c>
      <c r="S141" s="2">
        <f t="shared" si="105"/>
        <v>294.38</v>
      </c>
      <c r="T141" s="2">
        <f t="shared" si="106"/>
        <v>0</v>
      </c>
      <c r="U141" s="2">
        <f t="shared" si="107"/>
        <v>0.46189999999999998</v>
      </c>
      <c r="V141" s="2">
        <f t="shared" si="108"/>
        <v>0</v>
      </c>
      <c r="W141" s="2">
        <f t="shared" si="109"/>
        <v>0</v>
      </c>
      <c r="X141" s="2">
        <f>(ROUND((((S141+ROUND((ROUND(((EU141)*AV141*I141),2)*BS141),2))*AT141)/100),2)+ROUND(((ROUND((ROUND(((AE141-(EU141))*AV141*I141),2)*BS141),2)*AT141)/100),2))</f>
        <v>303.20999999999998</v>
      </c>
      <c r="Y141" s="2">
        <f>(ROUND((((S141+ROUND((ROUND(((EU141)*AV141*I141),2)*BS141),2))*AU141)/100),2)+ROUND(((ROUND((ROUND(((AE141-(EU141))*AV141*I141),2)*BS141),2)*AU141)/100),2))</f>
        <v>153.08000000000001</v>
      </c>
      <c r="AA141" s="2">
        <v>56793366</v>
      </c>
      <c r="AB141" s="2">
        <f t="shared" si="110"/>
        <v>577.38</v>
      </c>
      <c r="AC141" s="2">
        <f>ROUND(((ES141*1)),6)</f>
        <v>60.98</v>
      </c>
      <c r="AD141" s="2">
        <f>ROUND((((ET141)-(EU141))+AE141),6)</f>
        <v>0</v>
      </c>
      <c r="AE141" s="2">
        <f t="shared" si="132"/>
        <v>0</v>
      </c>
      <c r="AF141" s="2">
        <f t="shared" si="132"/>
        <v>516.4</v>
      </c>
      <c r="AG141" s="2">
        <f t="shared" si="112"/>
        <v>0</v>
      </c>
      <c r="AH141" s="2">
        <f t="shared" si="133"/>
        <v>46.19</v>
      </c>
      <c r="AI141" s="2">
        <f t="shared" si="133"/>
        <v>0</v>
      </c>
      <c r="AJ141" s="2">
        <f t="shared" si="114"/>
        <v>0</v>
      </c>
      <c r="AK141" s="2">
        <v>577.38</v>
      </c>
      <c r="AL141" s="2">
        <v>60.98</v>
      </c>
      <c r="AM141" s="2">
        <v>0</v>
      </c>
      <c r="AN141" s="2">
        <v>0</v>
      </c>
      <c r="AO141" s="2">
        <v>516.4</v>
      </c>
      <c r="AP141" s="2">
        <v>0</v>
      </c>
      <c r="AQ141" s="2">
        <v>46.19</v>
      </c>
      <c r="AR141" s="2">
        <v>0</v>
      </c>
      <c r="AS141" s="2">
        <v>0</v>
      </c>
      <c r="AT141" s="2">
        <v>103</v>
      </c>
      <c r="AU141" s="2">
        <v>52</v>
      </c>
      <c r="AV141" s="2">
        <v>1</v>
      </c>
      <c r="AW141" s="2">
        <v>1</v>
      </c>
      <c r="AZ141" s="2">
        <v>1</v>
      </c>
      <c r="BA141" s="2">
        <v>57.05</v>
      </c>
      <c r="BB141" s="2">
        <v>1</v>
      </c>
      <c r="BC141" s="2">
        <v>6</v>
      </c>
      <c r="BD141" s="2" t="s">
        <v>3</v>
      </c>
      <c r="BE141" s="2" t="s">
        <v>3</v>
      </c>
      <c r="BF141" s="2" t="s">
        <v>3</v>
      </c>
      <c r="BG141" s="2" t="s">
        <v>3</v>
      </c>
      <c r="BH141" s="2">
        <v>0</v>
      </c>
      <c r="BI141" s="2">
        <v>1</v>
      </c>
      <c r="BJ141" s="2" t="s">
        <v>261</v>
      </c>
      <c r="BM141" s="2">
        <v>103</v>
      </c>
      <c r="BN141" s="2">
        <v>0</v>
      </c>
      <c r="BO141" s="2" t="s">
        <v>259</v>
      </c>
      <c r="BP141" s="2">
        <v>1</v>
      </c>
      <c r="BQ141" s="2">
        <v>60</v>
      </c>
      <c r="BR141" s="2">
        <v>0</v>
      </c>
      <c r="BS141" s="2">
        <v>57.05</v>
      </c>
      <c r="BT141" s="2">
        <v>1</v>
      </c>
      <c r="BU141" s="2">
        <v>1</v>
      </c>
      <c r="BV141" s="2">
        <v>1</v>
      </c>
      <c r="BW141" s="2">
        <v>1</v>
      </c>
      <c r="BX141" s="2">
        <v>1</v>
      </c>
      <c r="BY141" s="2" t="s">
        <v>3</v>
      </c>
      <c r="BZ141" s="2">
        <v>103</v>
      </c>
      <c r="CA141" s="2">
        <v>52</v>
      </c>
      <c r="CB141" s="2" t="s">
        <v>3</v>
      </c>
      <c r="CE141" s="2">
        <v>1566</v>
      </c>
      <c r="CF141" s="2">
        <v>0</v>
      </c>
      <c r="CG141" s="2">
        <v>0</v>
      </c>
      <c r="CM141" s="2">
        <v>0</v>
      </c>
      <c r="CN141" s="2" t="s">
        <v>518</v>
      </c>
      <c r="CO141" s="2">
        <v>0</v>
      </c>
      <c r="CP141" s="2">
        <f t="shared" si="115"/>
        <v>298.04000000000002</v>
      </c>
      <c r="CQ141" s="2">
        <f t="shared" si="116"/>
        <v>365.88</v>
      </c>
      <c r="CR141" s="2">
        <f>(ROUND((ROUND(((ET141)*AV141*1),2)*BB141),2)+ROUND((ROUND(((AE141-(EU141))*AV141*1),2)*BS141),2))</f>
        <v>0</v>
      </c>
      <c r="CS141" s="2">
        <f>(ROUND((ROUND(((EU141)*AV141*1),2)*BS141),2)+ROUND((ROUND(((AE141-(EU141))*AV141*1),2)*BS141),2))</f>
        <v>0</v>
      </c>
      <c r="CT141" s="2">
        <f t="shared" si="117"/>
        <v>29460.62</v>
      </c>
      <c r="CU141" s="2">
        <f t="shared" si="118"/>
        <v>0</v>
      </c>
      <c r="CV141" s="2">
        <f t="shared" si="119"/>
        <v>46.19</v>
      </c>
      <c r="CW141" s="2">
        <f t="shared" si="120"/>
        <v>0</v>
      </c>
      <c r="CX141" s="2">
        <f t="shared" si="121"/>
        <v>0</v>
      </c>
      <c r="CY141" s="2">
        <f>(ROUND((((S141+ROUND((ROUND(((EU141)*AV141*1),2)*BS141),2))*AT141)/100),2)+ROUND(((ROUND((ROUND(((AE141-(EU141))*AV141*1),2)*BS141),2)*AT141)/100),2))</f>
        <v>303.20999999999998</v>
      </c>
      <c r="CZ141" s="2">
        <f>(ROUND((((S141+ROUND((ROUND(((EU141)*AV141*1),2)*BS141),2))*AU141)/100),2)+ROUND(((ROUND((ROUND(((AE141-(EU141))*AV141*1),2)*BS141),2)*AU141)/100),2))</f>
        <v>153.08000000000001</v>
      </c>
      <c r="DC141" s="2" t="s">
        <v>3</v>
      </c>
      <c r="DD141" s="2" t="s">
        <v>24</v>
      </c>
      <c r="DE141" s="2" t="s">
        <v>3</v>
      </c>
      <c r="DF141" s="2" t="s">
        <v>3</v>
      </c>
      <c r="DG141" s="2" t="s">
        <v>3</v>
      </c>
      <c r="DH141" s="2" t="s">
        <v>3</v>
      </c>
      <c r="DI141" s="2" t="s">
        <v>3</v>
      </c>
      <c r="DJ141" s="2" t="s">
        <v>3</v>
      </c>
      <c r="DK141" s="2" t="s">
        <v>3</v>
      </c>
      <c r="DL141" s="2" t="s">
        <v>3</v>
      </c>
      <c r="DM141" s="2" t="s">
        <v>3</v>
      </c>
      <c r="DN141" s="2">
        <v>0</v>
      </c>
      <c r="DO141" s="2">
        <v>0</v>
      </c>
      <c r="DP141" s="2">
        <v>1</v>
      </c>
      <c r="DQ141" s="2">
        <v>1</v>
      </c>
      <c r="DU141" s="2">
        <v>1010</v>
      </c>
      <c r="DV141" s="2" t="s">
        <v>22</v>
      </c>
      <c r="DW141" s="2" t="s">
        <v>22</v>
      </c>
      <c r="DX141" s="2">
        <v>100</v>
      </c>
      <c r="DZ141" s="2" t="s">
        <v>3</v>
      </c>
      <c r="EA141" s="2" t="s">
        <v>3</v>
      </c>
      <c r="EB141" s="2" t="s">
        <v>3</v>
      </c>
      <c r="EC141" s="2" t="s">
        <v>3</v>
      </c>
      <c r="EE141" s="2">
        <v>55896190</v>
      </c>
      <c r="EF141" s="2">
        <v>60</v>
      </c>
      <c r="EG141" s="2" t="s">
        <v>25</v>
      </c>
      <c r="EH141" s="2">
        <v>0</v>
      </c>
      <c r="EI141" s="2" t="s">
        <v>3</v>
      </c>
      <c r="EJ141" s="2">
        <v>1</v>
      </c>
      <c r="EK141" s="2">
        <v>103</v>
      </c>
      <c r="EL141" s="2" t="s">
        <v>262</v>
      </c>
      <c r="EM141" s="2" t="s">
        <v>263</v>
      </c>
      <c r="EO141" s="2" t="s">
        <v>28</v>
      </c>
      <c r="EQ141" s="2">
        <v>0</v>
      </c>
      <c r="ER141" s="2">
        <v>577.38</v>
      </c>
      <c r="ES141" s="2">
        <v>60.98</v>
      </c>
      <c r="ET141" s="2">
        <v>0</v>
      </c>
      <c r="EU141" s="2">
        <v>0</v>
      </c>
      <c r="EV141" s="2">
        <v>516.4</v>
      </c>
      <c r="EW141" s="2">
        <v>46.19</v>
      </c>
      <c r="EX141" s="2">
        <v>0</v>
      </c>
      <c r="EY141" s="2">
        <v>0</v>
      </c>
      <c r="FQ141" s="2">
        <v>0</v>
      </c>
      <c r="FR141" s="2">
        <v>0</v>
      </c>
      <c r="FS141" s="2">
        <v>0</v>
      </c>
      <c r="FX141" s="2">
        <v>103</v>
      </c>
      <c r="FY141" s="2">
        <v>52</v>
      </c>
      <c r="GA141" s="2" t="s">
        <v>3</v>
      </c>
      <c r="GD141" s="2">
        <v>1</v>
      </c>
      <c r="GF141" s="2">
        <v>881679713</v>
      </c>
      <c r="GG141" s="2">
        <v>2</v>
      </c>
      <c r="GH141" s="2">
        <v>1</v>
      </c>
      <c r="GI141" s="2">
        <v>2</v>
      </c>
      <c r="GJ141" s="2">
        <v>0</v>
      </c>
      <c r="GK141" s="2">
        <v>0</v>
      </c>
      <c r="GL141" s="2">
        <f t="shared" si="122"/>
        <v>0</v>
      </c>
      <c r="GM141" s="2">
        <f t="shared" si="123"/>
        <v>754.33</v>
      </c>
      <c r="GN141" s="2">
        <f t="shared" si="124"/>
        <v>754.33</v>
      </c>
      <c r="GO141" s="2">
        <f t="shared" si="125"/>
        <v>0</v>
      </c>
      <c r="GP141" s="2">
        <f t="shared" si="126"/>
        <v>0</v>
      </c>
      <c r="GR141" s="2">
        <v>0</v>
      </c>
      <c r="GS141" s="2">
        <v>3</v>
      </c>
      <c r="GT141" s="2">
        <v>0</v>
      </c>
      <c r="GU141" s="2" t="s">
        <v>3</v>
      </c>
      <c r="GV141" s="2">
        <f t="shared" si="127"/>
        <v>0</v>
      </c>
      <c r="GW141" s="2">
        <v>1</v>
      </c>
      <c r="GX141" s="2">
        <f t="shared" si="128"/>
        <v>0</v>
      </c>
      <c r="HA141" s="2">
        <v>0</v>
      </c>
      <c r="HB141" s="2">
        <v>0</v>
      </c>
      <c r="HC141" s="2">
        <f t="shared" si="129"/>
        <v>0</v>
      </c>
      <c r="HE141" s="2" t="s">
        <v>3</v>
      </c>
      <c r="HF141" s="2" t="s">
        <v>3</v>
      </c>
      <c r="HM141" s="2" t="s">
        <v>3</v>
      </c>
      <c r="HN141" s="2" t="s">
        <v>3</v>
      </c>
      <c r="HO141" s="2" t="s">
        <v>3</v>
      </c>
      <c r="HP141" s="2" t="s">
        <v>3</v>
      </c>
      <c r="HQ141" s="2" t="s">
        <v>3</v>
      </c>
      <c r="HS141" s="2">
        <v>0</v>
      </c>
      <c r="IK141" s="2">
        <v>0</v>
      </c>
    </row>
    <row r="142" spans="1:245" x14ac:dyDescent="0.2">
      <c r="A142" s="2">
        <v>18</v>
      </c>
      <c r="B142" s="2">
        <v>1</v>
      </c>
      <c r="C142" s="2">
        <v>110</v>
      </c>
      <c r="E142" s="2" t="s">
        <v>264</v>
      </c>
      <c r="F142" s="2" t="s">
        <v>265</v>
      </c>
      <c r="G142" s="2" t="s">
        <v>266</v>
      </c>
      <c r="H142" s="2" t="s">
        <v>54</v>
      </c>
      <c r="I142" s="2">
        <f>I141*J142</f>
        <v>1</v>
      </c>
      <c r="J142" s="2">
        <v>100</v>
      </c>
      <c r="K142" s="2">
        <v>100</v>
      </c>
      <c r="O142" s="2">
        <f t="shared" si="103"/>
        <v>393.86</v>
      </c>
      <c r="P142" s="2">
        <f t="shared" si="104"/>
        <v>393.86</v>
      </c>
      <c r="Q142" s="2">
        <f>(ROUND((ROUND(((ET142)*AV142*I142),2)*BB142),2)+ROUND((ROUND(((AE142-(EU142))*AV142*I142),2)*BS142),2))</f>
        <v>0</v>
      </c>
      <c r="R142" s="2">
        <f>(ROUND((ROUND(((EU142)*AV142*I142),2)*BS142),2)+ROUND((ROUND(((AE142-(EU142))*AV142*I142),2)*BS142),2))</f>
        <v>0</v>
      </c>
      <c r="S142" s="2">
        <f t="shared" si="105"/>
        <v>0</v>
      </c>
      <c r="T142" s="2">
        <f t="shared" si="106"/>
        <v>0</v>
      </c>
      <c r="U142" s="2">
        <f t="shared" si="107"/>
        <v>0</v>
      </c>
      <c r="V142" s="2">
        <f t="shared" si="108"/>
        <v>0</v>
      </c>
      <c r="W142" s="2">
        <f t="shared" si="109"/>
        <v>0</v>
      </c>
      <c r="X142" s="2">
        <f>(ROUND((((S142+ROUND((ROUND(((EU142)*AV142*I142),2)*BS142),2))*AT142)/100),2)+ROUND(((ROUND((ROUND(((AE142-(EU142))*AV142*I142),2)*BS142),2)*AT142)/100),2))</f>
        <v>0</v>
      </c>
      <c r="Y142" s="2">
        <f>(ROUND((((S142+ROUND((ROUND(((EU142)*AV142*I142),2)*BS142),2))*AU142)/100),2)+ROUND(((ROUND((ROUND(((AE142-(EU142))*AV142*I142),2)*BS142),2)*AU142)/100),2))</f>
        <v>0</v>
      </c>
      <c r="AA142" s="2">
        <v>56793366</v>
      </c>
      <c r="AB142" s="2">
        <f t="shared" si="110"/>
        <v>92.24</v>
      </c>
      <c r="AC142" s="2">
        <f>ROUND((ES142),6)</f>
        <v>92.24</v>
      </c>
      <c r="AD142" s="2">
        <f>ROUND((((ET142)-(EU142))+AE142),6)</f>
        <v>0</v>
      </c>
      <c r="AE142" s="2">
        <f t="shared" si="132"/>
        <v>0</v>
      </c>
      <c r="AF142" s="2">
        <f t="shared" si="132"/>
        <v>0</v>
      </c>
      <c r="AG142" s="2">
        <f t="shared" si="112"/>
        <v>0</v>
      </c>
      <c r="AH142" s="2">
        <f t="shared" si="133"/>
        <v>0</v>
      </c>
      <c r="AI142" s="2">
        <f t="shared" si="133"/>
        <v>0</v>
      </c>
      <c r="AJ142" s="2">
        <f t="shared" si="114"/>
        <v>0</v>
      </c>
      <c r="AK142" s="2">
        <v>92.24</v>
      </c>
      <c r="AL142" s="2">
        <v>92.24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103</v>
      </c>
      <c r="AU142" s="2">
        <v>52</v>
      </c>
      <c r="AV142" s="2">
        <v>1</v>
      </c>
      <c r="AW142" s="2">
        <v>1</v>
      </c>
      <c r="AZ142" s="2">
        <v>1</v>
      </c>
      <c r="BA142" s="2">
        <v>1</v>
      </c>
      <c r="BB142" s="2">
        <v>1</v>
      </c>
      <c r="BC142" s="2">
        <v>4.2699999999999996</v>
      </c>
      <c r="BD142" s="2" t="s">
        <v>3</v>
      </c>
      <c r="BE142" s="2" t="s">
        <v>3</v>
      </c>
      <c r="BF142" s="2" t="s">
        <v>3</v>
      </c>
      <c r="BG142" s="2" t="s">
        <v>3</v>
      </c>
      <c r="BH142" s="2">
        <v>3</v>
      </c>
      <c r="BI142" s="2">
        <v>1</v>
      </c>
      <c r="BJ142" s="2" t="s">
        <v>267</v>
      </c>
      <c r="BM142" s="2">
        <v>103</v>
      </c>
      <c r="BN142" s="2">
        <v>0</v>
      </c>
      <c r="BO142" s="2" t="s">
        <v>265</v>
      </c>
      <c r="BP142" s="2">
        <v>1</v>
      </c>
      <c r="BQ142" s="2">
        <v>60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3</v>
      </c>
      <c r="BZ142" s="2">
        <v>103</v>
      </c>
      <c r="CA142" s="2">
        <v>52</v>
      </c>
      <c r="CB142" s="2" t="s">
        <v>3</v>
      </c>
      <c r="CE142" s="2">
        <v>1566</v>
      </c>
      <c r="CF142" s="2">
        <v>0</v>
      </c>
      <c r="CG142" s="2">
        <v>0</v>
      </c>
      <c r="CM142" s="2">
        <v>0</v>
      </c>
      <c r="CN142" s="2" t="s">
        <v>520</v>
      </c>
      <c r="CO142" s="2">
        <v>0</v>
      </c>
      <c r="CP142" s="2">
        <f t="shared" si="115"/>
        <v>393.86</v>
      </c>
      <c r="CQ142" s="2">
        <f t="shared" si="116"/>
        <v>393.86</v>
      </c>
      <c r="CR142" s="2">
        <f>(ROUND((ROUND(((ET142)*AV142*1),2)*BB142),2)+ROUND((ROUND(((AE142-(EU142))*AV142*1),2)*BS142),2))</f>
        <v>0</v>
      </c>
      <c r="CS142" s="2">
        <f>(ROUND((ROUND(((EU142)*AV142*1),2)*BS142),2)+ROUND((ROUND(((AE142-(EU142))*AV142*1),2)*BS142),2))</f>
        <v>0</v>
      </c>
      <c r="CT142" s="2">
        <f t="shared" si="117"/>
        <v>0</v>
      </c>
      <c r="CU142" s="2">
        <f t="shared" si="118"/>
        <v>0</v>
      </c>
      <c r="CV142" s="2">
        <f t="shared" si="119"/>
        <v>0</v>
      </c>
      <c r="CW142" s="2">
        <f t="shared" si="120"/>
        <v>0</v>
      </c>
      <c r="CX142" s="2">
        <f t="shared" si="121"/>
        <v>0</v>
      </c>
      <c r="CY142" s="2">
        <f>(ROUND((((S142+ROUND((ROUND(((EU142)*AV142*1),2)*BS142),2))*AT142)/100),2)+ROUND(((ROUND((ROUND(((AE142-(EU142))*AV142*1),2)*BS142),2)*AT142)/100),2))</f>
        <v>0</v>
      </c>
      <c r="CZ142" s="2">
        <f>(ROUND((((S142+ROUND((ROUND(((EU142)*AV142*1),2)*BS142),2))*AU142)/100),2)+ROUND(((ROUND((ROUND(((AE142-(EU142))*AV142*1),2)*BS142),2)*AU142)/100),2))</f>
        <v>0</v>
      </c>
      <c r="DC142" s="2" t="s">
        <v>3</v>
      </c>
      <c r="DD142" s="2" t="s">
        <v>3</v>
      </c>
      <c r="DE142" s="2" t="s">
        <v>3</v>
      </c>
      <c r="DF142" s="2" t="s">
        <v>3</v>
      </c>
      <c r="DG142" s="2" t="s">
        <v>3</v>
      </c>
      <c r="DH142" s="2" t="s">
        <v>3</v>
      </c>
      <c r="DI142" s="2" t="s">
        <v>3</v>
      </c>
      <c r="DJ142" s="2" t="s">
        <v>3</v>
      </c>
      <c r="DK142" s="2" t="s">
        <v>3</v>
      </c>
      <c r="DL142" s="2" t="s">
        <v>3</v>
      </c>
      <c r="DM142" s="2" t="s">
        <v>3</v>
      </c>
      <c r="DN142" s="2">
        <v>0</v>
      </c>
      <c r="DO142" s="2">
        <v>0</v>
      </c>
      <c r="DP142" s="2">
        <v>1</v>
      </c>
      <c r="DQ142" s="2">
        <v>1</v>
      </c>
      <c r="DU142" s="2">
        <v>1010</v>
      </c>
      <c r="DV142" s="2" t="s">
        <v>54</v>
      </c>
      <c r="DW142" s="2" t="s">
        <v>54</v>
      </c>
      <c r="DX142" s="2">
        <v>1</v>
      </c>
      <c r="DZ142" s="2" t="s">
        <v>3</v>
      </c>
      <c r="EA142" s="2" t="s">
        <v>3</v>
      </c>
      <c r="EB142" s="2" t="s">
        <v>3</v>
      </c>
      <c r="EC142" s="2" t="s">
        <v>3</v>
      </c>
      <c r="EE142" s="2">
        <v>55896190</v>
      </c>
      <c r="EF142" s="2">
        <v>60</v>
      </c>
      <c r="EG142" s="2" t="s">
        <v>25</v>
      </c>
      <c r="EH142" s="2">
        <v>0</v>
      </c>
      <c r="EI142" s="2" t="s">
        <v>3</v>
      </c>
      <c r="EJ142" s="2">
        <v>1</v>
      </c>
      <c r="EK142" s="2">
        <v>103</v>
      </c>
      <c r="EL142" s="2" t="s">
        <v>262</v>
      </c>
      <c r="EM142" s="2" t="s">
        <v>263</v>
      </c>
      <c r="EO142" s="2" t="s">
        <v>28</v>
      </c>
      <c r="EQ142" s="2">
        <v>0</v>
      </c>
      <c r="ER142" s="2">
        <v>92.24</v>
      </c>
      <c r="ES142" s="2">
        <v>92.24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FQ142" s="2">
        <v>0</v>
      </c>
      <c r="FR142" s="2">
        <v>0</v>
      </c>
      <c r="FS142" s="2">
        <v>0</v>
      </c>
      <c r="FX142" s="2">
        <v>103</v>
      </c>
      <c r="FY142" s="2">
        <v>52</v>
      </c>
      <c r="GA142" s="2" t="s">
        <v>3</v>
      </c>
      <c r="GD142" s="2">
        <v>1</v>
      </c>
      <c r="GF142" s="2">
        <v>2016634041</v>
      </c>
      <c r="GG142" s="2">
        <v>2</v>
      </c>
      <c r="GH142" s="2">
        <v>1</v>
      </c>
      <c r="GI142" s="2">
        <v>2</v>
      </c>
      <c r="GJ142" s="2">
        <v>0</v>
      </c>
      <c r="GK142" s="2">
        <v>0</v>
      </c>
      <c r="GL142" s="2">
        <f t="shared" si="122"/>
        <v>0</v>
      </c>
      <c r="GM142" s="2">
        <f t="shared" si="123"/>
        <v>393.86</v>
      </c>
      <c r="GN142" s="2">
        <f t="shared" si="124"/>
        <v>393.86</v>
      </c>
      <c r="GO142" s="2">
        <f t="shared" si="125"/>
        <v>0</v>
      </c>
      <c r="GP142" s="2">
        <f t="shared" si="126"/>
        <v>0</v>
      </c>
      <c r="GR142" s="2">
        <v>0</v>
      </c>
      <c r="GS142" s="2">
        <v>3</v>
      </c>
      <c r="GT142" s="2">
        <v>0</v>
      </c>
      <c r="GU142" s="2" t="s">
        <v>3</v>
      </c>
      <c r="GV142" s="2">
        <f t="shared" si="127"/>
        <v>0</v>
      </c>
      <c r="GW142" s="2">
        <v>1</v>
      </c>
      <c r="GX142" s="2">
        <f t="shared" si="128"/>
        <v>0</v>
      </c>
      <c r="HA142" s="2">
        <v>0</v>
      </c>
      <c r="HB142" s="2">
        <v>0</v>
      </c>
      <c r="HC142" s="2">
        <f t="shared" si="129"/>
        <v>0</v>
      </c>
      <c r="HE142" s="2" t="s">
        <v>3</v>
      </c>
      <c r="HF142" s="2" t="s">
        <v>3</v>
      </c>
      <c r="HM142" s="2" t="s">
        <v>24</v>
      </c>
      <c r="HN142" s="2" t="s">
        <v>3</v>
      </c>
      <c r="HO142" s="2" t="s">
        <v>3</v>
      </c>
      <c r="HP142" s="2" t="s">
        <v>3</v>
      </c>
      <c r="HQ142" s="2" t="s">
        <v>3</v>
      </c>
      <c r="HS142" s="2">
        <v>0</v>
      </c>
      <c r="IK142" s="2">
        <v>0</v>
      </c>
    </row>
    <row r="143" spans="1:245" x14ac:dyDescent="0.2">
      <c r="A143" s="2">
        <v>17</v>
      </c>
      <c r="B143" s="2">
        <v>1</v>
      </c>
      <c r="C143" s="2">
        <f>ROW(SmtRes!A113)</f>
        <v>113</v>
      </c>
      <c r="D143" s="2">
        <f>ROW(EtalonRes!A113)</f>
        <v>113</v>
      </c>
      <c r="E143" s="2" t="s">
        <v>268</v>
      </c>
      <c r="F143" s="2" t="s">
        <v>269</v>
      </c>
      <c r="G143" s="2" t="s">
        <v>270</v>
      </c>
      <c r="H143" s="2" t="s">
        <v>32</v>
      </c>
      <c r="I143" s="2">
        <f>ROUND(62/100,9)</f>
        <v>0.62</v>
      </c>
      <c r="J143" s="2">
        <v>0</v>
      </c>
      <c r="K143" s="2">
        <f>ROUND(62/100,9)</f>
        <v>0.62</v>
      </c>
      <c r="O143" s="2">
        <f t="shared" si="103"/>
        <v>1587.77</v>
      </c>
      <c r="P143" s="2">
        <f t="shared" si="104"/>
        <v>0</v>
      </c>
      <c r="Q143" s="2">
        <f>(ROUND((ROUND((((ET143*1.15))*AV143*I143),2)*BB143),2)+ROUND((ROUND(((AE143-((EU143*1.15)))*AV143*I143),2)*BS143),2))</f>
        <v>20.61</v>
      </c>
      <c r="R143" s="2">
        <f>(ROUND((ROUND((((EU143*1.15))*AV143*I143),2)*BS143),2)+ROUND((ROUND(((AE143-((EU143*1.15)))*AV143*I143),2)*BS143),2))</f>
        <v>10.27</v>
      </c>
      <c r="S143" s="2">
        <f t="shared" si="105"/>
        <v>1567.16</v>
      </c>
      <c r="T143" s="2">
        <f t="shared" si="106"/>
        <v>0</v>
      </c>
      <c r="U143" s="2">
        <f t="shared" si="107"/>
        <v>2.4598499999999999</v>
      </c>
      <c r="V143" s="2">
        <f t="shared" si="108"/>
        <v>0</v>
      </c>
      <c r="W143" s="2">
        <f t="shared" si="109"/>
        <v>0</v>
      </c>
      <c r="X143" s="2">
        <f>(ROUND((((S143+ROUND((ROUND((((EU143*1.15))*AV143*I143),2)*BS143),2))*AT143)/100),2)+ROUND(((ROUND((ROUND(((AE143-((EU143*1.15)))*AV143*I143),2)*BS143),2)*AT143)/100),2))</f>
        <v>1593.2</v>
      </c>
      <c r="Y143" s="2">
        <f>(ROUND((((S143+ROUND((ROUND((((EU143*1.15))*AV143*I143),2)*BS143),2))*AU143)/100),2)+ROUND(((ROUND((ROUND(((AE143-((EU143*1.15)))*AV143*I143),2)*BS143),2)*AU143)/100),2))</f>
        <v>867.59</v>
      </c>
      <c r="AA143" s="2">
        <v>56793366</v>
      </c>
      <c r="AB143" s="2">
        <f t="shared" si="110"/>
        <v>46.218499999999999</v>
      </c>
      <c r="AC143" s="2">
        <f>ROUND(((ES143*1)),6)</f>
        <v>0</v>
      </c>
      <c r="AD143" s="2">
        <f>ROUND(((((ET143*1.15))-((EU143*1.15)))+AE143),6)</f>
        <v>1.909</v>
      </c>
      <c r="AE143" s="2">
        <f>ROUND(((EU143*1.15)),6)</f>
        <v>0.28749999999999998</v>
      </c>
      <c r="AF143" s="2">
        <f>ROUND(((EV143*1.15)),6)</f>
        <v>44.3095</v>
      </c>
      <c r="AG143" s="2">
        <f t="shared" si="112"/>
        <v>0</v>
      </c>
      <c r="AH143" s="2">
        <f>((EW143*1.15))</f>
        <v>3.9674999999999998</v>
      </c>
      <c r="AI143" s="2">
        <f>((EX143*1.15))</f>
        <v>0</v>
      </c>
      <c r="AJ143" s="2">
        <f t="shared" si="114"/>
        <v>0</v>
      </c>
      <c r="AK143" s="2">
        <v>40.19</v>
      </c>
      <c r="AL143" s="2">
        <v>0</v>
      </c>
      <c r="AM143" s="2">
        <v>1.66</v>
      </c>
      <c r="AN143" s="2">
        <v>0.25</v>
      </c>
      <c r="AO143" s="2">
        <v>38.53</v>
      </c>
      <c r="AP143" s="2">
        <v>0</v>
      </c>
      <c r="AQ143" s="2">
        <v>3.45</v>
      </c>
      <c r="AR143" s="2">
        <v>0</v>
      </c>
      <c r="AS143" s="2">
        <v>0</v>
      </c>
      <c r="AT143" s="2">
        <v>101</v>
      </c>
      <c r="AU143" s="2">
        <v>55</v>
      </c>
      <c r="AV143" s="2">
        <v>1</v>
      </c>
      <c r="AW143" s="2">
        <v>1</v>
      </c>
      <c r="AZ143" s="2">
        <v>1</v>
      </c>
      <c r="BA143" s="2">
        <v>57.05</v>
      </c>
      <c r="BB143" s="2">
        <v>17.47</v>
      </c>
      <c r="BC143" s="2">
        <v>1</v>
      </c>
      <c r="BD143" s="2" t="s">
        <v>3</v>
      </c>
      <c r="BE143" s="2" t="s">
        <v>3</v>
      </c>
      <c r="BF143" s="2" t="s">
        <v>3</v>
      </c>
      <c r="BG143" s="2" t="s">
        <v>3</v>
      </c>
      <c r="BH143" s="2">
        <v>0</v>
      </c>
      <c r="BI143" s="2">
        <v>1</v>
      </c>
      <c r="BJ143" s="2" t="s">
        <v>271</v>
      </c>
      <c r="BM143" s="2">
        <v>15</v>
      </c>
      <c r="BN143" s="2">
        <v>0</v>
      </c>
      <c r="BO143" s="2" t="s">
        <v>269</v>
      </c>
      <c r="BP143" s="2">
        <v>1</v>
      </c>
      <c r="BQ143" s="2">
        <v>30</v>
      </c>
      <c r="BR143" s="2">
        <v>0</v>
      </c>
      <c r="BS143" s="2">
        <v>57.05</v>
      </c>
      <c r="BT143" s="2">
        <v>1</v>
      </c>
      <c r="BU143" s="2">
        <v>1</v>
      </c>
      <c r="BV143" s="2">
        <v>1</v>
      </c>
      <c r="BW143" s="2">
        <v>1</v>
      </c>
      <c r="BX143" s="2">
        <v>1</v>
      </c>
      <c r="BY143" s="2" t="s">
        <v>3</v>
      </c>
      <c r="BZ143" s="2">
        <v>101</v>
      </c>
      <c r="CA143" s="2">
        <v>55</v>
      </c>
      <c r="CB143" s="2" t="s">
        <v>3</v>
      </c>
      <c r="CE143" s="2">
        <v>1566</v>
      </c>
      <c r="CF143" s="2">
        <v>0</v>
      </c>
      <c r="CG143" s="2">
        <v>0</v>
      </c>
      <c r="CM143" s="2">
        <v>0</v>
      </c>
      <c r="CN143" s="2" t="s">
        <v>518</v>
      </c>
      <c r="CO143" s="2">
        <v>0</v>
      </c>
      <c r="CP143" s="2">
        <f t="shared" si="115"/>
        <v>1587.77</v>
      </c>
      <c r="CQ143" s="2">
        <f t="shared" si="116"/>
        <v>0</v>
      </c>
      <c r="CR143" s="2">
        <f>(ROUND((ROUND((((ET143*1.15))*AV143*1),2)*BB143),2)+ROUND((ROUND(((AE143-((EU143*1.15)))*AV143*1),2)*BS143),2))</f>
        <v>33.369999999999997</v>
      </c>
      <c r="CS143" s="2">
        <f>(ROUND((ROUND((((EU143*1.15))*AV143*1),2)*BS143),2)+ROUND((ROUND(((AE143-((EU143*1.15)))*AV143*1),2)*BS143),2))</f>
        <v>16.54</v>
      </c>
      <c r="CT143" s="2">
        <f t="shared" si="117"/>
        <v>2527.89</v>
      </c>
      <c r="CU143" s="2">
        <f t="shared" si="118"/>
        <v>0</v>
      </c>
      <c r="CV143" s="2">
        <f t="shared" si="119"/>
        <v>3.9674999999999998</v>
      </c>
      <c r="CW143" s="2">
        <f t="shared" si="120"/>
        <v>0</v>
      </c>
      <c r="CX143" s="2">
        <f t="shared" si="121"/>
        <v>0</v>
      </c>
      <c r="CY143" s="2">
        <f>(ROUND((((S143+ROUND((ROUND((((EU143*1.15))*AV143*1),2)*BS143),2))*AT143)/100),2)+ROUND(((ROUND((ROUND(((AE143-((EU143*1.15)))*AV143*1),2)*BS143),2)*AT143)/100),2))</f>
        <v>1599.54</v>
      </c>
      <c r="CZ143" s="2">
        <f>(ROUND((((S143+ROUND((ROUND((((EU143*1.15))*AV143*1),2)*BS143),2))*AU143)/100),2)+ROUND(((ROUND((ROUND(((AE143-((EU143*1.15)))*AV143*1),2)*BS143),2)*AU143)/100),2))</f>
        <v>871.04</v>
      </c>
      <c r="DB143" s="2">
        <v>9</v>
      </c>
      <c r="DC143" s="2" t="s">
        <v>3</v>
      </c>
      <c r="DD143" s="2" t="s">
        <v>24</v>
      </c>
      <c r="DE143" s="2" t="s">
        <v>48</v>
      </c>
      <c r="DF143" s="2" t="s">
        <v>48</v>
      </c>
      <c r="DG143" s="2" t="s">
        <v>48</v>
      </c>
      <c r="DH143" s="2" t="s">
        <v>3</v>
      </c>
      <c r="DI143" s="2" t="s">
        <v>48</v>
      </c>
      <c r="DJ143" s="2" t="s">
        <v>48</v>
      </c>
      <c r="DK143" s="2" t="s">
        <v>3</v>
      </c>
      <c r="DL143" s="2" t="s">
        <v>3</v>
      </c>
      <c r="DM143" s="2" t="s">
        <v>3</v>
      </c>
      <c r="DN143" s="2">
        <v>0</v>
      </c>
      <c r="DO143" s="2">
        <v>0</v>
      </c>
      <c r="DP143" s="2">
        <v>1</v>
      </c>
      <c r="DQ143" s="2">
        <v>1</v>
      </c>
      <c r="DU143" s="2">
        <v>1005</v>
      </c>
      <c r="DV143" s="2" t="s">
        <v>32</v>
      </c>
      <c r="DW143" s="2" t="s">
        <v>32</v>
      </c>
      <c r="DX143" s="2">
        <v>100</v>
      </c>
      <c r="DZ143" s="2" t="s">
        <v>3</v>
      </c>
      <c r="EA143" s="2" t="s">
        <v>3</v>
      </c>
      <c r="EB143" s="2" t="s">
        <v>3</v>
      </c>
      <c r="EC143" s="2" t="s">
        <v>3</v>
      </c>
      <c r="EE143" s="2">
        <v>55896063</v>
      </c>
      <c r="EF143" s="2">
        <v>30</v>
      </c>
      <c r="EG143" s="2" t="s">
        <v>49</v>
      </c>
      <c r="EH143" s="2">
        <v>0</v>
      </c>
      <c r="EI143" s="2" t="s">
        <v>3</v>
      </c>
      <c r="EJ143" s="2">
        <v>1</v>
      </c>
      <c r="EK143" s="2">
        <v>15</v>
      </c>
      <c r="EL143" s="2" t="s">
        <v>137</v>
      </c>
      <c r="EM143" s="2" t="s">
        <v>138</v>
      </c>
      <c r="EO143" s="2" t="s">
        <v>28</v>
      </c>
      <c r="EQ143" s="2">
        <v>0</v>
      </c>
      <c r="ER143" s="2">
        <v>40.19</v>
      </c>
      <c r="ES143" s="2">
        <v>0</v>
      </c>
      <c r="ET143" s="2">
        <v>1.66</v>
      </c>
      <c r="EU143" s="2">
        <v>0.25</v>
      </c>
      <c r="EV143" s="2">
        <v>38.53</v>
      </c>
      <c r="EW143" s="2">
        <v>3.45</v>
      </c>
      <c r="EX143" s="2">
        <v>0</v>
      </c>
      <c r="EY143" s="2">
        <v>0</v>
      </c>
      <c r="FQ143" s="2">
        <v>0</v>
      </c>
      <c r="FR143" s="2">
        <v>0</v>
      </c>
      <c r="FS143" s="2">
        <v>0</v>
      </c>
      <c r="FX143" s="2">
        <v>101</v>
      </c>
      <c r="FY143" s="2">
        <v>55</v>
      </c>
      <c r="GA143" s="2" t="s">
        <v>3</v>
      </c>
      <c r="GD143" s="2">
        <v>1</v>
      </c>
      <c r="GF143" s="2">
        <v>-1028361324</v>
      </c>
      <c r="GG143" s="2">
        <v>2</v>
      </c>
      <c r="GH143" s="2">
        <v>1</v>
      </c>
      <c r="GI143" s="2">
        <v>2</v>
      </c>
      <c r="GJ143" s="2">
        <v>0</v>
      </c>
      <c r="GK143" s="2">
        <v>0</v>
      </c>
      <c r="GL143" s="2">
        <f t="shared" si="122"/>
        <v>0</v>
      </c>
      <c r="GM143" s="2">
        <f t="shared" si="123"/>
        <v>4048.56</v>
      </c>
      <c r="GN143" s="2">
        <f t="shared" si="124"/>
        <v>4048.56</v>
      </c>
      <c r="GO143" s="2">
        <f t="shared" si="125"/>
        <v>0</v>
      </c>
      <c r="GP143" s="2">
        <f t="shared" si="126"/>
        <v>0</v>
      </c>
      <c r="GR143" s="2">
        <v>0</v>
      </c>
      <c r="GS143" s="2">
        <v>3</v>
      </c>
      <c r="GT143" s="2">
        <v>0</v>
      </c>
      <c r="GU143" s="2" t="s">
        <v>3</v>
      </c>
      <c r="GV143" s="2">
        <f t="shared" si="127"/>
        <v>0</v>
      </c>
      <c r="GW143" s="2">
        <v>1</v>
      </c>
      <c r="GX143" s="2">
        <f t="shared" si="128"/>
        <v>0</v>
      </c>
      <c r="HA143" s="2">
        <v>0</v>
      </c>
      <c r="HB143" s="2">
        <v>0</v>
      </c>
      <c r="HC143" s="2">
        <f t="shared" si="129"/>
        <v>0</v>
      </c>
      <c r="HE143" s="2" t="s">
        <v>3</v>
      </c>
      <c r="HF143" s="2" t="s">
        <v>3</v>
      </c>
      <c r="HM143" s="2" t="s">
        <v>3</v>
      </c>
      <c r="HN143" s="2" t="s">
        <v>3</v>
      </c>
      <c r="HO143" s="2" t="s">
        <v>3</v>
      </c>
      <c r="HP143" s="2" t="s">
        <v>3</v>
      </c>
      <c r="HQ143" s="2" t="s">
        <v>3</v>
      </c>
      <c r="HS143" s="2">
        <v>0</v>
      </c>
      <c r="IK143" s="2">
        <v>0</v>
      </c>
    </row>
    <row r="144" spans="1:245" x14ac:dyDescent="0.2">
      <c r="A144" s="2">
        <v>18</v>
      </c>
      <c r="B144" s="2">
        <v>1</v>
      </c>
      <c r="C144" s="2">
        <v>113</v>
      </c>
      <c r="E144" s="2" t="s">
        <v>272</v>
      </c>
      <c r="F144" s="2" t="s">
        <v>273</v>
      </c>
      <c r="G144" s="2" t="s">
        <v>274</v>
      </c>
      <c r="H144" s="2" t="s">
        <v>174</v>
      </c>
      <c r="I144" s="2">
        <f>I143*J144</f>
        <v>75.888000000000005</v>
      </c>
      <c r="J144" s="2">
        <v>122.4</v>
      </c>
      <c r="K144" s="2">
        <v>122.4</v>
      </c>
      <c r="O144" s="2">
        <f t="shared" si="103"/>
        <v>703.35</v>
      </c>
      <c r="P144" s="2">
        <f t="shared" si="104"/>
        <v>703.35</v>
      </c>
      <c r="Q144" s="2">
        <f>(ROUND((ROUND(((ET144)*AV144*I144),2)*BB144),2)+ROUND((ROUND(((AE144-(EU144))*AV144*I144),2)*BS144),2))</f>
        <v>0</v>
      </c>
      <c r="R144" s="2">
        <f>(ROUND((ROUND(((EU144)*AV144*I144),2)*BS144),2)+ROUND((ROUND(((AE144-(EU144))*AV144*I144),2)*BS144),2))</f>
        <v>0</v>
      </c>
      <c r="S144" s="2">
        <f t="shared" si="105"/>
        <v>0</v>
      </c>
      <c r="T144" s="2">
        <f t="shared" si="106"/>
        <v>0</v>
      </c>
      <c r="U144" s="2">
        <f t="shared" si="107"/>
        <v>0</v>
      </c>
      <c r="V144" s="2">
        <f t="shared" si="108"/>
        <v>0</v>
      </c>
      <c r="W144" s="2">
        <f t="shared" si="109"/>
        <v>0</v>
      </c>
      <c r="X144" s="2">
        <f>(ROUND((((S144+ROUND((ROUND(((EU144)*AV144*I144),2)*BS144),2))*AT144)/100),2)+ROUND(((ROUND((ROUND(((AE144-(EU144))*AV144*I144),2)*BS144),2)*AT144)/100),2))</f>
        <v>0</v>
      </c>
      <c r="Y144" s="2">
        <f>(ROUND((((S144+ROUND((ROUND(((EU144)*AV144*I144),2)*BS144),2))*AU144)/100),2)+ROUND(((ROUND((ROUND(((AE144-(EU144))*AV144*I144),2)*BS144),2)*AU144)/100),2))</f>
        <v>0</v>
      </c>
      <c r="AA144" s="2">
        <v>56793366</v>
      </c>
      <c r="AB144" s="2">
        <f t="shared" si="110"/>
        <v>8.1300000000000008</v>
      </c>
      <c r="AC144" s="2">
        <f>ROUND((ES144),6)</f>
        <v>8.1300000000000008</v>
      </c>
      <c r="AD144" s="2">
        <f>ROUND((((ET144)-(EU144))+AE144),6)</f>
        <v>0</v>
      </c>
      <c r="AE144" s="2">
        <f>ROUND((EU144),6)</f>
        <v>0</v>
      </c>
      <c r="AF144" s="2">
        <f>ROUND((EV144),6)</f>
        <v>0</v>
      </c>
      <c r="AG144" s="2">
        <f t="shared" si="112"/>
        <v>0</v>
      </c>
      <c r="AH144" s="2">
        <f>(EW144)</f>
        <v>0</v>
      </c>
      <c r="AI144" s="2">
        <f>(EX144)</f>
        <v>0</v>
      </c>
      <c r="AJ144" s="2">
        <f t="shared" si="114"/>
        <v>0</v>
      </c>
      <c r="AK144" s="2">
        <v>8.1300000000000008</v>
      </c>
      <c r="AL144" s="2">
        <v>8.1300000000000008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101</v>
      </c>
      <c r="AU144" s="2">
        <v>55</v>
      </c>
      <c r="AV144" s="2">
        <v>1</v>
      </c>
      <c r="AW144" s="2">
        <v>1</v>
      </c>
      <c r="AZ144" s="2">
        <v>1</v>
      </c>
      <c r="BA144" s="2">
        <v>1</v>
      </c>
      <c r="BB144" s="2">
        <v>1</v>
      </c>
      <c r="BC144" s="2">
        <v>1.1399999999999999</v>
      </c>
      <c r="BD144" s="2" t="s">
        <v>3</v>
      </c>
      <c r="BE144" s="2" t="s">
        <v>3</v>
      </c>
      <c r="BF144" s="2" t="s">
        <v>3</v>
      </c>
      <c r="BG144" s="2" t="s">
        <v>3</v>
      </c>
      <c r="BH144" s="2">
        <v>3</v>
      </c>
      <c r="BI144" s="2">
        <v>1</v>
      </c>
      <c r="BJ144" s="2" t="s">
        <v>275</v>
      </c>
      <c r="BM144" s="2">
        <v>15</v>
      </c>
      <c r="BN144" s="2">
        <v>0</v>
      </c>
      <c r="BO144" s="2" t="s">
        <v>273</v>
      </c>
      <c r="BP144" s="2">
        <v>1</v>
      </c>
      <c r="BQ144" s="2">
        <v>30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3</v>
      </c>
      <c r="BZ144" s="2">
        <v>101</v>
      </c>
      <c r="CA144" s="2">
        <v>55</v>
      </c>
      <c r="CB144" s="2" t="s">
        <v>3</v>
      </c>
      <c r="CE144" s="2">
        <v>1566</v>
      </c>
      <c r="CF144" s="2">
        <v>0</v>
      </c>
      <c r="CG144" s="2">
        <v>0</v>
      </c>
      <c r="CM144" s="2">
        <v>0</v>
      </c>
      <c r="CN144" s="2" t="s">
        <v>520</v>
      </c>
      <c r="CO144" s="2">
        <v>0</v>
      </c>
      <c r="CP144" s="2">
        <f t="shared" si="115"/>
        <v>703.35</v>
      </c>
      <c r="CQ144" s="2">
        <f t="shared" si="116"/>
        <v>9.27</v>
      </c>
      <c r="CR144" s="2">
        <f>(ROUND((ROUND(((ET144)*AV144*1),2)*BB144),2)+ROUND((ROUND(((AE144-(EU144))*AV144*1),2)*BS144),2))</f>
        <v>0</v>
      </c>
      <c r="CS144" s="2">
        <f>(ROUND((ROUND(((EU144)*AV144*1),2)*BS144),2)+ROUND((ROUND(((AE144-(EU144))*AV144*1),2)*BS144),2))</f>
        <v>0</v>
      </c>
      <c r="CT144" s="2">
        <f t="shared" si="117"/>
        <v>0</v>
      </c>
      <c r="CU144" s="2">
        <f t="shared" si="118"/>
        <v>0</v>
      </c>
      <c r="CV144" s="2">
        <f t="shared" si="119"/>
        <v>0</v>
      </c>
      <c r="CW144" s="2">
        <f t="shared" si="120"/>
        <v>0</v>
      </c>
      <c r="CX144" s="2">
        <f t="shared" si="121"/>
        <v>0</v>
      </c>
      <c r="CY144" s="2">
        <f>(ROUND((((S144+ROUND((ROUND(((EU144)*AV144*1),2)*BS144),2))*AT144)/100),2)+ROUND(((ROUND((ROUND(((AE144-(EU144))*AV144*1),2)*BS144),2)*AT144)/100),2))</f>
        <v>0</v>
      </c>
      <c r="CZ144" s="2">
        <f>(ROUND((((S144+ROUND((ROUND(((EU144)*AV144*1),2)*BS144),2))*AU144)/100),2)+ROUND(((ROUND((ROUND(((AE144-(EU144))*AV144*1),2)*BS144),2)*AU144)/100),2))</f>
        <v>0</v>
      </c>
      <c r="DC144" s="2" t="s">
        <v>3</v>
      </c>
      <c r="DD144" s="2" t="s">
        <v>3</v>
      </c>
      <c r="DE144" s="2" t="s">
        <v>3</v>
      </c>
      <c r="DF144" s="2" t="s">
        <v>3</v>
      </c>
      <c r="DG144" s="2" t="s">
        <v>3</v>
      </c>
      <c r="DH144" s="2" t="s">
        <v>3</v>
      </c>
      <c r="DI144" s="2" t="s">
        <v>3</v>
      </c>
      <c r="DJ144" s="2" t="s">
        <v>3</v>
      </c>
      <c r="DK144" s="2" t="s">
        <v>3</v>
      </c>
      <c r="DL144" s="2" t="s">
        <v>3</v>
      </c>
      <c r="DM144" s="2" t="s">
        <v>3</v>
      </c>
      <c r="DN144" s="2">
        <v>0</v>
      </c>
      <c r="DO144" s="2">
        <v>0</v>
      </c>
      <c r="DP144" s="2">
        <v>1</v>
      </c>
      <c r="DQ144" s="2">
        <v>1</v>
      </c>
      <c r="DU144" s="2">
        <v>1005</v>
      </c>
      <c r="DV144" s="2" t="s">
        <v>174</v>
      </c>
      <c r="DW144" s="2" t="s">
        <v>174</v>
      </c>
      <c r="DX144" s="2">
        <v>1</v>
      </c>
      <c r="DZ144" s="2" t="s">
        <v>3</v>
      </c>
      <c r="EA144" s="2" t="s">
        <v>3</v>
      </c>
      <c r="EB144" s="2" t="s">
        <v>3</v>
      </c>
      <c r="EC144" s="2" t="s">
        <v>3</v>
      </c>
      <c r="EE144" s="2">
        <v>55896063</v>
      </c>
      <c r="EF144" s="2">
        <v>30</v>
      </c>
      <c r="EG144" s="2" t="s">
        <v>49</v>
      </c>
      <c r="EH144" s="2">
        <v>0</v>
      </c>
      <c r="EI144" s="2" t="s">
        <v>3</v>
      </c>
      <c r="EJ144" s="2">
        <v>1</v>
      </c>
      <c r="EK144" s="2">
        <v>15</v>
      </c>
      <c r="EL144" s="2" t="s">
        <v>137</v>
      </c>
      <c r="EM144" s="2" t="s">
        <v>138</v>
      </c>
      <c r="EO144" s="2" t="s">
        <v>28</v>
      </c>
      <c r="EQ144" s="2">
        <v>0</v>
      </c>
      <c r="ER144" s="2">
        <v>8.1300000000000008</v>
      </c>
      <c r="ES144" s="2">
        <v>8.1300000000000008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FQ144" s="2">
        <v>0</v>
      </c>
      <c r="FR144" s="2">
        <v>0</v>
      </c>
      <c r="FS144" s="2">
        <v>0</v>
      </c>
      <c r="FX144" s="2">
        <v>101</v>
      </c>
      <c r="FY144" s="2">
        <v>55</v>
      </c>
      <c r="GA144" s="2" t="s">
        <v>3</v>
      </c>
      <c r="GD144" s="2">
        <v>1</v>
      </c>
      <c r="GF144" s="2">
        <v>-1503232983</v>
      </c>
      <c r="GG144" s="2">
        <v>2</v>
      </c>
      <c r="GH144" s="2">
        <v>1</v>
      </c>
      <c r="GI144" s="2">
        <v>2</v>
      </c>
      <c r="GJ144" s="2">
        <v>0</v>
      </c>
      <c r="GK144" s="2">
        <v>0</v>
      </c>
      <c r="GL144" s="2">
        <f t="shared" si="122"/>
        <v>0</v>
      </c>
      <c r="GM144" s="2">
        <f t="shared" si="123"/>
        <v>703.35</v>
      </c>
      <c r="GN144" s="2">
        <f t="shared" si="124"/>
        <v>703.35</v>
      </c>
      <c r="GO144" s="2">
        <f t="shared" si="125"/>
        <v>0</v>
      </c>
      <c r="GP144" s="2">
        <f t="shared" si="126"/>
        <v>0</v>
      </c>
      <c r="GR144" s="2">
        <v>0</v>
      </c>
      <c r="GS144" s="2">
        <v>3</v>
      </c>
      <c r="GT144" s="2">
        <v>0</v>
      </c>
      <c r="GU144" s="2" t="s">
        <v>3</v>
      </c>
      <c r="GV144" s="2">
        <f t="shared" si="127"/>
        <v>0</v>
      </c>
      <c r="GW144" s="2">
        <v>1</v>
      </c>
      <c r="GX144" s="2">
        <f t="shared" si="128"/>
        <v>0</v>
      </c>
      <c r="HA144" s="2">
        <v>0</v>
      </c>
      <c r="HB144" s="2">
        <v>0</v>
      </c>
      <c r="HC144" s="2">
        <f t="shared" si="129"/>
        <v>0</v>
      </c>
      <c r="HE144" s="2" t="s">
        <v>3</v>
      </c>
      <c r="HF144" s="2" t="s">
        <v>3</v>
      </c>
      <c r="HM144" s="2" t="s">
        <v>24</v>
      </c>
      <c r="HN144" s="2" t="s">
        <v>3</v>
      </c>
      <c r="HO144" s="2" t="s">
        <v>3</v>
      </c>
      <c r="HP144" s="2" t="s">
        <v>3</v>
      </c>
      <c r="HQ144" s="2" t="s">
        <v>3</v>
      </c>
      <c r="HS144" s="2">
        <v>0</v>
      </c>
      <c r="IK144" s="2">
        <v>0</v>
      </c>
    </row>
    <row r="145" spans="1:245" x14ac:dyDescent="0.2">
      <c r="A145" s="2">
        <v>17</v>
      </c>
      <c r="B145" s="2">
        <v>1</v>
      </c>
      <c r="C145" s="2">
        <f>ROW(SmtRes!A115)</f>
        <v>115</v>
      </c>
      <c r="D145" s="2">
        <f>ROW(EtalonRes!A116)</f>
        <v>116</v>
      </c>
      <c r="E145" s="2" t="s">
        <v>276</v>
      </c>
      <c r="F145" s="2" t="s">
        <v>269</v>
      </c>
      <c r="G145" s="2" t="s">
        <v>277</v>
      </c>
      <c r="H145" s="2" t="s">
        <v>32</v>
      </c>
      <c r="I145" s="2">
        <f>ROUND(62/100,9)</f>
        <v>0.62</v>
      </c>
      <c r="J145" s="2">
        <v>0</v>
      </c>
      <c r="K145" s="2">
        <f>ROUND(62/100,9)</f>
        <v>0.62</v>
      </c>
      <c r="O145" s="2">
        <f t="shared" si="103"/>
        <v>1104.56</v>
      </c>
      <c r="P145" s="2">
        <f t="shared" si="104"/>
        <v>0</v>
      </c>
      <c r="Q145" s="2">
        <f>(ROUND((ROUND((((ET145*0.8))*AV145*I145),2)*BB145),2)+ROUND((ROUND(((AE145-((EU145*0.8)))*AV145*I145),2)*BS145),2))</f>
        <v>14.33</v>
      </c>
      <c r="R145" s="2">
        <f>(ROUND((ROUND((((EU145*0.8))*AV145*I145),2)*BS145),2)+ROUND((ROUND(((AE145-((EU145*0.8)))*AV145*I145),2)*BS145),2))</f>
        <v>6.85</v>
      </c>
      <c r="S145" s="2">
        <f t="shared" si="105"/>
        <v>1090.23</v>
      </c>
      <c r="T145" s="2">
        <f t="shared" si="106"/>
        <v>0</v>
      </c>
      <c r="U145" s="2">
        <f t="shared" si="107"/>
        <v>1.7112000000000001</v>
      </c>
      <c r="V145" s="2">
        <f t="shared" si="108"/>
        <v>0</v>
      </c>
      <c r="W145" s="2">
        <f t="shared" si="109"/>
        <v>0</v>
      </c>
      <c r="X145" s="2">
        <f>(ROUND((((S145+ROUND((ROUND((((EU145*0.8))*AV145*I145),2)*BS145),2))*AT145)/100),2)+ROUND(((ROUND((ROUND(((AE145-((EU145*0.8)))*AV145*I145),2)*BS145),2)*AT145)/100),2))</f>
        <v>1108.05</v>
      </c>
      <c r="Y145" s="2">
        <f>(ROUND((((S145+ROUND((ROUND((((EU145*0.8))*AV145*I145),2)*BS145),2))*AU145)/100),2)+ROUND(((ROUND((ROUND(((AE145-((EU145*0.8)))*AV145*I145),2)*BS145),2)*AU145)/100),2))</f>
        <v>603.39</v>
      </c>
      <c r="AA145" s="2">
        <v>56793366</v>
      </c>
      <c r="AB145" s="2">
        <f t="shared" si="110"/>
        <v>32.152000000000001</v>
      </c>
      <c r="AC145" s="2">
        <f>ROUND((ES145),6)</f>
        <v>0</v>
      </c>
      <c r="AD145" s="2">
        <f>ROUND(((((ET145*0.8))-((EU145*0.8)))+AE145),6)</f>
        <v>1.3280000000000001</v>
      </c>
      <c r="AE145" s="2">
        <f>ROUND(((EU145*0.8)),6)</f>
        <v>0.2</v>
      </c>
      <c r="AF145" s="2">
        <f>ROUND(((EV145*0.8)),6)</f>
        <v>30.824000000000002</v>
      </c>
      <c r="AG145" s="2">
        <f t="shared" si="112"/>
        <v>0</v>
      </c>
      <c r="AH145" s="2">
        <f>((EW145*0.8))</f>
        <v>2.7600000000000002</v>
      </c>
      <c r="AI145" s="2">
        <f>((EX145*0.8))</f>
        <v>0</v>
      </c>
      <c r="AJ145" s="2">
        <f t="shared" si="114"/>
        <v>0</v>
      </c>
      <c r="AK145" s="2">
        <v>40.19</v>
      </c>
      <c r="AL145" s="2">
        <v>0</v>
      </c>
      <c r="AM145" s="2">
        <v>1.66</v>
      </c>
      <c r="AN145" s="2">
        <v>0.25</v>
      </c>
      <c r="AO145" s="2">
        <v>38.53</v>
      </c>
      <c r="AP145" s="2">
        <v>0</v>
      </c>
      <c r="AQ145" s="2">
        <v>3.45</v>
      </c>
      <c r="AR145" s="2">
        <v>0</v>
      </c>
      <c r="AS145" s="2">
        <v>0</v>
      </c>
      <c r="AT145" s="2">
        <v>101</v>
      </c>
      <c r="AU145" s="2">
        <v>55</v>
      </c>
      <c r="AV145" s="2">
        <v>1</v>
      </c>
      <c r="AW145" s="2">
        <v>1</v>
      </c>
      <c r="AZ145" s="2">
        <v>1</v>
      </c>
      <c r="BA145" s="2">
        <v>57.05</v>
      </c>
      <c r="BB145" s="2">
        <v>17.47</v>
      </c>
      <c r="BC145" s="2">
        <v>1</v>
      </c>
      <c r="BD145" s="2" t="s">
        <v>3</v>
      </c>
      <c r="BE145" s="2" t="s">
        <v>3</v>
      </c>
      <c r="BF145" s="2" t="s">
        <v>3</v>
      </c>
      <c r="BG145" s="2" t="s">
        <v>3</v>
      </c>
      <c r="BH145" s="2">
        <v>0</v>
      </c>
      <c r="BI145" s="2">
        <v>1</v>
      </c>
      <c r="BJ145" s="2" t="s">
        <v>271</v>
      </c>
      <c r="BM145" s="2">
        <v>15</v>
      </c>
      <c r="BN145" s="2">
        <v>0</v>
      </c>
      <c r="BO145" s="2" t="s">
        <v>269</v>
      </c>
      <c r="BP145" s="2">
        <v>1</v>
      </c>
      <c r="BQ145" s="2">
        <v>30</v>
      </c>
      <c r="BR145" s="2">
        <v>0</v>
      </c>
      <c r="BS145" s="2">
        <v>57.05</v>
      </c>
      <c r="BT145" s="2">
        <v>1</v>
      </c>
      <c r="BU145" s="2">
        <v>1</v>
      </c>
      <c r="BV145" s="2">
        <v>1</v>
      </c>
      <c r="BW145" s="2">
        <v>1</v>
      </c>
      <c r="BX145" s="2">
        <v>1</v>
      </c>
      <c r="BY145" s="2" t="s">
        <v>3</v>
      </c>
      <c r="BZ145" s="2">
        <v>101</v>
      </c>
      <c r="CA145" s="2">
        <v>55</v>
      </c>
      <c r="CB145" s="2" t="s">
        <v>3</v>
      </c>
      <c r="CE145" s="2">
        <v>1566</v>
      </c>
      <c r="CF145" s="2">
        <v>0</v>
      </c>
      <c r="CG145" s="2">
        <v>0</v>
      </c>
      <c r="CM145" s="2">
        <v>0</v>
      </c>
      <c r="CN145" s="2" t="s">
        <v>523</v>
      </c>
      <c r="CO145" s="2">
        <v>0</v>
      </c>
      <c r="CP145" s="2">
        <f t="shared" si="115"/>
        <v>1104.56</v>
      </c>
      <c r="CQ145" s="2">
        <f t="shared" si="116"/>
        <v>0</v>
      </c>
      <c r="CR145" s="2">
        <f>(ROUND((ROUND((((ET145*0.8))*AV145*1),2)*BB145),2)+ROUND((ROUND(((AE145-((EU145*0.8)))*AV145*1),2)*BS145),2))</f>
        <v>23.24</v>
      </c>
      <c r="CS145" s="2">
        <f>(ROUND((ROUND((((EU145*0.8))*AV145*1),2)*BS145),2)+ROUND((ROUND(((AE145-((EU145*0.8)))*AV145*1),2)*BS145),2))</f>
        <v>11.41</v>
      </c>
      <c r="CT145" s="2">
        <f t="shared" si="117"/>
        <v>1758.28</v>
      </c>
      <c r="CU145" s="2">
        <f t="shared" si="118"/>
        <v>0</v>
      </c>
      <c r="CV145" s="2">
        <f t="shared" si="119"/>
        <v>2.7600000000000002</v>
      </c>
      <c r="CW145" s="2">
        <f t="shared" si="120"/>
        <v>0</v>
      </c>
      <c r="CX145" s="2">
        <f t="shared" si="121"/>
        <v>0</v>
      </c>
      <c r="CY145" s="2">
        <f>(ROUND((((S145+ROUND((ROUND((((EU145*0.8))*AV145*1),2)*BS145),2))*AT145)/100),2)+ROUND(((ROUND((ROUND(((AE145-((EU145*0.8)))*AV145*1),2)*BS145),2)*AT145)/100),2))</f>
        <v>1112.6600000000001</v>
      </c>
      <c r="CZ145" s="2">
        <f>(ROUND((((S145+ROUND((ROUND((((EU145*0.8))*AV145*1),2)*BS145),2))*AU145)/100),2)+ROUND(((ROUND((ROUND(((AE145-((EU145*0.8)))*AV145*1),2)*BS145),2)*AU145)/100),2))</f>
        <v>605.9</v>
      </c>
      <c r="DC145" s="2" t="s">
        <v>3</v>
      </c>
      <c r="DD145" s="2" t="s">
        <v>3</v>
      </c>
      <c r="DE145" s="2" t="s">
        <v>278</v>
      </c>
      <c r="DF145" s="2" t="s">
        <v>278</v>
      </c>
      <c r="DG145" s="2" t="s">
        <v>278</v>
      </c>
      <c r="DH145" s="2" t="s">
        <v>3</v>
      </c>
      <c r="DI145" s="2" t="s">
        <v>278</v>
      </c>
      <c r="DJ145" s="2" t="s">
        <v>278</v>
      </c>
      <c r="DK145" s="2" t="s">
        <v>3</v>
      </c>
      <c r="DL145" s="2" t="s">
        <v>3</v>
      </c>
      <c r="DM145" s="2" t="s">
        <v>3</v>
      </c>
      <c r="DN145" s="2">
        <v>0</v>
      </c>
      <c r="DO145" s="2">
        <v>0</v>
      </c>
      <c r="DP145" s="2">
        <v>1</v>
      </c>
      <c r="DQ145" s="2">
        <v>1</v>
      </c>
      <c r="DU145" s="2">
        <v>1005</v>
      </c>
      <c r="DV145" s="2" t="s">
        <v>32</v>
      </c>
      <c r="DW145" s="2" t="s">
        <v>32</v>
      </c>
      <c r="DX145" s="2">
        <v>100</v>
      </c>
      <c r="DZ145" s="2" t="s">
        <v>3</v>
      </c>
      <c r="EA145" s="2" t="s">
        <v>3</v>
      </c>
      <c r="EB145" s="2" t="s">
        <v>3</v>
      </c>
      <c r="EC145" s="2" t="s">
        <v>3</v>
      </c>
      <c r="EE145" s="2">
        <v>55896063</v>
      </c>
      <c r="EF145" s="2">
        <v>30</v>
      </c>
      <c r="EG145" s="2" t="s">
        <v>49</v>
      </c>
      <c r="EH145" s="2">
        <v>0</v>
      </c>
      <c r="EI145" s="2" t="s">
        <v>3</v>
      </c>
      <c r="EJ145" s="2">
        <v>1</v>
      </c>
      <c r="EK145" s="2">
        <v>15</v>
      </c>
      <c r="EL145" s="2" t="s">
        <v>137</v>
      </c>
      <c r="EM145" s="2" t="s">
        <v>138</v>
      </c>
      <c r="EO145" s="2" t="s">
        <v>279</v>
      </c>
      <c r="EQ145" s="2">
        <v>0</v>
      </c>
      <c r="ER145" s="2">
        <v>40.19</v>
      </c>
      <c r="ES145" s="2">
        <v>0</v>
      </c>
      <c r="ET145" s="2">
        <v>1.66</v>
      </c>
      <c r="EU145" s="2">
        <v>0.25</v>
      </c>
      <c r="EV145" s="2">
        <v>38.53</v>
      </c>
      <c r="EW145" s="2">
        <v>3.45</v>
      </c>
      <c r="EX145" s="2">
        <v>0</v>
      </c>
      <c r="EY145" s="2">
        <v>0</v>
      </c>
      <c r="FQ145" s="2">
        <v>0</v>
      </c>
      <c r="FR145" s="2">
        <v>0</v>
      </c>
      <c r="FS145" s="2">
        <v>0</v>
      </c>
      <c r="FX145" s="2">
        <v>101</v>
      </c>
      <c r="FY145" s="2">
        <v>55</v>
      </c>
      <c r="GA145" s="2" t="s">
        <v>3</v>
      </c>
      <c r="GD145" s="2">
        <v>1</v>
      </c>
      <c r="GF145" s="2">
        <v>212615476</v>
      </c>
      <c r="GG145" s="2">
        <v>2</v>
      </c>
      <c r="GH145" s="2">
        <v>1</v>
      </c>
      <c r="GI145" s="2">
        <v>2</v>
      </c>
      <c r="GJ145" s="2">
        <v>0</v>
      </c>
      <c r="GK145" s="2">
        <v>0</v>
      </c>
      <c r="GL145" s="2">
        <f t="shared" si="122"/>
        <v>0</v>
      </c>
      <c r="GM145" s="2">
        <f t="shared" si="123"/>
        <v>2816</v>
      </c>
      <c r="GN145" s="2">
        <f t="shared" si="124"/>
        <v>2816</v>
      </c>
      <c r="GO145" s="2">
        <f t="shared" si="125"/>
        <v>0</v>
      </c>
      <c r="GP145" s="2">
        <f t="shared" si="126"/>
        <v>0</v>
      </c>
      <c r="GR145" s="2">
        <v>0</v>
      </c>
      <c r="GS145" s="2">
        <v>3</v>
      </c>
      <c r="GT145" s="2">
        <v>0</v>
      </c>
      <c r="GU145" s="2" t="s">
        <v>3</v>
      </c>
      <c r="GV145" s="2">
        <f t="shared" si="127"/>
        <v>0</v>
      </c>
      <c r="GW145" s="2">
        <v>1</v>
      </c>
      <c r="GX145" s="2">
        <f t="shared" si="128"/>
        <v>0</v>
      </c>
      <c r="HA145" s="2">
        <v>0</v>
      </c>
      <c r="HB145" s="2">
        <v>0</v>
      </c>
      <c r="HC145" s="2">
        <f t="shared" si="129"/>
        <v>0</v>
      </c>
      <c r="HE145" s="2" t="s">
        <v>3</v>
      </c>
      <c r="HF145" s="2" t="s">
        <v>3</v>
      </c>
      <c r="HM145" s="2" t="s">
        <v>3</v>
      </c>
      <c r="HN145" s="2" t="s">
        <v>3</v>
      </c>
      <c r="HO145" s="2" t="s">
        <v>3</v>
      </c>
      <c r="HP145" s="2" t="s">
        <v>3</v>
      </c>
      <c r="HQ145" s="2" t="s">
        <v>3</v>
      </c>
      <c r="HS145" s="2">
        <v>0</v>
      </c>
      <c r="IK145" s="2">
        <v>0</v>
      </c>
    </row>
    <row r="147" spans="1:245" x14ac:dyDescent="0.2">
      <c r="A147" s="9">
        <v>51</v>
      </c>
      <c r="B147" s="9">
        <f>B127</f>
        <v>1</v>
      </c>
      <c r="C147" s="9">
        <f>A127</f>
        <v>5</v>
      </c>
      <c r="D147" s="9">
        <f>ROW(A127)</f>
        <v>127</v>
      </c>
      <c r="E147" s="9"/>
      <c r="F147" s="9" t="str">
        <f>IF(F127&lt;&gt;"",F127,"")</f>
        <v>Новый подраздел</v>
      </c>
      <c r="G147" s="9" t="str">
        <f>IF(G127&lt;&gt;"",G127,"")</f>
        <v>Стены</v>
      </c>
      <c r="H147" s="9">
        <v>0</v>
      </c>
      <c r="I147" s="9"/>
      <c r="J147" s="9"/>
      <c r="K147" s="9"/>
      <c r="L147" s="9"/>
      <c r="M147" s="9"/>
      <c r="N147" s="9"/>
      <c r="O147" s="9">
        <f t="shared" ref="O147:T147" si="134">ROUND(AB147,2)</f>
        <v>58146.12</v>
      </c>
      <c r="P147" s="9">
        <f t="shared" si="134"/>
        <v>6707.03</v>
      </c>
      <c r="Q147" s="9">
        <f t="shared" si="134"/>
        <v>110.06</v>
      </c>
      <c r="R147" s="9">
        <f t="shared" si="134"/>
        <v>53.06</v>
      </c>
      <c r="S147" s="9">
        <f t="shared" si="134"/>
        <v>51329.03</v>
      </c>
      <c r="T147" s="9">
        <f t="shared" si="134"/>
        <v>0</v>
      </c>
      <c r="U147" s="9">
        <f>AH147</f>
        <v>80.041288000000009</v>
      </c>
      <c r="V147" s="9">
        <f>AI147</f>
        <v>0</v>
      </c>
      <c r="W147" s="9">
        <f>ROUND(AJ147,2)</f>
        <v>0</v>
      </c>
      <c r="X147" s="9">
        <f>ROUND(AK147,2)</f>
        <v>46369.86</v>
      </c>
      <c r="Y147" s="9">
        <f>ROUND(AL147,2)</f>
        <v>22974.880000000001</v>
      </c>
      <c r="Z147" s="9"/>
      <c r="AA147" s="9"/>
      <c r="AB147" s="9">
        <f>ROUND(SUMIF(AA131:AA145,"=56793366",O131:O145),2)</f>
        <v>58146.12</v>
      </c>
      <c r="AC147" s="9">
        <f>ROUND(SUMIF(AA131:AA145,"=56793366",P131:P145),2)</f>
        <v>6707.03</v>
      </c>
      <c r="AD147" s="9">
        <f>ROUND(SUMIF(AA131:AA145,"=56793366",Q131:Q145),2)</f>
        <v>110.06</v>
      </c>
      <c r="AE147" s="9">
        <f>ROUND(SUMIF(AA131:AA145,"=56793366",R131:R145),2)</f>
        <v>53.06</v>
      </c>
      <c r="AF147" s="9">
        <f>ROUND(SUMIF(AA131:AA145,"=56793366",S131:S145),2)</f>
        <v>51329.03</v>
      </c>
      <c r="AG147" s="9">
        <f>ROUND(SUMIF(AA131:AA145,"=56793366",T131:T145),2)</f>
        <v>0</v>
      </c>
      <c r="AH147" s="9">
        <f>SUMIF(AA131:AA145,"=56793366",U131:U145)</f>
        <v>80.041288000000009</v>
      </c>
      <c r="AI147" s="9">
        <f>SUMIF(AA131:AA145,"=56793366",V131:V145)</f>
        <v>0</v>
      </c>
      <c r="AJ147" s="9">
        <f>ROUND(SUMIF(AA131:AA145,"=56793366",W131:W145),2)</f>
        <v>0</v>
      </c>
      <c r="AK147" s="9">
        <f>ROUND(SUMIF(AA131:AA145,"=56793366",X131:X145),2)</f>
        <v>46369.86</v>
      </c>
      <c r="AL147" s="9">
        <f>ROUND(SUMIF(AA131:AA145,"=56793366",Y131:Y145),2)</f>
        <v>22974.880000000001</v>
      </c>
      <c r="AM147" s="9"/>
      <c r="AN147" s="9"/>
      <c r="AO147" s="9">
        <f t="shared" ref="AO147:BD147" si="135">ROUND(BX147,2)</f>
        <v>0</v>
      </c>
      <c r="AP147" s="9">
        <f t="shared" si="135"/>
        <v>0</v>
      </c>
      <c r="AQ147" s="9">
        <f t="shared" si="135"/>
        <v>0</v>
      </c>
      <c r="AR147" s="9">
        <f t="shared" si="135"/>
        <v>127490.86</v>
      </c>
      <c r="AS147" s="9">
        <f t="shared" si="135"/>
        <v>127490.86</v>
      </c>
      <c r="AT147" s="9">
        <f t="shared" si="135"/>
        <v>0</v>
      </c>
      <c r="AU147" s="9">
        <f t="shared" si="135"/>
        <v>0</v>
      </c>
      <c r="AV147" s="9">
        <f t="shared" si="135"/>
        <v>6707.03</v>
      </c>
      <c r="AW147" s="9">
        <f t="shared" si="135"/>
        <v>6707.03</v>
      </c>
      <c r="AX147" s="9">
        <f t="shared" si="135"/>
        <v>0</v>
      </c>
      <c r="AY147" s="9">
        <f t="shared" si="135"/>
        <v>6707.03</v>
      </c>
      <c r="AZ147" s="9">
        <f t="shared" si="135"/>
        <v>0</v>
      </c>
      <c r="BA147" s="9">
        <f t="shared" si="135"/>
        <v>0</v>
      </c>
      <c r="BB147" s="9">
        <f t="shared" si="135"/>
        <v>0</v>
      </c>
      <c r="BC147" s="9">
        <f t="shared" si="135"/>
        <v>0</v>
      </c>
      <c r="BD147" s="9">
        <f t="shared" si="135"/>
        <v>0</v>
      </c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>
        <f>ROUND(SUMIF(AA131:AA145,"=56793366",FQ131:FQ145),2)</f>
        <v>0</v>
      </c>
      <c r="BY147" s="9">
        <f>ROUND(SUMIF(AA131:AA145,"=56793366",FR131:FR145),2)</f>
        <v>0</v>
      </c>
      <c r="BZ147" s="9">
        <f>ROUND(SUMIF(AA131:AA145,"=56793366",GL131:GL145),2)</f>
        <v>0</v>
      </c>
      <c r="CA147" s="9">
        <f>ROUND(SUMIF(AA131:AA145,"=56793366",GM131:GM145),2)</f>
        <v>127490.86</v>
      </c>
      <c r="CB147" s="9">
        <f>ROUND(SUMIF(AA131:AA145,"=56793366",GN131:GN145),2)</f>
        <v>127490.86</v>
      </c>
      <c r="CC147" s="9">
        <f>ROUND(SUMIF(AA131:AA145,"=56793366",GO131:GO145),2)</f>
        <v>0</v>
      </c>
      <c r="CD147" s="9">
        <f>ROUND(SUMIF(AA131:AA145,"=56793366",GP131:GP145),2)</f>
        <v>0</v>
      </c>
      <c r="CE147" s="9">
        <f>AC147-BX147</f>
        <v>6707.03</v>
      </c>
      <c r="CF147" s="9">
        <f>AC147-BY147</f>
        <v>6707.03</v>
      </c>
      <c r="CG147" s="9">
        <f>BX147-BZ147</f>
        <v>0</v>
      </c>
      <c r="CH147" s="9">
        <f>AC147-BX147-BY147+BZ147</f>
        <v>6707.03</v>
      </c>
      <c r="CI147" s="9">
        <f>BY147-BZ147</f>
        <v>0</v>
      </c>
      <c r="CJ147" s="9">
        <f>ROUND(SUMIF(AA131:AA145,"=56793366",GX131:GX145),2)</f>
        <v>0</v>
      </c>
      <c r="CK147" s="9">
        <f>ROUND(SUMIF(AA131:AA145,"=56793366",GY131:GY145),2)</f>
        <v>0</v>
      </c>
      <c r="CL147" s="9">
        <f>ROUND(SUMIF(AA131:AA145,"=56793366",GZ131:GZ145),2)</f>
        <v>0</v>
      </c>
      <c r="CM147" s="9">
        <f>ROUND(SUMIF(AA131:AA145,"=56793366",HD131:HD145),2)</f>
        <v>0</v>
      </c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>
        <v>0</v>
      </c>
    </row>
    <row r="149" spans="1:245" x14ac:dyDescent="0.2">
      <c r="A149" s="11">
        <v>50</v>
      </c>
      <c r="B149" s="11">
        <v>0</v>
      </c>
      <c r="C149" s="11">
        <v>0</v>
      </c>
      <c r="D149" s="11">
        <v>1</v>
      </c>
      <c r="E149" s="11">
        <v>201</v>
      </c>
      <c r="F149" s="11">
        <f>ROUND(Source!O147,O149)</f>
        <v>58146.12</v>
      </c>
      <c r="G149" s="11" t="s">
        <v>61</v>
      </c>
      <c r="H149" s="11" t="s">
        <v>62</v>
      </c>
      <c r="I149" s="11"/>
      <c r="J149" s="11"/>
      <c r="K149" s="11">
        <v>-201</v>
      </c>
      <c r="L149" s="11">
        <v>1</v>
      </c>
      <c r="M149" s="11">
        <v>3</v>
      </c>
      <c r="N149" s="11" t="s">
        <v>3</v>
      </c>
      <c r="O149" s="11">
        <v>2</v>
      </c>
      <c r="P149" s="11"/>
      <c r="Q149" s="11"/>
      <c r="R149" s="11"/>
      <c r="S149" s="11"/>
      <c r="T149" s="11"/>
      <c r="U149" s="11"/>
      <c r="V149" s="11"/>
      <c r="W149" s="11">
        <v>58146.12</v>
      </c>
      <c r="X149" s="11">
        <v>1</v>
      </c>
      <c r="Y149" s="11">
        <v>58146.12</v>
      </c>
      <c r="Z149" s="11"/>
      <c r="AA149" s="11"/>
      <c r="AB149" s="11"/>
    </row>
    <row r="150" spans="1:245" x14ac:dyDescent="0.2">
      <c r="A150" s="11">
        <v>50</v>
      </c>
      <c r="B150" s="11">
        <v>0</v>
      </c>
      <c r="C150" s="11">
        <v>0</v>
      </c>
      <c r="D150" s="11">
        <v>1</v>
      </c>
      <c r="E150" s="11">
        <v>202</v>
      </c>
      <c r="F150" s="11">
        <f>ROUND(Source!P147,O150)</f>
        <v>6707.03</v>
      </c>
      <c r="G150" s="11" t="s">
        <v>63</v>
      </c>
      <c r="H150" s="11" t="s">
        <v>64</v>
      </c>
      <c r="I150" s="11"/>
      <c r="J150" s="11"/>
      <c r="K150" s="11">
        <v>-202</v>
      </c>
      <c r="L150" s="11">
        <v>2</v>
      </c>
      <c r="M150" s="11">
        <v>3</v>
      </c>
      <c r="N150" s="11" t="s">
        <v>3</v>
      </c>
      <c r="O150" s="11">
        <v>2</v>
      </c>
      <c r="P150" s="11"/>
      <c r="Q150" s="11"/>
      <c r="R150" s="11"/>
      <c r="S150" s="11"/>
      <c r="T150" s="11"/>
      <c r="U150" s="11"/>
      <c r="V150" s="11"/>
      <c r="W150" s="11">
        <v>6707.03</v>
      </c>
      <c r="X150" s="11">
        <v>1</v>
      </c>
      <c r="Y150" s="11">
        <v>6707.03</v>
      </c>
      <c r="Z150" s="11"/>
      <c r="AA150" s="11"/>
      <c r="AB150" s="11"/>
    </row>
    <row r="151" spans="1:245" x14ac:dyDescent="0.2">
      <c r="A151" s="11">
        <v>50</v>
      </c>
      <c r="B151" s="11">
        <v>0</v>
      </c>
      <c r="C151" s="11">
        <v>0</v>
      </c>
      <c r="D151" s="11">
        <v>1</v>
      </c>
      <c r="E151" s="11">
        <v>222</v>
      </c>
      <c r="F151" s="11">
        <f>ROUND(Source!AO147,O151)</f>
        <v>0</v>
      </c>
      <c r="G151" s="11" t="s">
        <v>65</v>
      </c>
      <c r="H151" s="11" t="s">
        <v>66</v>
      </c>
      <c r="I151" s="11"/>
      <c r="J151" s="11"/>
      <c r="K151" s="11">
        <v>-222</v>
      </c>
      <c r="L151" s="11">
        <v>3</v>
      </c>
      <c r="M151" s="11">
        <v>3</v>
      </c>
      <c r="N151" s="11" t="s">
        <v>3</v>
      </c>
      <c r="O151" s="11">
        <v>2</v>
      </c>
      <c r="P151" s="11"/>
      <c r="Q151" s="11"/>
      <c r="R151" s="11"/>
      <c r="S151" s="11"/>
      <c r="T151" s="11"/>
      <c r="U151" s="11"/>
      <c r="V151" s="11"/>
      <c r="W151" s="11">
        <v>0</v>
      </c>
      <c r="X151" s="11">
        <v>1</v>
      </c>
      <c r="Y151" s="11">
        <v>0</v>
      </c>
      <c r="Z151" s="11"/>
      <c r="AA151" s="11"/>
      <c r="AB151" s="11"/>
    </row>
    <row r="152" spans="1:245" x14ac:dyDescent="0.2">
      <c r="A152" s="11">
        <v>50</v>
      </c>
      <c r="B152" s="11">
        <v>0</v>
      </c>
      <c r="C152" s="11">
        <v>0</v>
      </c>
      <c r="D152" s="11">
        <v>1</v>
      </c>
      <c r="E152" s="11">
        <v>225</v>
      </c>
      <c r="F152" s="11">
        <f>ROUND(Source!AV147,O152)</f>
        <v>6707.03</v>
      </c>
      <c r="G152" s="11" t="s">
        <v>67</v>
      </c>
      <c r="H152" s="11" t="s">
        <v>68</v>
      </c>
      <c r="I152" s="11"/>
      <c r="J152" s="11"/>
      <c r="K152" s="11">
        <v>-225</v>
      </c>
      <c r="L152" s="11">
        <v>4</v>
      </c>
      <c r="M152" s="11">
        <v>3</v>
      </c>
      <c r="N152" s="11" t="s">
        <v>3</v>
      </c>
      <c r="O152" s="11">
        <v>2</v>
      </c>
      <c r="P152" s="11"/>
      <c r="Q152" s="11"/>
      <c r="R152" s="11"/>
      <c r="S152" s="11"/>
      <c r="T152" s="11"/>
      <c r="U152" s="11"/>
      <c r="V152" s="11"/>
      <c r="W152" s="11">
        <v>6707.03</v>
      </c>
      <c r="X152" s="11">
        <v>1</v>
      </c>
      <c r="Y152" s="11">
        <v>6707.03</v>
      </c>
      <c r="Z152" s="11"/>
      <c r="AA152" s="11"/>
      <c r="AB152" s="11"/>
    </row>
    <row r="153" spans="1:245" x14ac:dyDescent="0.2">
      <c r="A153" s="11">
        <v>50</v>
      </c>
      <c r="B153" s="11">
        <v>0</v>
      </c>
      <c r="C153" s="11">
        <v>0</v>
      </c>
      <c r="D153" s="11">
        <v>1</v>
      </c>
      <c r="E153" s="11">
        <v>226</v>
      </c>
      <c r="F153" s="11">
        <f>ROUND(Source!AW147,O153)</f>
        <v>6707.03</v>
      </c>
      <c r="G153" s="11" t="s">
        <v>69</v>
      </c>
      <c r="H153" s="11" t="s">
        <v>70</v>
      </c>
      <c r="I153" s="11"/>
      <c r="J153" s="11"/>
      <c r="K153" s="11">
        <v>-226</v>
      </c>
      <c r="L153" s="11">
        <v>5</v>
      </c>
      <c r="M153" s="11">
        <v>3</v>
      </c>
      <c r="N153" s="11" t="s">
        <v>3</v>
      </c>
      <c r="O153" s="11">
        <v>2</v>
      </c>
      <c r="P153" s="11"/>
      <c r="Q153" s="11"/>
      <c r="R153" s="11"/>
      <c r="S153" s="11"/>
      <c r="T153" s="11"/>
      <c r="U153" s="11"/>
      <c r="V153" s="11"/>
      <c r="W153" s="11">
        <v>6707.03</v>
      </c>
      <c r="X153" s="11">
        <v>1</v>
      </c>
      <c r="Y153" s="11">
        <v>6707.03</v>
      </c>
      <c r="Z153" s="11"/>
      <c r="AA153" s="11"/>
      <c r="AB153" s="11"/>
    </row>
    <row r="154" spans="1:245" x14ac:dyDescent="0.2">
      <c r="A154" s="11">
        <v>50</v>
      </c>
      <c r="B154" s="11">
        <v>0</v>
      </c>
      <c r="C154" s="11">
        <v>0</v>
      </c>
      <c r="D154" s="11">
        <v>1</v>
      </c>
      <c r="E154" s="11">
        <v>227</v>
      </c>
      <c r="F154" s="11">
        <f>ROUND(Source!AX147,O154)</f>
        <v>0</v>
      </c>
      <c r="G154" s="11" t="s">
        <v>71</v>
      </c>
      <c r="H154" s="11" t="s">
        <v>72</v>
      </c>
      <c r="I154" s="11"/>
      <c r="J154" s="11"/>
      <c r="K154" s="11">
        <v>-227</v>
      </c>
      <c r="L154" s="11">
        <v>6</v>
      </c>
      <c r="M154" s="11">
        <v>3</v>
      </c>
      <c r="N154" s="11" t="s">
        <v>3</v>
      </c>
      <c r="O154" s="11">
        <v>2</v>
      </c>
      <c r="P154" s="11"/>
      <c r="Q154" s="11"/>
      <c r="R154" s="11"/>
      <c r="S154" s="11"/>
      <c r="T154" s="11"/>
      <c r="U154" s="11"/>
      <c r="V154" s="11"/>
      <c r="W154" s="11">
        <v>0</v>
      </c>
      <c r="X154" s="11">
        <v>1</v>
      </c>
      <c r="Y154" s="11">
        <v>0</v>
      </c>
      <c r="Z154" s="11"/>
      <c r="AA154" s="11"/>
      <c r="AB154" s="11"/>
    </row>
    <row r="155" spans="1:245" x14ac:dyDescent="0.2">
      <c r="A155" s="11">
        <v>50</v>
      </c>
      <c r="B155" s="11">
        <v>0</v>
      </c>
      <c r="C155" s="11">
        <v>0</v>
      </c>
      <c r="D155" s="11">
        <v>1</v>
      </c>
      <c r="E155" s="11">
        <v>228</v>
      </c>
      <c r="F155" s="11">
        <f>ROUND(Source!AY147,O155)</f>
        <v>6707.03</v>
      </c>
      <c r="G155" s="11" t="s">
        <v>73</v>
      </c>
      <c r="H155" s="11" t="s">
        <v>74</v>
      </c>
      <c r="I155" s="11"/>
      <c r="J155" s="11"/>
      <c r="K155" s="11">
        <v>-228</v>
      </c>
      <c r="L155" s="11">
        <v>7</v>
      </c>
      <c r="M155" s="11">
        <v>3</v>
      </c>
      <c r="N155" s="11" t="s">
        <v>3</v>
      </c>
      <c r="O155" s="11">
        <v>2</v>
      </c>
      <c r="P155" s="11"/>
      <c r="Q155" s="11"/>
      <c r="R155" s="11"/>
      <c r="S155" s="11"/>
      <c r="T155" s="11"/>
      <c r="U155" s="11"/>
      <c r="V155" s="11"/>
      <c r="W155" s="11">
        <v>6707.03</v>
      </c>
      <c r="X155" s="11">
        <v>1</v>
      </c>
      <c r="Y155" s="11">
        <v>6707.03</v>
      </c>
      <c r="Z155" s="11"/>
      <c r="AA155" s="11"/>
      <c r="AB155" s="11"/>
    </row>
    <row r="156" spans="1:245" x14ac:dyDescent="0.2">
      <c r="A156" s="11">
        <v>50</v>
      </c>
      <c r="B156" s="11">
        <v>0</v>
      </c>
      <c r="C156" s="11">
        <v>0</v>
      </c>
      <c r="D156" s="11">
        <v>1</v>
      </c>
      <c r="E156" s="11">
        <v>216</v>
      </c>
      <c r="F156" s="11">
        <f>ROUND(Source!AP147,O156)</f>
        <v>0</v>
      </c>
      <c r="G156" s="11" t="s">
        <v>75</v>
      </c>
      <c r="H156" s="11" t="s">
        <v>76</v>
      </c>
      <c r="I156" s="11"/>
      <c r="J156" s="11"/>
      <c r="K156" s="11">
        <v>-216</v>
      </c>
      <c r="L156" s="11">
        <v>8</v>
      </c>
      <c r="M156" s="11">
        <v>3</v>
      </c>
      <c r="N156" s="11" t="s">
        <v>3</v>
      </c>
      <c r="O156" s="11">
        <v>2</v>
      </c>
      <c r="P156" s="11"/>
      <c r="Q156" s="11"/>
      <c r="R156" s="11"/>
      <c r="S156" s="11"/>
      <c r="T156" s="11"/>
      <c r="U156" s="11"/>
      <c r="V156" s="11"/>
      <c r="W156" s="11">
        <v>0</v>
      </c>
      <c r="X156" s="11">
        <v>1</v>
      </c>
      <c r="Y156" s="11">
        <v>0</v>
      </c>
      <c r="Z156" s="11"/>
      <c r="AA156" s="11"/>
      <c r="AB156" s="11"/>
    </row>
    <row r="157" spans="1:245" x14ac:dyDescent="0.2">
      <c r="A157" s="11">
        <v>50</v>
      </c>
      <c r="B157" s="11">
        <v>0</v>
      </c>
      <c r="C157" s="11">
        <v>0</v>
      </c>
      <c r="D157" s="11">
        <v>1</v>
      </c>
      <c r="E157" s="11">
        <v>223</v>
      </c>
      <c r="F157" s="11">
        <f>ROUND(Source!AQ147,O157)</f>
        <v>0</v>
      </c>
      <c r="G157" s="11" t="s">
        <v>77</v>
      </c>
      <c r="H157" s="11" t="s">
        <v>78</v>
      </c>
      <c r="I157" s="11"/>
      <c r="J157" s="11"/>
      <c r="K157" s="11">
        <v>-223</v>
      </c>
      <c r="L157" s="11">
        <v>9</v>
      </c>
      <c r="M157" s="11">
        <v>3</v>
      </c>
      <c r="N157" s="11" t="s">
        <v>3</v>
      </c>
      <c r="O157" s="11">
        <v>2</v>
      </c>
      <c r="P157" s="11"/>
      <c r="Q157" s="11"/>
      <c r="R157" s="11"/>
      <c r="S157" s="11"/>
      <c r="T157" s="11"/>
      <c r="U157" s="11"/>
      <c r="V157" s="11"/>
      <c r="W157" s="11">
        <v>0</v>
      </c>
      <c r="X157" s="11">
        <v>1</v>
      </c>
      <c r="Y157" s="11">
        <v>0</v>
      </c>
      <c r="Z157" s="11"/>
      <c r="AA157" s="11"/>
      <c r="AB157" s="11"/>
    </row>
    <row r="158" spans="1:245" x14ac:dyDescent="0.2">
      <c r="A158" s="11">
        <v>50</v>
      </c>
      <c r="B158" s="11">
        <v>0</v>
      </c>
      <c r="C158" s="11">
        <v>0</v>
      </c>
      <c r="D158" s="11">
        <v>1</v>
      </c>
      <c r="E158" s="11">
        <v>229</v>
      </c>
      <c r="F158" s="11">
        <f>ROUND(Source!AZ147,O158)</f>
        <v>0</v>
      </c>
      <c r="G158" s="11" t="s">
        <v>79</v>
      </c>
      <c r="H158" s="11" t="s">
        <v>80</v>
      </c>
      <c r="I158" s="11"/>
      <c r="J158" s="11"/>
      <c r="K158" s="11">
        <v>-229</v>
      </c>
      <c r="L158" s="11">
        <v>10</v>
      </c>
      <c r="M158" s="11">
        <v>3</v>
      </c>
      <c r="N158" s="11" t="s">
        <v>3</v>
      </c>
      <c r="O158" s="11">
        <v>2</v>
      </c>
      <c r="P158" s="11"/>
      <c r="Q158" s="11"/>
      <c r="R158" s="11"/>
      <c r="S158" s="11"/>
      <c r="T158" s="11"/>
      <c r="U158" s="11"/>
      <c r="V158" s="11"/>
      <c r="W158" s="11">
        <v>0</v>
      </c>
      <c r="X158" s="11">
        <v>1</v>
      </c>
      <c r="Y158" s="11">
        <v>0</v>
      </c>
      <c r="Z158" s="11"/>
      <c r="AA158" s="11"/>
      <c r="AB158" s="11"/>
    </row>
    <row r="159" spans="1:245" x14ac:dyDescent="0.2">
      <c r="A159" s="11">
        <v>50</v>
      </c>
      <c r="B159" s="11">
        <v>0</v>
      </c>
      <c r="C159" s="11">
        <v>0</v>
      </c>
      <c r="D159" s="11">
        <v>1</v>
      </c>
      <c r="E159" s="11">
        <v>203</v>
      </c>
      <c r="F159" s="11">
        <f>ROUND(Source!Q147,O159)</f>
        <v>110.06</v>
      </c>
      <c r="G159" s="11" t="s">
        <v>81</v>
      </c>
      <c r="H159" s="11" t="s">
        <v>82</v>
      </c>
      <c r="I159" s="11"/>
      <c r="J159" s="11"/>
      <c r="K159" s="11">
        <v>-203</v>
      </c>
      <c r="L159" s="11">
        <v>11</v>
      </c>
      <c r="M159" s="11">
        <v>3</v>
      </c>
      <c r="N159" s="11" t="s">
        <v>3</v>
      </c>
      <c r="O159" s="11">
        <v>2</v>
      </c>
      <c r="P159" s="11"/>
      <c r="Q159" s="11"/>
      <c r="R159" s="11"/>
      <c r="S159" s="11"/>
      <c r="T159" s="11"/>
      <c r="U159" s="11"/>
      <c r="V159" s="11"/>
      <c r="W159" s="11">
        <v>110.06</v>
      </c>
      <c r="X159" s="11">
        <v>1</v>
      </c>
      <c r="Y159" s="11">
        <v>110.06</v>
      </c>
      <c r="Z159" s="11"/>
      <c r="AA159" s="11"/>
      <c r="AB159" s="11"/>
    </row>
    <row r="160" spans="1:245" x14ac:dyDescent="0.2">
      <c r="A160" s="11">
        <v>50</v>
      </c>
      <c r="B160" s="11">
        <v>0</v>
      </c>
      <c r="C160" s="11">
        <v>0</v>
      </c>
      <c r="D160" s="11">
        <v>1</v>
      </c>
      <c r="E160" s="11">
        <v>231</v>
      </c>
      <c r="F160" s="11">
        <f>ROUND(Source!BB147,O160)</f>
        <v>0</v>
      </c>
      <c r="G160" s="11" t="s">
        <v>83</v>
      </c>
      <c r="H160" s="11" t="s">
        <v>84</v>
      </c>
      <c r="I160" s="11"/>
      <c r="J160" s="11"/>
      <c r="K160" s="11">
        <v>-231</v>
      </c>
      <c r="L160" s="11">
        <v>12</v>
      </c>
      <c r="M160" s="11">
        <v>3</v>
      </c>
      <c r="N160" s="11" t="s">
        <v>3</v>
      </c>
      <c r="O160" s="11">
        <v>2</v>
      </c>
      <c r="P160" s="11"/>
      <c r="Q160" s="11"/>
      <c r="R160" s="11"/>
      <c r="S160" s="11"/>
      <c r="T160" s="11"/>
      <c r="U160" s="11"/>
      <c r="V160" s="11"/>
      <c r="W160" s="11">
        <v>0</v>
      </c>
      <c r="X160" s="11">
        <v>1</v>
      </c>
      <c r="Y160" s="11">
        <v>0</v>
      </c>
      <c r="Z160" s="11"/>
      <c r="AA160" s="11"/>
      <c r="AB160" s="11"/>
    </row>
    <row r="161" spans="1:28" x14ac:dyDescent="0.2">
      <c r="A161" s="11">
        <v>50</v>
      </c>
      <c r="B161" s="11">
        <v>0</v>
      </c>
      <c r="C161" s="11">
        <v>0</v>
      </c>
      <c r="D161" s="11">
        <v>1</v>
      </c>
      <c r="E161" s="11">
        <v>204</v>
      </c>
      <c r="F161" s="11">
        <f>ROUND(Source!R147,O161)</f>
        <v>53.06</v>
      </c>
      <c r="G161" s="11" t="s">
        <v>85</v>
      </c>
      <c r="H161" s="11" t="s">
        <v>86</v>
      </c>
      <c r="I161" s="11"/>
      <c r="J161" s="11"/>
      <c r="K161" s="11">
        <v>-204</v>
      </c>
      <c r="L161" s="11">
        <v>13</v>
      </c>
      <c r="M161" s="11">
        <v>3</v>
      </c>
      <c r="N161" s="11" t="s">
        <v>3</v>
      </c>
      <c r="O161" s="11">
        <v>2</v>
      </c>
      <c r="P161" s="11"/>
      <c r="Q161" s="11"/>
      <c r="R161" s="11"/>
      <c r="S161" s="11"/>
      <c r="T161" s="11"/>
      <c r="U161" s="11"/>
      <c r="V161" s="11"/>
      <c r="W161" s="11">
        <v>53.06</v>
      </c>
      <c r="X161" s="11">
        <v>1</v>
      </c>
      <c r="Y161" s="11">
        <v>53.06</v>
      </c>
      <c r="Z161" s="11"/>
      <c r="AA161" s="11"/>
      <c r="AB161" s="11"/>
    </row>
    <row r="162" spans="1:28" x14ac:dyDescent="0.2">
      <c r="A162" s="11">
        <v>50</v>
      </c>
      <c r="B162" s="11">
        <v>0</v>
      </c>
      <c r="C162" s="11">
        <v>0</v>
      </c>
      <c r="D162" s="11">
        <v>1</v>
      </c>
      <c r="E162" s="11">
        <v>205</v>
      </c>
      <c r="F162" s="11">
        <f>ROUND(Source!S147,O162)</f>
        <v>51329.03</v>
      </c>
      <c r="G162" s="11" t="s">
        <v>87</v>
      </c>
      <c r="H162" s="11" t="s">
        <v>88</v>
      </c>
      <c r="I162" s="11"/>
      <c r="J162" s="11"/>
      <c r="K162" s="11">
        <v>-205</v>
      </c>
      <c r="L162" s="11">
        <v>14</v>
      </c>
      <c r="M162" s="11">
        <v>3</v>
      </c>
      <c r="N162" s="11" t="s">
        <v>3</v>
      </c>
      <c r="O162" s="11">
        <v>2</v>
      </c>
      <c r="P162" s="11"/>
      <c r="Q162" s="11"/>
      <c r="R162" s="11"/>
      <c r="S162" s="11"/>
      <c r="T162" s="11"/>
      <c r="U162" s="11"/>
      <c r="V162" s="11"/>
      <c r="W162" s="11">
        <v>51329.03</v>
      </c>
      <c r="X162" s="11">
        <v>1</v>
      </c>
      <c r="Y162" s="11">
        <v>51329.03</v>
      </c>
      <c r="Z162" s="11"/>
      <c r="AA162" s="11"/>
      <c r="AB162" s="11"/>
    </row>
    <row r="163" spans="1:28" x14ac:dyDescent="0.2">
      <c r="A163" s="11">
        <v>50</v>
      </c>
      <c r="B163" s="11">
        <v>0</v>
      </c>
      <c r="C163" s="11">
        <v>0</v>
      </c>
      <c r="D163" s="11">
        <v>1</v>
      </c>
      <c r="E163" s="11">
        <v>232</v>
      </c>
      <c r="F163" s="11">
        <f>ROUND(Source!BC147,O163)</f>
        <v>0</v>
      </c>
      <c r="G163" s="11" t="s">
        <v>89</v>
      </c>
      <c r="H163" s="11" t="s">
        <v>90</v>
      </c>
      <c r="I163" s="11"/>
      <c r="J163" s="11"/>
      <c r="K163" s="11">
        <v>-232</v>
      </c>
      <c r="L163" s="11">
        <v>15</v>
      </c>
      <c r="M163" s="11">
        <v>3</v>
      </c>
      <c r="N163" s="11" t="s">
        <v>3</v>
      </c>
      <c r="O163" s="11">
        <v>2</v>
      </c>
      <c r="P163" s="11"/>
      <c r="Q163" s="11"/>
      <c r="R163" s="11"/>
      <c r="S163" s="11"/>
      <c r="T163" s="11"/>
      <c r="U163" s="11"/>
      <c r="V163" s="11"/>
      <c r="W163" s="11">
        <v>0</v>
      </c>
      <c r="X163" s="11">
        <v>1</v>
      </c>
      <c r="Y163" s="11">
        <v>0</v>
      </c>
      <c r="Z163" s="11"/>
      <c r="AA163" s="11"/>
      <c r="AB163" s="11"/>
    </row>
    <row r="164" spans="1:28" x14ac:dyDescent="0.2">
      <c r="A164" s="11">
        <v>50</v>
      </c>
      <c r="B164" s="11">
        <v>0</v>
      </c>
      <c r="C164" s="11">
        <v>0</v>
      </c>
      <c r="D164" s="11">
        <v>1</v>
      </c>
      <c r="E164" s="11">
        <v>214</v>
      </c>
      <c r="F164" s="11">
        <f>ROUND(Source!AS147,O164)</f>
        <v>127490.86</v>
      </c>
      <c r="G164" s="11" t="s">
        <v>91</v>
      </c>
      <c r="H164" s="11" t="s">
        <v>92</v>
      </c>
      <c r="I164" s="11"/>
      <c r="J164" s="11"/>
      <c r="K164" s="11">
        <v>-214</v>
      </c>
      <c r="L164" s="11">
        <v>16</v>
      </c>
      <c r="M164" s="11">
        <v>3</v>
      </c>
      <c r="N164" s="11" t="s">
        <v>3</v>
      </c>
      <c r="O164" s="11">
        <v>2</v>
      </c>
      <c r="P164" s="11"/>
      <c r="Q164" s="11"/>
      <c r="R164" s="11"/>
      <c r="S164" s="11"/>
      <c r="T164" s="11"/>
      <c r="U164" s="11"/>
      <c r="V164" s="11"/>
      <c r="W164" s="11">
        <v>127490.86</v>
      </c>
      <c r="X164" s="11">
        <v>1</v>
      </c>
      <c r="Y164" s="11">
        <v>127490.86</v>
      </c>
      <c r="Z164" s="11"/>
      <c r="AA164" s="11"/>
      <c r="AB164" s="11"/>
    </row>
    <row r="165" spans="1:28" x14ac:dyDescent="0.2">
      <c r="A165" s="11">
        <v>50</v>
      </c>
      <c r="B165" s="11">
        <v>0</v>
      </c>
      <c r="C165" s="11">
        <v>0</v>
      </c>
      <c r="D165" s="11">
        <v>1</v>
      </c>
      <c r="E165" s="11">
        <v>215</v>
      </c>
      <c r="F165" s="11">
        <f>ROUND(Source!AT147,O165)</f>
        <v>0</v>
      </c>
      <c r="G165" s="11" t="s">
        <v>93</v>
      </c>
      <c r="H165" s="11" t="s">
        <v>94</v>
      </c>
      <c r="I165" s="11"/>
      <c r="J165" s="11"/>
      <c r="K165" s="11">
        <v>-215</v>
      </c>
      <c r="L165" s="11">
        <v>17</v>
      </c>
      <c r="M165" s="11">
        <v>3</v>
      </c>
      <c r="N165" s="11" t="s">
        <v>3</v>
      </c>
      <c r="O165" s="11">
        <v>2</v>
      </c>
      <c r="P165" s="11"/>
      <c r="Q165" s="11"/>
      <c r="R165" s="11"/>
      <c r="S165" s="11"/>
      <c r="T165" s="11"/>
      <c r="U165" s="11"/>
      <c r="V165" s="11"/>
      <c r="W165" s="11">
        <v>0</v>
      </c>
      <c r="X165" s="11">
        <v>1</v>
      </c>
      <c r="Y165" s="11">
        <v>0</v>
      </c>
      <c r="Z165" s="11"/>
      <c r="AA165" s="11"/>
      <c r="AB165" s="11"/>
    </row>
    <row r="166" spans="1:28" x14ac:dyDescent="0.2">
      <c r="A166" s="11">
        <v>50</v>
      </c>
      <c r="B166" s="11">
        <v>0</v>
      </c>
      <c r="C166" s="11">
        <v>0</v>
      </c>
      <c r="D166" s="11">
        <v>1</v>
      </c>
      <c r="E166" s="11">
        <v>217</v>
      </c>
      <c r="F166" s="11">
        <f>ROUND(Source!AU147,O166)</f>
        <v>0</v>
      </c>
      <c r="G166" s="11" t="s">
        <v>95</v>
      </c>
      <c r="H166" s="11" t="s">
        <v>96</v>
      </c>
      <c r="I166" s="11"/>
      <c r="J166" s="11"/>
      <c r="K166" s="11">
        <v>-217</v>
      </c>
      <c r="L166" s="11">
        <v>18</v>
      </c>
      <c r="M166" s="11">
        <v>3</v>
      </c>
      <c r="N166" s="11" t="s">
        <v>3</v>
      </c>
      <c r="O166" s="11">
        <v>2</v>
      </c>
      <c r="P166" s="11"/>
      <c r="Q166" s="11"/>
      <c r="R166" s="11"/>
      <c r="S166" s="11"/>
      <c r="T166" s="11"/>
      <c r="U166" s="11"/>
      <c r="V166" s="11"/>
      <c r="W166" s="11">
        <v>0</v>
      </c>
      <c r="X166" s="11">
        <v>1</v>
      </c>
      <c r="Y166" s="11">
        <v>0</v>
      </c>
      <c r="Z166" s="11"/>
      <c r="AA166" s="11"/>
      <c r="AB166" s="11"/>
    </row>
    <row r="167" spans="1:28" x14ac:dyDescent="0.2">
      <c r="A167" s="11">
        <v>50</v>
      </c>
      <c r="B167" s="11">
        <v>0</v>
      </c>
      <c r="C167" s="11">
        <v>0</v>
      </c>
      <c r="D167" s="11">
        <v>1</v>
      </c>
      <c r="E167" s="11">
        <v>230</v>
      </c>
      <c r="F167" s="11">
        <f>ROUND(Source!BA147,O167)</f>
        <v>0</v>
      </c>
      <c r="G167" s="11" t="s">
        <v>97</v>
      </c>
      <c r="H167" s="11" t="s">
        <v>98</v>
      </c>
      <c r="I167" s="11"/>
      <c r="J167" s="11"/>
      <c r="K167" s="11">
        <v>-230</v>
      </c>
      <c r="L167" s="11">
        <v>19</v>
      </c>
      <c r="M167" s="11">
        <v>3</v>
      </c>
      <c r="N167" s="11" t="s">
        <v>3</v>
      </c>
      <c r="O167" s="11">
        <v>2</v>
      </c>
      <c r="P167" s="11"/>
      <c r="Q167" s="11"/>
      <c r="R167" s="11"/>
      <c r="S167" s="11"/>
      <c r="T167" s="11"/>
      <c r="U167" s="11"/>
      <c r="V167" s="11"/>
      <c r="W167" s="11">
        <v>0</v>
      </c>
      <c r="X167" s="11">
        <v>1</v>
      </c>
      <c r="Y167" s="11">
        <v>0</v>
      </c>
      <c r="Z167" s="11"/>
      <c r="AA167" s="11"/>
      <c r="AB167" s="11"/>
    </row>
    <row r="168" spans="1:28" x14ac:dyDescent="0.2">
      <c r="A168" s="11">
        <v>50</v>
      </c>
      <c r="B168" s="11">
        <v>0</v>
      </c>
      <c r="C168" s="11">
        <v>0</v>
      </c>
      <c r="D168" s="11">
        <v>1</v>
      </c>
      <c r="E168" s="11">
        <v>206</v>
      </c>
      <c r="F168" s="11">
        <f>ROUND(Source!T147,O168)</f>
        <v>0</v>
      </c>
      <c r="G168" s="11" t="s">
        <v>99</v>
      </c>
      <c r="H168" s="11" t="s">
        <v>100</v>
      </c>
      <c r="I168" s="11"/>
      <c r="J168" s="11"/>
      <c r="K168" s="11">
        <v>-206</v>
      </c>
      <c r="L168" s="11">
        <v>20</v>
      </c>
      <c r="M168" s="11">
        <v>3</v>
      </c>
      <c r="N168" s="11" t="s">
        <v>3</v>
      </c>
      <c r="O168" s="11">
        <v>2</v>
      </c>
      <c r="P168" s="11"/>
      <c r="Q168" s="11"/>
      <c r="R168" s="11"/>
      <c r="S168" s="11"/>
      <c r="T168" s="11"/>
      <c r="U168" s="11"/>
      <c r="V168" s="11"/>
      <c r="W168" s="11">
        <v>0</v>
      </c>
      <c r="X168" s="11">
        <v>1</v>
      </c>
      <c r="Y168" s="11">
        <v>0</v>
      </c>
      <c r="Z168" s="11"/>
      <c r="AA168" s="11"/>
      <c r="AB168" s="11"/>
    </row>
    <row r="169" spans="1:28" x14ac:dyDescent="0.2">
      <c r="A169" s="11">
        <v>50</v>
      </c>
      <c r="B169" s="11">
        <v>0</v>
      </c>
      <c r="C169" s="11">
        <v>0</v>
      </c>
      <c r="D169" s="11">
        <v>1</v>
      </c>
      <c r="E169" s="11">
        <v>207</v>
      </c>
      <c r="F169" s="11">
        <f>Source!U147</f>
        <v>80.041288000000009</v>
      </c>
      <c r="G169" s="11" t="s">
        <v>101</v>
      </c>
      <c r="H169" s="11" t="s">
        <v>102</v>
      </c>
      <c r="I169" s="11"/>
      <c r="J169" s="11"/>
      <c r="K169" s="11">
        <v>-207</v>
      </c>
      <c r="L169" s="11">
        <v>21</v>
      </c>
      <c r="M169" s="11">
        <v>3</v>
      </c>
      <c r="N169" s="11" t="s">
        <v>3</v>
      </c>
      <c r="O169" s="11">
        <v>-1</v>
      </c>
      <c r="P169" s="11"/>
      <c r="Q169" s="11"/>
      <c r="R169" s="11"/>
      <c r="S169" s="11"/>
      <c r="T169" s="11"/>
      <c r="U169" s="11"/>
      <c r="V169" s="11"/>
      <c r="W169" s="11">
        <v>80.041288000000009</v>
      </c>
      <c r="X169" s="11">
        <v>1</v>
      </c>
      <c r="Y169" s="11">
        <v>80.041288000000009</v>
      </c>
      <c r="Z169" s="11"/>
      <c r="AA169" s="11"/>
      <c r="AB169" s="11"/>
    </row>
    <row r="170" spans="1:28" x14ac:dyDescent="0.2">
      <c r="A170" s="11">
        <v>50</v>
      </c>
      <c r="B170" s="11">
        <v>0</v>
      </c>
      <c r="C170" s="11">
        <v>0</v>
      </c>
      <c r="D170" s="11">
        <v>1</v>
      </c>
      <c r="E170" s="11">
        <v>208</v>
      </c>
      <c r="F170" s="11">
        <f>Source!V147</f>
        <v>0</v>
      </c>
      <c r="G170" s="11" t="s">
        <v>103</v>
      </c>
      <c r="H170" s="11" t="s">
        <v>104</v>
      </c>
      <c r="I170" s="11"/>
      <c r="J170" s="11"/>
      <c r="K170" s="11">
        <v>-208</v>
      </c>
      <c r="L170" s="11">
        <v>22</v>
      </c>
      <c r="M170" s="11">
        <v>3</v>
      </c>
      <c r="N170" s="11" t="s">
        <v>3</v>
      </c>
      <c r="O170" s="11">
        <v>-1</v>
      </c>
      <c r="P170" s="11"/>
      <c r="Q170" s="11"/>
      <c r="R170" s="11"/>
      <c r="S170" s="11"/>
      <c r="T170" s="11"/>
      <c r="U170" s="11"/>
      <c r="V170" s="11"/>
      <c r="W170" s="11">
        <v>0</v>
      </c>
      <c r="X170" s="11">
        <v>1</v>
      </c>
      <c r="Y170" s="11">
        <v>0</v>
      </c>
      <c r="Z170" s="11"/>
      <c r="AA170" s="11"/>
      <c r="AB170" s="11"/>
    </row>
    <row r="171" spans="1:28" x14ac:dyDescent="0.2">
      <c r="A171" s="11">
        <v>50</v>
      </c>
      <c r="B171" s="11">
        <v>0</v>
      </c>
      <c r="C171" s="11">
        <v>0</v>
      </c>
      <c r="D171" s="11">
        <v>1</v>
      </c>
      <c r="E171" s="11">
        <v>209</v>
      </c>
      <c r="F171" s="11">
        <f>ROUND(Source!W147,O171)</f>
        <v>0</v>
      </c>
      <c r="G171" s="11" t="s">
        <v>105</v>
      </c>
      <c r="H171" s="11" t="s">
        <v>106</v>
      </c>
      <c r="I171" s="11"/>
      <c r="J171" s="11"/>
      <c r="K171" s="11">
        <v>-209</v>
      </c>
      <c r="L171" s="11">
        <v>23</v>
      </c>
      <c r="M171" s="11">
        <v>3</v>
      </c>
      <c r="N171" s="11" t="s">
        <v>3</v>
      </c>
      <c r="O171" s="11">
        <v>2</v>
      </c>
      <c r="P171" s="11"/>
      <c r="Q171" s="11"/>
      <c r="R171" s="11"/>
      <c r="S171" s="11"/>
      <c r="T171" s="11"/>
      <c r="U171" s="11"/>
      <c r="V171" s="11"/>
      <c r="W171" s="11">
        <v>0</v>
      </c>
      <c r="X171" s="11">
        <v>1</v>
      </c>
      <c r="Y171" s="11">
        <v>0</v>
      </c>
      <c r="Z171" s="11"/>
      <c r="AA171" s="11"/>
      <c r="AB171" s="11"/>
    </row>
    <row r="172" spans="1:28" x14ac:dyDescent="0.2">
      <c r="A172" s="11">
        <v>50</v>
      </c>
      <c r="B172" s="11">
        <v>0</v>
      </c>
      <c r="C172" s="11">
        <v>0</v>
      </c>
      <c r="D172" s="11">
        <v>1</v>
      </c>
      <c r="E172" s="11">
        <v>233</v>
      </c>
      <c r="F172" s="11">
        <f>ROUND(Source!BD147,O172)</f>
        <v>0</v>
      </c>
      <c r="G172" s="11" t="s">
        <v>107</v>
      </c>
      <c r="H172" s="11" t="s">
        <v>108</v>
      </c>
      <c r="I172" s="11"/>
      <c r="J172" s="11"/>
      <c r="K172" s="11">
        <v>-233</v>
      </c>
      <c r="L172" s="11">
        <v>24</v>
      </c>
      <c r="M172" s="11">
        <v>3</v>
      </c>
      <c r="N172" s="11" t="s">
        <v>3</v>
      </c>
      <c r="O172" s="11">
        <v>2</v>
      </c>
      <c r="P172" s="11"/>
      <c r="Q172" s="11"/>
      <c r="R172" s="11"/>
      <c r="S172" s="11"/>
      <c r="T172" s="11"/>
      <c r="U172" s="11"/>
      <c r="V172" s="11"/>
      <c r="W172" s="11">
        <v>0</v>
      </c>
      <c r="X172" s="11">
        <v>1</v>
      </c>
      <c r="Y172" s="11">
        <v>0</v>
      </c>
      <c r="Z172" s="11"/>
      <c r="AA172" s="11"/>
      <c r="AB172" s="11"/>
    </row>
    <row r="173" spans="1:28" x14ac:dyDescent="0.2">
      <c r="A173" s="11">
        <v>50</v>
      </c>
      <c r="B173" s="11">
        <v>0</v>
      </c>
      <c r="C173" s="11">
        <v>0</v>
      </c>
      <c r="D173" s="11">
        <v>1</v>
      </c>
      <c r="E173" s="11">
        <v>210</v>
      </c>
      <c r="F173" s="11">
        <f>ROUND(Source!X147,O173)</f>
        <v>46369.86</v>
      </c>
      <c r="G173" s="11" t="s">
        <v>109</v>
      </c>
      <c r="H173" s="11" t="s">
        <v>110</v>
      </c>
      <c r="I173" s="11"/>
      <c r="J173" s="11"/>
      <c r="K173" s="11">
        <v>-210</v>
      </c>
      <c r="L173" s="11">
        <v>25</v>
      </c>
      <c r="M173" s="11">
        <v>3</v>
      </c>
      <c r="N173" s="11" t="s">
        <v>3</v>
      </c>
      <c r="O173" s="11">
        <v>2</v>
      </c>
      <c r="P173" s="11"/>
      <c r="Q173" s="11"/>
      <c r="R173" s="11"/>
      <c r="S173" s="11"/>
      <c r="T173" s="11"/>
      <c r="U173" s="11"/>
      <c r="V173" s="11"/>
      <c r="W173" s="11">
        <v>46369.86</v>
      </c>
      <c r="X173" s="11">
        <v>1</v>
      </c>
      <c r="Y173" s="11">
        <v>46369.86</v>
      </c>
      <c r="Z173" s="11"/>
      <c r="AA173" s="11"/>
      <c r="AB173" s="11"/>
    </row>
    <row r="174" spans="1:28" x14ac:dyDescent="0.2">
      <c r="A174" s="11">
        <v>50</v>
      </c>
      <c r="B174" s="11">
        <v>0</v>
      </c>
      <c r="C174" s="11">
        <v>0</v>
      </c>
      <c r="D174" s="11">
        <v>1</v>
      </c>
      <c r="E174" s="11">
        <v>211</v>
      </c>
      <c r="F174" s="11">
        <f>ROUND(Source!Y147,O174)</f>
        <v>22974.880000000001</v>
      </c>
      <c r="G174" s="11" t="s">
        <v>111</v>
      </c>
      <c r="H174" s="11" t="s">
        <v>112</v>
      </c>
      <c r="I174" s="11"/>
      <c r="J174" s="11"/>
      <c r="K174" s="11">
        <v>-211</v>
      </c>
      <c r="L174" s="11">
        <v>26</v>
      </c>
      <c r="M174" s="11">
        <v>3</v>
      </c>
      <c r="N174" s="11" t="s">
        <v>3</v>
      </c>
      <c r="O174" s="11">
        <v>2</v>
      </c>
      <c r="P174" s="11"/>
      <c r="Q174" s="11"/>
      <c r="R174" s="11"/>
      <c r="S174" s="11"/>
      <c r="T174" s="11"/>
      <c r="U174" s="11"/>
      <c r="V174" s="11"/>
      <c r="W174" s="11">
        <v>22974.880000000001</v>
      </c>
      <c r="X174" s="11">
        <v>1</v>
      </c>
      <c r="Y174" s="11">
        <v>22974.880000000001</v>
      </c>
      <c r="Z174" s="11"/>
      <c r="AA174" s="11"/>
      <c r="AB174" s="11"/>
    </row>
    <row r="175" spans="1:28" x14ac:dyDescent="0.2">
      <c r="A175" s="11">
        <v>50</v>
      </c>
      <c r="B175" s="11">
        <v>0</v>
      </c>
      <c r="C175" s="11">
        <v>0</v>
      </c>
      <c r="D175" s="11">
        <v>1</v>
      </c>
      <c r="E175" s="11">
        <v>224</v>
      </c>
      <c r="F175" s="11">
        <f>ROUND(Source!AR147,O175)</f>
        <v>127490.86</v>
      </c>
      <c r="G175" s="11" t="s">
        <v>113</v>
      </c>
      <c r="H175" s="11" t="s">
        <v>114</v>
      </c>
      <c r="I175" s="11"/>
      <c r="J175" s="11"/>
      <c r="K175" s="11">
        <v>-224</v>
      </c>
      <c r="L175" s="11">
        <v>27</v>
      </c>
      <c r="M175" s="11">
        <v>3</v>
      </c>
      <c r="N175" s="11" t="s">
        <v>3</v>
      </c>
      <c r="O175" s="11">
        <v>2</v>
      </c>
      <c r="P175" s="11"/>
      <c r="Q175" s="11"/>
      <c r="R175" s="11"/>
      <c r="S175" s="11"/>
      <c r="T175" s="11"/>
      <c r="U175" s="11"/>
      <c r="V175" s="11"/>
      <c r="W175" s="11">
        <v>127490.86</v>
      </c>
      <c r="X175" s="11">
        <v>1</v>
      </c>
      <c r="Y175" s="11">
        <v>127490.86</v>
      </c>
      <c r="Z175" s="11"/>
      <c r="AA175" s="11"/>
      <c r="AB175" s="11"/>
    </row>
    <row r="177" spans="1:245" x14ac:dyDescent="0.2">
      <c r="A177" s="8">
        <v>5</v>
      </c>
      <c r="B177" s="8">
        <v>1</v>
      </c>
      <c r="C177" s="8"/>
      <c r="D177" s="8">
        <f>ROW(A191)</f>
        <v>191</v>
      </c>
      <c r="E177" s="8"/>
      <c r="F177" s="8" t="s">
        <v>17</v>
      </c>
      <c r="G177" s="8" t="s">
        <v>280</v>
      </c>
      <c r="H177" s="8" t="s">
        <v>3</v>
      </c>
      <c r="I177" s="8">
        <v>0</v>
      </c>
      <c r="J177" s="8"/>
      <c r="K177" s="8">
        <v>0</v>
      </c>
      <c r="L177" s="8"/>
      <c r="M177" s="8" t="s">
        <v>3</v>
      </c>
      <c r="N177" s="8"/>
      <c r="O177" s="8"/>
      <c r="P177" s="8"/>
      <c r="Q177" s="8"/>
      <c r="R177" s="8"/>
      <c r="S177" s="8">
        <v>0</v>
      </c>
      <c r="T177" s="8"/>
      <c r="U177" s="8" t="s">
        <v>3</v>
      </c>
      <c r="V177" s="8">
        <v>0</v>
      </c>
      <c r="W177" s="8"/>
      <c r="X177" s="8"/>
      <c r="Y177" s="8"/>
      <c r="Z177" s="8"/>
      <c r="AA177" s="8"/>
      <c r="AB177" s="8" t="s">
        <v>3</v>
      </c>
      <c r="AC177" s="8" t="s">
        <v>3</v>
      </c>
      <c r="AD177" s="8" t="s">
        <v>3</v>
      </c>
      <c r="AE177" s="8" t="s">
        <v>3</v>
      </c>
      <c r="AF177" s="8" t="s">
        <v>3</v>
      </c>
      <c r="AG177" s="8" t="s">
        <v>3</v>
      </c>
      <c r="AH177" s="8"/>
      <c r="AI177" s="8"/>
      <c r="AJ177" s="8"/>
      <c r="AK177" s="8"/>
      <c r="AL177" s="8"/>
      <c r="AM177" s="8"/>
      <c r="AN177" s="8"/>
      <c r="AO177" s="8"/>
      <c r="AP177" s="8" t="s">
        <v>3</v>
      </c>
      <c r="AQ177" s="8" t="s">
        <v>3</v>
      </c>
      <c r="AR177" s="8" t="s">
        <v>3</v>
      </c>
      <c r="AS177" s="8"/>
      <c r="AT177" s="8"/>
      <c r="AU177" s="8"/>
      <c r="AV177" s="8"/>
      <c r="AW177" s="8"/>
      <c r="AX177" s="8"/>
      <c r="AY177" s="8"/>
      <c r="AZ177" s="8" t="s">
        <v>3</v>
      </c>
      <c r="BA177" s="8"/>
      <c r="BB177" s="8" t="s">
        <v>3</v>
      </c>
      <c r="BC177" s="8" t="s">
        <v>3</v>
      </c>
      <c r="BD177" s="8" t="s">
        <v>3</v>
      </c>
      <c r="BE177" s="8" t="s">
        <v>3</v>
      </c>
      <c r="BF177" s="8" t="s">
        <v>3</v>
      </c>
      <c r="BG177" s="8" t="s">
        <v>3</v>
      </c>
      <c r="BH177" s="8" t="s">
        <v>3</v>
      </c>
      <c r="BI177" s="8" t="s">
        <v>3</v>
      </c>
      <c r="BJ177" s="8" t="s">
        <v>3</v>
      </c>
      <c r="BK177" s="8" t="s">
        <v>3</v>
      </c>
      <c r="BL177" s="8" t="s">
        <v>3</v>
      </c>
      <c r="BM177" s="8" t="s">
        <v>3</v>
      </c>
      <c r="BN177" s="8" t="s">
        <v>3</v>
      </c>
      <c r="BO177" s="8" t="s">
        <v>3</v>
      </c>
      <c r="BP177" s="8" t="s">
        <v>3</v>
      </c>
      <c r="BQ177" s="8"/>
      <c r="BR177" s="8"/>
      <c r="BS177" s="8"/>
      <c r="BT177" s="8"/>
      <c r="BU177" s="8"/>
      <c r="BV177" s="8"/>
      <c r="BW177" s="8"/>
      <c r="BX177" s="8">
        <v>0</v>
      </c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>
        <v>0</v>
      </c>
    </row>
    <row r="179" spans="1:245" x14ac:dyDescent="0.2">
      <c r="A179" s="9">
        <v>52</v>
      </c>
      <c r="B179" s="9">
        <f t="shared" ref="B179:G179" si="136">B191</f>
        <v>1</v>
      </c>
      <c r="C179" s="9">
        <f t="shared" si="136"/>
        <v>5</v>
      </c>
      <c r="D179" s="9">
        <f t="shared" si="136"/>
        <v>177</v>
      </c>
      <c r="E179" s="9">
        <f t="shared" si="136"/>
        <v>0</v>
      </c>
      <c r="F179" s="9" t="str">
        <f t="shared" si="136"/>
        <v>Новый подраздел</v>
      </c>
      <c r="G179" s="9" t="str">
        <f t="shared" si="136"/>
        <v>Подраздел: Потолки</v>
      </c>
      <c r="H179" s="9"/>
      <c r="I179" s="9"/>
      <c r="J179" s="9"/>
      <c r="K179" s="9"/>
      <c r="L179" s="9"/>
      <c r="M179" s="9"/>
      <c r="N179" s="9"/>
      <c r="O179" s="9">
        <f t="shared" ref="O179:AT179" si="137">O191</f>
        <v>38689.46</v>
      </c>
      <c r="P179" s="9">
        <f t="shared" si="137"/>
        <v>21404.959999999999</v>
      </c>
      <c r="Q179" s="9">
        <f t="shared" si="137"/>
        <v>29.15</v>
      </c>
      <c r="R179" s="9">
        <f t="shared" si="137"/>
        <v>13.69</v>
      </c>
      <c r="S179" s="9">
        <f t="shared" si="137"/>
        <v>17255.349999999999</v>
      </c>
      <c r="T179" s="9">
        <f t="shared" si="137"/>
        <v>0</v>
      </c>
      <c r="U179" s="9">
        <f t="shared" si="137"/>
        <v>26.638500000000001</v>
      </c>
      <c r="V179" s="9">
        <f t="shared" si="137"/>
        <v>0</v>
      </c>
      <c r="W179" s="9">
        <f t="shared" si="137"/>
        <v>0</v>
      </c>
      <c r="X179" s="9">
        <f t="shared" si="137"/>
        <v>15498.69</v>
      </c>
      <c r="Y179" s="9">
        <f t="shared" si="137"/>
        <v>7279.13</v>
      </c>
      <c r="Z179" s="9">
        <f t="shared" si="137"/>
        <v>0</v>
      </c>
      <c r="AA179" s="9">
        <f t="shared" si="137"/>
        <v>0</v>
      </c>
      <c r="AB179" s="9">
        <f t="shared" si="137"/>
        <v>38689.46</v>
      </c>
      <c r="AC179" s="9">
        <f t="shared" si="137"/>
        <v>21404.959999999999</v>
      </c>
      <c r="AD179" s="9">
        <f t="shared" si="137"/>
        <v>29.15</v>
      </c>
      <c r="AE179" s="9">
        <f t="shared" si="137"/>
        <v>13.69</v>
      </c>
      <c r="AF179" s="9">
        <f t="shared" si="137"/>
        <v>17255.349999999999</v>
      </c>
      <c r="AG179" s="9">
        <f t="shared" si="137"/>
        <v>0</v>
      </c>
      <c r="AH179" s="9">
        <f t="shared" si="137"/>
        <v>26.638500000000001</v>
      </c>
      <c r="AI179" s="9">
        <f t="shared" si="137"/>
        <v>0</v>
      </c>
      <c r="AJ179" s="9">
        <f t="shared" si="137"/>
        <v>0</v>
      </c>
      <c r="AK179" s="9">
        <f t="shared" si="137"/>
        <v>15498.69</v>
      </c>
      <c r="AL179" s="9">
        <f t="shared" si="137"/>
        <v>7279.13</v>
      </c>
      <c r="AM179" s="9">
        <f t="shared" si="137"/>
        <v>0</v>
      </c>
      <c r="AN179" s="9">
        <f t="shared" si="137"/>
        <v>0</v>
      </c>
      <c r="AO179" s="9">
        <f t="shared" si="137"/>
        <v>0</v>
      </c>
      <c r="AP179" s="9">
        <f t="shared" si="137"/>
        <v>0</v>
      </c>
      <c r="AQ179" s="9">
        <f t="shared" si="137"/>
        <v>0</v>
      </c>
      <c r="AR179" s="9">
        <f t="shared" si="137"/>
        <v>61467.28</v>
      </c>
      <c r="AS179" s="9">
        <f t="shared" si="137"/>
        <v>61467.28</v>
      </c>
      <c r="AT179" s="9">
        <f t="shared" si="137"/>
        <v>0</v>
      </c>
      <c r="AU179" s="9">
        <f t="shared" ref="AU179:BZ179" si="138">AU191</f>
        <v>0</v>
      </c>
      <c r="AV179" s="9">
        <f t="shared" si="138"/>
        <v>21404.959999999999</v>
      </c>
      <c r="AW179" s="9">
        <f t="shared" si="138"/>
        <v>21404.959999999999</v>
      </c>
      <c r="AX179" s="9">
        <f t="shared" si="138"/>
        <v>0</v>
      </c>
      <c r="AY179" s="9">
        <f t="shared" si="138"/>
        <v>21404.959999999999</v>
      </c>
      <c r="AZ179" s="9">
        <f t="shared" si="138"/>
        <v>0</v>
      </c>
      <c r="BA179" s="9">
        <f t="shared" si="138"/>
        <v>0</v>
      </c>
      <c r="BB179" s="9">
        <f t="shared" si="138"/>
        <v>0</v>
      </c>
      <c r="BC179" s="9">
        <f t="shared" si="138"/>
        <v>0</v>
      </c>
      <c r="BD179" s="9">
        <f t="shared" si="138"/>
        <v>0</v>
      </c>
      <c r="BE179" s="9">
        <f t="shared" si="138"/>
        <v>0</v>
      </c>
      <c r="BF179" s="9">
        <f t="shared" si="138"/>
        <v>0</v>
      </c>
      <c r="BG179" s="9">
        <f t="shared" si="138"/>
        <v>0</v>
      </c>
      <c r="BH179" s="9">
        <f t="shared" si="138"/>
        <v>0</v>
      </c>
      <c r="BI179" s="9">
        <f t="shared" si="138"/>
        <v>0</v>
      </c>
      <c r="BJ179" s="9">
        <f t="shared" si="138"/>
        <v>0</v>
      </c>
      <c r="BK179" s="9">
        <f t="shared" si="138"/>
        <v>0</v>
      </c>
      <c r="BL179" s="9">
        <f t="shared" si="138"/>
        <v>0</v>
      </c>
      <c r="BM179" s="9">
        <f t="shared" si="138"/>
        <v>0</v>
      </c>
      <c r="BN179" s="9">
        <f t="shared" si="138"/>
        <v>0</v>
      </c>
      <c r="BO179" s="9">
        <f t="shared" si="138"/>
        <v>0</v>
      </c>
      <c r="BP179" s="9">
        <f t="shared" si="138"/>
        <v>0</v>
      </c>
      <c r="BQ179" s="9">
        <f t="shared" si="138"/>
        <v>0</v>
      </c>
      <c r="BR179" s="9">
        <f t="shared" si="138"/>
        <v>0</v>
      </c>
      <c r="BS179" s="9">
        <f t="shared" si="138"/>
        <v>0</v>
      </c>
      <c r="BT179" s="9">
        <f t="shared" si="138"/>
        <v>0</v>
      </c>
      <c r="BU179" s="9">
        <f t="shared" si="138"/>
        <v>0</v>
      </c>
      <c r="BV179" s="9">
        <f t="shared" si="138"/>
        <v>0</v>
      </c>
      <c r="BW179" s="9">
        <f t="shared" si="138"/>
        <v>0</v>
      </c>
      <c r="BX179" s="9">
        <f t="shared" si="138"/>
        <v>0</v>
      </c>
      <c r="BY179" s="9">
        <f t="shared" si="138"/>
        <v>0</v>
      </c>
      <c r="BZ179" s="9">
        <f t="shared" si="138"/>
        <v>0</v>
      </c>
      <c r="CA179" s="9">
        <f t="shared" ref="CA179:DF179" si="139">CA191</f>
        <v>61467.28</v>
      </c>
      <c r="CB179" s="9">
        <f t="shared" si="139"/>
        <v>61467.28</v>
      </c>
      <c r="CC179" s="9">
        <f t="shared" si="139"/>
        <v>0</v>
      </c>
      <c r="CD179" s="9">
        <f t="shared" si="139"/>
        <v>0</v>
      </c>
      <c r="CE179" s="9">
        <f t="shared" si="139"/>
        <v>21404.959999999999</v>
      </c>
      <c r="CF179" s="9">
        <f t="shared" si="139"/>
        <v>21404.959999999999</v>
      </c>
      <c r="CG179" s="9">
        <f t="shared" si="139"/>
        <v>0</v>
      </c>
      <c r="CH179" s="9">
        <f t="shared" si="139"/>
        <v>21404.959999999999</v>
      </c>
      <c r="CI179" s="9">
        <f t="shared" si="139"/>
        <v>0</v>
      </c>
      <c r="CJ179" s="9">
        <f t="shared" si="139"/>
        <v>0</v>
      </c>
      <c r="CK179" s="9">
        <f t="shared" si="139"/>
        <v>0</v>
      </c>
      <c r="CL179" s="9">
        <f t="shared" si="139"/>
        <v>0</v>
      </c>
      <c r="CM179" s="9">
        <f t="shared" si="139"/>
        <v>0</v>
      </c>
      <c r="CN179" s="9">
        <f t="shared" si="139"/>
        <v>0</v>
      </c>
      <c r="CO179" s="9">
        <f t="shared" si="139"/>
        <v>0</v>
      </c>
      <c r="CP179" s="9">
        <f t="shared" si="139"/>
        <v>0</v>
      </c>
      <c r="CQ179" s="9">
        <f t="shared" si="139"/>
        <v>0</v>
      </c>
      <c r="CR179" s="9">
        <f t="shared" si="139"/>
        <v>0</v>
      </c>
      <c r="CS179" s="9">
        <f t="shared" si="139"/>
        <v>0</v>
      </c>
      <c r="CT179" s="9">
        <f t="shared" si="139"/>
        <v>0</v>
      </c>
      <c r="CU179" s="9">
        <f t="shared" si="139"/>
        <v>0</v>
      </c>
      <c r="CV179" s="9">
        <f t="shared" si="139"/>
        <v>0</v>
      </c>
      <c r="CW179" s="9">
        <f t="shared" si="139"/>
        <v>0</v>
      </c>
      <c r="CX179" s="9">
        <f t="shared" si="139"/>
        <v>0</v>
      </c>
      <c r="CY179" s="9">
        <f t="shared" si="139"/>
        <v>0</v>
      </c>
      <c r="CZ179" s="9">
        <f t="shared" si="139"/>
        <v>0</v>
      </c>
      <c r="DA179" s="9">
        <f t="shared" si="139"/>
        <v>0</v>
      </c>
      <c r="DB179" s="9">
        <f t="shared" si="139"/>
        <v>0</v>
      </c>
      <c r="DC179" s="9">
        <f t="shared" si="139"/>
        <v>0</v>
      </c>
      <c r="DD179" s="9">
        <f t="shared" si="139"/>
        <v>0</v>
      </c>
      <c r="DE179" s="9">
        <f t="shared" si="139"/>
        <v>0</v>
      </c>
      <c r="DF179" s="9">
        <f t="shared" si="139"/>
        <v>0</v>
      </c>
      <c r="DG179" s="10">
        <f t="shared" ref="DG179:EL179" si="140">DG191</f>
        <v>0</v>
      </c>
      <c r="DH179" s="10">
        <f t="shared" si="140"/>
        <v>0</v>
      </c>
      <c r="DI179" s="10">
        <f t="shared" si="140"/>
        <v>0</v>
      </c>
      <c r="DJ179" s="10">
        <f t="shared" si="140"/>
        <v>0</v>
      </c>
      <c r="DK179" s="10">
        <f t="shared" si="140"/>
        <v>0</v>
      </c>
      <c r="DL179" s="10">
        <f t="shared" si="140"/>
        <v>0</v>
      </c>
      <c r="DM179" s="10">
        <f t="shared" si="140"/>
        <v>0</v>
      </c>
      <c r="DN179" s="10">
        <f t="shared" si="140"/>
        <v>0</v>
      </c>
      <c r="DO179" s="10">
        <f t="shared" si="140"/>
        <v>0</v>
      </c>
      <c r="DP179" s="10">
        <f t="shared" si="140"/>
        <v>0</v>
      </c>
      <c r="DQ179" s="10">
        <f t="shared" si="140"/>
        <v>0</v>
      </c>
      <c r="DR179" s="10">
        <f t="shared" si="140"/>
        <v>0</v>
      </c>
      <c r="DS179" s="10">
        <f t="shared" si="140"/>
        <v>0</v>
      </c>
      <c r="DT179" s="10">
        <f t="shared" si="140"/>
        <v>0</v>
      </c>
      <c r="DU179" s="10">
        <f t="shared" si="140"/>
        <v>0</v>
      </c>
      <c r="DV179" s="10">
        <f t="shared" si="140"/>
        <v>0</v>
      </c>
      <c r="DW179" s="10">
        <f t="shared" si="140"/>
        <v>0</v>
      </c>
      <c r="DX179" s="10">
        <f t="shared" si="140"/>
        <v>0</v>
      </c>
      <c r="DY179" s="10">
        <f t="shared" si="140"/>
        <v>0</v>
      </c>
      <c r="DZ179" s="10">
        <f t="shared" si="140"/>
        <v>0</v>
      </c>
      <c r="EA179" s="10">
        <f t="shared" si="140"/>
        <v>0</v>
      </c>
      <c r="EB179" s="10">
        <f t="shared" si="140"/>
        <v>0</v>
      </c>
      <c r="EC179" s="10">
        <f t="shared" si="140"/>
        <v>0</v>
      </c>
      <c r="ED179" s="10">
        <f t="shared" si="140"/>
        <v>0</v>
      </c>
      <c r="EE179" s="10">
        <f t="shared" si="140"/>
        <v>0</v>
      </c>
      <c r="EF179" s="10">
        <f t="shared" si="140"/>
        <v>0</v>
      </c>
      <c r="EG179" s="10">
        <f t="shared" si="140"/>
        <v>0</v>
      </c>
      <c r="EH179" s="10">
        <f t="shared" si="140"/>
        <v>0</v>
      </c>
      <c r="EI179" s="10">
        <f t="shared" si="140"/>
        <v>0</v>
      </c>
      <c r="EJ179" s="10">
        <f t="shared" si="140"/>
        <v>0</v>
      </c>
      <c r="EK179" s="10">
        <f t="shared" si="140"/>
        <v>0</v>
      </c>
      <c r="EL179" s="10">
        <f t="shared" si="140"/>
        <v>0</v>
      </c>
      <c r="EM179" s="10">
        <f t="shared" ref="EM179:FR179" si="141">EM191</f>
        <v>0</v>
      </c>
      <c r="EN179" s="10">
        <f t="shared" si="141"/>
        <v>0</v>
      </c>
      <c r="EO179" s="10">
        <f t="shared" si="141"/>
        <v>0</v>
      </c>
      <c r="EP179" s="10">
        <f t="shared" si="141"/>
        <v>0</v>
      </c>
      <c r="EQ179" s="10">
        <f t="shared" si="141"/>
        <v>0</v>
      </c>
      <c r="ER179" s="10">
        <f t="shared" si="141"/>
        <v>0</v>
      </c>
      <c r="ES179" s="10">
        <f t="shared" si="141"/>
        <v>0</v>
      </c>
      <c r="ET179" s="10">
        <f t="shared" si="141"/>
        <v>0</v>
      </c>
      <c r="EU179" s="10">
        <f t="shared" si="141"/>
        <v>0</v>
      </c>
      <c r="EV179" s="10">
        <f t="shared" si="141"/>
        <v>0</v>
      </c>
      <c r="EW179" s="10">
        <f t="shared" si="141"/>
        <v>0</v>
      </c>
      <c r="EX179" s="10">
        <f t="shared" si="141"/>
        <v>0</v>
      </c>
      <c r="EY179" s="10">
        <f t="shared" si="141"/>
        <v>0</v>
      </c>
      <c r="EZ179" s="10">
        <f t="shared" si="141"/>
        <v>0</v>
      </c>
      <c r="FA179" s="10">
        <f t="shared" si="141"/>
        <v>0</v>
      </c>
      <c r="FB179" s="10">
        <f t="shared" si="141"/>
        <v>0</v>
      </c>
      <c r="FC179" s="10">
        <f t="shared" si="141"/>
        <v>0</v>
      </c>
      <c r="FD179" s="10">
        <f t="shared" si="141"/>
        <v>0</v>
      </c>
      <c r="FE179" s="10">
        <f t="shared" si="141"/>
        <v>0</v>
      </c>
      <c r="FF179" s="10">
        <f t="shared" si="141"/>
        <v>0</v>
      </c>
      <c r="FG179" s="10">
        <f t="shared" si="141"/>
        <v>0</v>
      </c>
      <c r="FH179" s="10">
        <f t="shared" si="141"/>
        <v>0</v>
      </c>
      <c r="FI179" s="10">
        <f t="shared" si="141"/>
        <v>0</v>
      </c>
      <c r="FJ179" s="10">
        <f t="shared" si="141"/>
        <v>0</v>
      </c>
      <c r="FK179" s="10">
        <f t="shared" si="141"/>
        <v>0</v>
      </c>
      <c r="FL179" s="10">
        <f t="shared" si="141"/>
        <v>0</v>
      </c>
      <c r="FM179" s="10">
        <f t="shared" si="141"/>
        <v>0</v>
      </c>
      <c r="FN179" s="10">
        <f t="shared" si="141"/>
        <v>0</v>
      </c>
      <c r="FO179" s="10">
        <f t="shared" si="141"/>
        <v>0</v>
      </c>
      <c r="FP179" s="10">
        <f t="shared" si="141"/>
        <v>0</v>
      </c>
      <c r="FQ179" s="10">
        <f t="shared" si="141"/>
        <v>0</v>
      </c>
      <c r="FR179" s="10">
        <f t="shared" si="141"/>
        <v>0</v>
      </c>
      <c r="FS179" s="10">
        <f t="shared" ref="FS179:GX179" si="142">FS191</f>
        <v>0</v>
      </c>
      <c r="FT179" s="10">
        <f t="shared" si="142"/>
        <v>0</v>
      </c>
      <c r="FU179" s="10">
        <f t="shared" si="142"/>
        <v>0</v>
      </c>
      <c r="FV179" s="10">
        <f t="shared" si="142"/>
        <v>0</v>
      </c>
      <c r="FW179" s="10">
        <f t="shared" si="142"/>
        <v>0</v>
      </c>
      <c r="FX179" s="10">
        <f t="shared" si="142"/>
        <v>0</v>
      </c>
      <c r="FY179" s="10">
        <f t="shared" si="142"/>
        <v>0</v>
      </c>
      <c r="FZ179" s="10">
        <f t="shared" si="142"/>
        <v>0</v>
      </c>
      <c r="GA179" s="10">
        <f t="shared" si="142"/>
        <v>0</v>
      </c>
      <c r="GB179" s="10">
        <f t="shared" si="142"/>
        <v>0</v>
      </c>
      <c r="GC179" s="10">
        <f t="shared" si="142"/>
        <v>0</v>
      </c>
      <c r="GD179" s="10">
        <f t="shared" si="142"/>
        <v>0</v>
      </c>
      <c r="GE179" s="10">
        <f t="shared" si="142"/>
        <v>0</v>
      </c>
      <c r="GF179" s="10">
        <f t="shared" si="142"/>
        <v>0</v>
      </c>
      <c r="GG179" s="10">
        <f t="shared" si="142"/>
        <v>0</v>
      </c>
      <c r="GH179" s="10">
        <f t="shared" si="142"/>
        <v>0</v>
      </c>
      <c r="GI179" s="10">
        <f t="shared" si="142"/>
        <v>0</v>
      </c>
      <c r="GJ179" s="10">
        <f t="shared" si="142"/>
        <v>0</v>
      </c>
      <c r="GK179" s="10">
        <f t="shared" si="142"/>
        <v>0</v>
      </c>
      <c r="GL179" s="10">
        <f t="shared" si="142"/>
        <v>0</v>
      </c>
      <c r="GM179" s="10">
        <f t="shared" si="142"/>
        <v>0</v>
      </c>
      <c r="GN179" s="10">
        <f t="shared" si="142"/>
        <v>0</v>
      </c>
      <c r="GO179" s="10">
        <f t="shared" si="142"/>
        <v>0</v>
      </c>
      <c r="GP179" s="10">
        <f t="shared" si="142"/>
        <v>0</v>
      </c>
      <c r="GQ179" s="10">
        <f t="shared" si="142"/>
        <v>0</v>
      </c>
      <c r="GR179" s="10">
        <f t="shared" si="142"/>
        <v>0</v>
      </c>
      <c r="GS179" s="10">
        <f t="shared" si="142"/>
        <v>0</v>
      </c>
      <c r="GT179" s="10">
        <f t="shared" si="142"/>
        <v>0</v>
      </c>
      <c r="GU179" s="10">
        <f t="shared" si="142"/>
        <v>0</v>
      </c>
      <c r="GV179" s="10">
        <f t="shared" si="142"/>
        <v>0</v>
      </c>
      <c r="GW179" s="10">
        <f t="shared" si="142"/>
        <v>0</v>
      </c>
      <c r="GX179" s="10">
        <f t="shared" si="142"/>
        <v>0</v>
      </c>
    </row>
    <row r="181" spans="1:245" x14ac:dyDescent="0.2">
      <c r="A181" s="2">
        <v>17</v>
      </c>
      <c r="B181" s="2">
        <v>1</v>
      </c>
      <c r="C181" s="2">
        <f>ROW(SmtRes!A117)</f>
        <v>117</v>
      </c>
      <c r="D181" s="2">
        <f>ROW(EtalonRes!A117)</f>
        <v>117</v>
      </c>
      <c r="E181" s="2" t="s">
        <v>281</v>
      </c>
      <c r="F181" s="2" t="s">
        <v>282</v>
      </c>
      <c r="G181" s="2" t="s">
        <v>283</v>
      </c>
      <c r="H181" s="2" t="s">
        <v>284</v>
      </c>
      <c r="I181" s="2">
        <v>16.8</v>
      </c>
      <c r="J181" s="2">
        <v>0</v>
      </c>
      <c r="K181" s="2">
        <v>16.8</v>
      </c>
      <c r="O181" s="2">
        <f t="shared" ref="O181:O189" si="143">ROUND(CP181,2)</f>
        <v>6076.4</v>
      </c>
      <c r="P181" s="2">
        <f t="shared" ref="P181:P189" si="144">ROUND((ROUND((AC181*AW181*I181),2)*BC181),2)</f>
        <v>0</v>
      </c>
      <c r="Q181" s="2">
        <f>(ROUND((ROUND(((ET181)*AV181*I181),2)*BB181),2)+ROUND((ROUND(((AE181-(EU181))*AV181*I181),2)*BS181),2))</f>
        <v>0</v>
      </c>
      <c r="R181" s="2">
        <f>(ROUND((ROUND(((EU181)*AV181*I181),2)*BS181),2)+ROUND((ROUND(((AE181-(EU181))*AV181*I181),2)*BS181),2))</f>
        <v>0</v>
      </c>
      <c r="S181" s="2">
        <f t="shared" ref="S181:S189" si="145">ROUND((ROUND((AF181*AV181*I181),2)*BA181),2)</f>
        <v>6076.4</v>
      </c>
      <c r="T181" s="2">
        <f t="shared" ref="T181:T189" si="146">ROUND(CU181*I181,2)</f>
        <v>0</v>
      </c>
      <c r="U181" s="2">
        <f t="shared" ref="U181:U189" si="147">CV181*I181</f>
        <v>8.9040000000000017</v>
      </c>
      <c r="V181" s="2">
        <f t="shared" ref="V181:V189" si="148">CW181*I181</f>
        <v>0</v>
      </c>
      <c r="W181" s="2">
        <f t="shared" ref="W181:W189" si="149">ROUND(CX181*I181,2)</f>
        <v>0</v>
      </c>
      <c r="X181" s="2">
        <f>(ROUND((((S181+ROUND((ROUND(((EU181)*AV181*I181),2)*BS181),2))*AT181)/100),2)+ROUND(((ROUND((ROUND(((AE181-(EU181))*AV181*I181),2)*BS181),2)*AT181)/100),2))</f>
        <v>5468.76</v>
      </c>
      <c r="Y181" s="2">
        <f>(ROUND((((S181+ROUND((ROUND(((EU181)*AV181*I181),2)*BS181),2))*AU181)/100),2)+ROUND(((ROUND((ROUND(((AE181-(EU181))*AV181*I181),2)*BS181),2)*AU181)/100),2))</f>
        <v>2491.3200000000002</v>
      </c>
      <c r="AA181" s="2">
        <v>56793366</v>
      </c>
      <c r="AB181" s="2">
        <f t="shared" ref="AB181:AB189" si="150">ROUND((AC181+AD181+AF181),6)</f>
        <v>6.34</v>
      </c>
      <c r="AC181" s="2">
        <f>ROUND(((ES181*1)),6)</f>
        <v>0</v>
      </c>
      <c r="AD181" s="2">
        <f>ROUND((((ET181)-(EU181))+AE181),6)</f>
        <v>0</v>
      </c>
      <c r="AE181" s="2">
        <f t="shared" ref="AE181:AF185" si="151">ROUND((EU181),6)</f>
        <v>0</v>
      </c>
      <c r="AF181" s="2">
        <f t="shared" si="151"/>
        <v>6.34</v>
      </c>
      <c r="AG181" s="2">
        <f t="shared" ref="AG181:AG189" si="152">ROUND((AP181),6)</f>
        <v>0</v>
      </c>
      <c r="AH181" s="2">
        <f t="shared" ref="AH181:AI185" si="153">(EW181)</f>
        <v>0.53</v>
      </c>
      <c r="AI181" s="2">
        <f t="shared" si="153"/>
        <v>0</v>
      </c>
      <c r="AJ181" s="2">
        <f t="shared" ref="AJ181:AJ189" si="154">(AS181)</f>
        <v>0</v>
      </c>
      <c r="AK181" s="2">
        <v>6.34</v>
      </c>
      <c r="AL181" s="2">
        <v>0</v>
      </c>
      <c r="AM181" s="2">
        <v>0</v>
      </c>
      <c r="AN181" s="2">
        <v>0</v>
      </c>
      <c r="AO181" s="2">
        <v>6.34</v>
      </c>
      <c r="AP181" s="2">
        <v>0</v>
      </c>
      <c r="AQ181" s="2">
        <v>0.53</v>
      </c>
      <c r="AR181" s="2">
        <v>0</v>
      </c>
      <c r="AS181" s="2">
        <v>0</v>
      </c>
      <c r="AT181" s="2">
        <v>90</v>
      </c>
      <c r="AU181" s="2">
        <v>41</v>
      </c>
      <c r="AV181" s="2">
        <v>1</v>
      </c>
      <c r="AW181" s="2">
        <v>1</v>
      </c>
      <c r="AZ181" s="2">
        <v>1</v>
      </c>
      <c r="BA181" s="2">
        <v>57.05</v>
      </c>
      <c r="BB181" s="2">
        <v>1</v>
      </c>
      <c r="BC181" s="2">
        <v>1</v>
      </c>
      <c r="BD181" s="2" t="s">
        <v>3</v>
      </c>
      <c r="BE181" s="2" t="s">
        <v>3</v>
      </c>
      <c r="BF181" s="2" t="s">
        <v>3</v>
      </c>
      <c r="BG181" s="2" t="s">
        <v>3</v>
      </c>
      <c r="BH181" s="2">
        <v>0</v>
      </c>
      <c r="BI181" s="2">
        <v>1</v>
      </c>
      <c r="BJ181" s="2" t="s">
        <v>285</v>
      </c>
      <c r="BM181" s="2">
        <v>119</v>
      </c>
      <c r="BN181" s="2">
        <v>0</v>
      </c>
      <c r="BO181" s="2" t="s">
        <v>282</v>
      </c>
      <c r="BP181" s="2">
        <v>1</v>
      </c>
      <c r="BQ181" s="2">
        <v>70</v>
      </c>
      <c r="BR181" s="2">
        <v>0</v>
      </c>
      <c r="BS181" s="2">
        <v>57.05</v>
      </c>
      <c r="BT181" s="2">
        <v>1</v>
      </c>
      <c r="BU181" s="2">
        <v>1</v>
      </c>
      <c r="BV181" s="2">
        <v>1</v>
      </c>
      <c r="BW181" s="2">
        <v>1</v>
      </c>
      <c r="BX181" s="2">
        <v>1</v>
      </c>
      <c r="BY181" s="2" t="s">
        <v>3</v>
      </c>
      <c r="BZ181" s="2">
        <v>90</v>
      </c>
      <c r="CA181" s="2">
        <v>41</v>
      </c>
      <c r="CB181" s="2" t="s">
        <v>3</v>
      </c>
      <c r="CE181" s="2">
        <v>1566</v>
      </c>
      <c r="CF181" s="2">
        <v>0</v>
      </c>
      <c r="CG181" s="2">
        <v>0</v>
      </c>
      <c r="CM181" s="2">
        <v>0</v>
      </c>
      <c r="CN181" s="2" t="s">
        <v>518</v>
      </c>
      <c r="CO181" s="2">
        <v>0</v>
      </c>
      <c r="CP181" s="2">
        <f t="shared" ref="CP181:CP189" si="155">(P181+Q181+S181)</f>
        <v>6076.4</v>
      </c>
      <c r="CQ181" s="2">
        <f t="shared" ref="CQ181:CQ189" si="156">ROUND((ROUND((AC181*AW181*1),2)*BC181),2)</f>
        <v>0</v>
      </c>
      <c r="CR181" s="2">
        <f>(ROUND((ROUND(((ET181)*AV181*1),2)*BB181),2)+ROUND((ROUND(((AE181-(EU181))*AV181*1),2)*BS181),2))</f>
        <v>0</v>
      </c>
      <c r="CS181" s="2">
        <f>(ROUND((ROUND(((EU181)*AV181*1),2)*BS181),2)+ROUND((ROUND(((AE181-(EU181))*AV181*1),2)*BS181),2))</f>
        <v>0</v>
      </c>
      <c r="CT181" s="2">
        <f t="shared" ref="CT181:CT189" si="157">ROUND((ROUND((AF181*AV181*1),2)*BA181),2)</f>
        <v>361.7</v>
      </c>
      <c r="CU181" s="2">
        <f t="shared" ref="CU181:CU189" si="158">AG181</f>
        <v>0</v>
      </c>
      <c r="CV181" s="2">
        <f t="shared" ref="CV181:CV189" si="159">(AH181*AV181)</f>
        <v>0.53</v>
      </c>
      <c r="CW181" s="2">
        <f t="shared" ref="CW181:CW189" si="160">AI181</f>
        <v>0</v>
      </c>
      <c r="CX181" s="2">
        <f t="shared" ref="CX181:CX189" si="161">AJ181</f>
        <v>0</v>
      </c>
      <c r="CY181" s="2">
        <f>(ROUND((((S181+ROUND((ROUND(((EU181)*AV181*1),2)*BS181),2))*AT181)/100),2)+ROUND(((ROUND((ROUND(((AE181-(EU181))*AV181*1),2)*BS181),2)*AT181)/100),2))</f>
        <v>5468.76</v>
      </c>
      <c r="CZ181" s="2">
        <f>(ROUND((((S181+ROUND((ROUND(((EU181)*AV181*1),2)*BS181),2))*AU181)/100),2)+ROUND(((ROUND((ROUND(((AE181-(EU181))*AV181*1),2)*BS181),2)*AU181)/100),2))</f>
        <v>2491.3200000000002</v>
      </c>
      <c r="DC181" s="2" t="s">
        <v>3</v>
      </c>
      <c r="DD181" s="2" t="s">
        <v>24</v>
      </c>
      <c r="DE181" s="2" t="s">
        <v>3</v>
      </c>
      <c r="DF181" s="2" t="s">
        <v>3</v>
      </c>
      <c r="DG181" s="2" t="s">
        <v>3</v>
      </c>
      <c r="DH181" s="2" t="s">
        <v>3</v>
      </c>
      <c r="DI181" s="2" t="s">
        <v>3</v>
      </c>
      <c r="DJ181" s="2" t="s">
        <v>3</v>
      </c>
      <c r="DK181" s="2" t="s">
        <v>3</v>
      </c>
      <c r="DL181" s="2" t="s">
        <v>3</v>
      </c>
      <c r="DM181" s="2" t="s">
        <v>3</v>
      </c>
      <c r="DN181" s="2">
        <v>0</v>
      </c>
      <c r="DO181" s="2">
        <v>0</v>
      </c>
      <c r="DP181" s="2">
        <v>1</v>
      </c>
      <c r="DQ181" s="2">
        <v>1</v>
      </c>
      <c r="DU181" s="2">
        <v>1013</v>
      </c>
      <c r="DV181" s="2" t="s">
        <v>284</v>
      </c>
      <c r="DW181" s="2" t="s">
        <v>284</v>
      </c>
      <c r="DX181" s="2">
        <v>1</v>
      </c>
      <c r="DZ181" s="2" t="s">
        <v>3</v>
      </c>
      <c r="EA181" s="2" t="s">
        <v>3</v>
      </c>
      <c r="EB181" s="2" t="s">
        <v>3</v>
      </c>
      <c r="EC181" s="2" t="s">
        <v>3</v>
      </c>
      <c r="EE181" s="2">
        <v>55896006</v>
      </c>
      <c r="EF181" s="2">
        <v>70</v>
      </c>
      <c r="EG181" s="2" t="s">
        <v>286</v>
      </c>
      <c r="EH181" s="2">
        <v>0</v>
      </c>
      <c r="EI181" s="2" t="s">
        <v>3</v>
      </c>
      <c r="EJ181" s="2">
        <v>1</v>
      </c>
      <c r="EK181" s="2">
        <v>119</v>
      </c>
      <c r="EL181" s="2" t="s">
        <v>287</v>
      </c>
      <c r="EM181" s="2" t="s">
        <v>288</v>
      </c>
      <c r="EO181" s="2" t="s">
        <v>28</v>
      </c>
      <c r="EQ181" s="2">
        <v>0</v>
      </c>
      <c r="ER181" s="2">
        <v>6.34</v>
      </c>
      <c r="ES181" s="2">
        <v>0</v>
      </c>
      <c r="ET181" s="2">
        <v>0</v>
      </c>
      <c r="EU181" s="2">
        <v>0</v>
      </c>
      <c r="EV181" s="2">
        <v>6.34</v>
      </c>
      <c r="EW181" s="2">
        <v>0.53</v>
      </c>
      <c r="EX181" s="2">
        <v>0</v>
      </c>
      <c r="EY181" s="2">
        <v>0</v>
      </c>
      <c r="FQ181" s="2">
        <v>0</v>
      </c>
      <c r="FR181" s="2">
        <v>0</v>
      </c>
      <c r="FS181" s="2">
        <v>0</v>
      </c>
      <c r="FX181" s="2">
        <v>90</v>
      </c>
      <c r="FY181" s="2">
        <v>41</v>
      </c>
      <c r="GA181" s="2" t="s">
        <v>3</v>
      </c>
      <c r="GD181" s="2">
        <v>1</v>
      </c>
      <c r="GF181" s="2">
        <v>1986801002</v>
      </c>
      <c r="GG181" s="2">
        <v>2</v>
      </c>
      <c r="GH181" s="2">
        <v>1</v>
      </c>
      <c r="GI181" s="2">
        <v>2</v>
      </c>
      <c r="GJ181" s="2">
        <v>0</v>
      </c>
      <c r="GK181" s="2">
        <v>0</v>
      </c>
      <c r="GL181" s="2">
        <f t="shared" ref="GL181:GL189" si="162">ROUND(IF(AND(BH181=3,BI181=3,FS181&lt;&gt;0),P181,0),2)</f>
        <v>0</v>
      </c>
      <c r="GM181" s="2">
        <f t="shared" ref="GM181:GM189" si="163">ROUND(O181+X181+Y181,2)+GX181</f>
        <v>14036.48</v>
      </c>
      <c r="GN181" s="2">
        <f t="shared" ref="GN181:GN189" si="164">IF(OR(BI181=0,BI181=1),GM181-GX181,0)</f>
        <v>14036.48</v>
      </c>
      <c r="GO181" s="2">
        <f t="shared" ref="GO181:GO189" si="165">IF(BI181=2,GM181-GX181,0)</f>
        <v>0</v>
      </c>
      <c r="GP181" s="2">
        <f t="shared" ref="GP181:GP189" si="166">IF(BI181=4,GM181-GX181,0)</f>
        <v>0</v>
      </c>
      <c r="GR181" s="2">
        <v>0</v>
      </c>
      <c r="GS181" s="2">
        <v>3</v>
      </c>
      <c r="GT181" s="2">
        <v>0</v>
      </c>
      <c r="GU181" s="2" t="s">
        <v>3</v>
      </c>
      <c r="GV181" s="2">
        <f t="shared" ref="GV181:GV189" si="167">ROUND((GT181),6)</f>
        <v>0</v>
      </c>
      <c r="GW181" s="2">
        <v>1</v>
      </c>
      <c r="GX181" s="2">
        <f t="shared" ref="GX181:GX189" si="168">ROUND(HC181*I181,2)</f>
        <v>0</v>
      </c>
      <c r="HA181" s="2">
        <v>0</v>
      </c>
      <c r="HB181" s="2">
        <v>0</v>
      </c>
      <c r="HC181" s="2">
        <f t="shared" ref="HC181:HC189" si="169">GV181*GW181</f>
        <v>0</v>
      </c>
      <c r="HE181" s="2" t="s">
        <v>3</v>
      </c>
      <c r="HF181" s="2" t="s">
        <v>3</v>
      </c>
      <c r="HM181" s="2" t="s">
        <v>3</v>
      </c>
      <c r="HN181" s="2" t="s">
        <v>3</v>
      </c>
      <c r="HO181" s="2" t="s">
        <v>3</v>
      </c>
      <c r="HP181" s="2" t="s">
        <v>3</v>
      </c>
      <c r="HQ181" s="2" t="s">
        <v>3</v>
      </c>
      <c r="HS181" s="2">
        <v>0</v>
      </c>
      <c r="IK181" s="2">
        <v>0</v>
      </c>
    </row>
    <row r="182" spans="1:245" x14ac:dyDescent="0.2">
      <c r="A182" s="2">
        <v>18</v>
      </c>
      <c r="B182" s="2">
        <v>1</v>
      </c>
      <c r="C182" s="2">
        <v>117</v>
      </c>
      <c r="E182" s="2" t="s">
        <v>289</v>
      </c>
      <c r="F182" s="2" t="s">
        <v>290</v>
      </c>
      <c r="G182" s="2" t="s">
        <v>524</v>
      </c>
      <c r="H182" s="2" t="s">
        <v>239</v>
      </c>
      <c r="I182" s="2">
        <f>I181*J182</f>
        <v>0.02</v>
      </c>
      <c r="J182" s="2">
        <v>1.1904761904761904E-3</v>
      </c>
      <c r="K182" s="2">
        <v>1.1904999999999999E-3</v>
      </c>
      <c r="O182" s="2">
        <f t="shared" si="143"/>
        <v>695.41</v>
      </c>
      <c r="P182" s="2">
        <f t="shared" si="144"/>
        <v>695.41</v>
      </c>
      <c r="Q182" s="2">
        <f>(ROUND((ROUND(((ET182)*AV182*I182),2)*BB182),2)+ROUND((ROUND(((AE182-(EU182))*AV182*I182),2)*BS182),2))</f>
        <v>0</v>
      </c>
      <c r="R182" s="2">
        <f>(ROUND((ROUND(((EU182)*AV182*I182),2)*BS182),2)+ROUND((ROUND(((AE182-(EU182))*AV182*I182),2)*BS182),2))</f>
        <v>0</v>
      </c>
      <c r="S182" s="2">
        <f t="shared" si="145"/>
        <v>0</v>
      </c>
      <c r="T182" s="2">
        <f t="shared" si="146"/>
        <v>0</v>
      </c>
      <c r="U182" s="2">
        <f t="shared" si="147"/>
        <v>0</v>
      </c>
      <c r="V182" s="2">
        <f t="shared" si="148"/>
        <v>0</v>
      </c>
      <c r="W182" s="2">
        <f t="shared" si="149"/>
        <v>0</v>
      </c>
      <c r="X182" s="2">
        <f>(ROUND((((S182+ROUND((ROUND(((EU182)*AV182*I182),2)*BS182),2))*AT182)/100),2)+ROUND(((ROUND((ROUND(((AE182-(EU182))*AV182*I182),2)*BS182),2)*AT182)/100),2))</f>
        <v>0</v>
      </c>
      <c r="Y182" s="2">
        <f>(ROUND((((S182+ROUND((ROUND(((EU182)*AV182*I182),2)*BS182),2))*AU182)/100),2)+ROUND(((ROUND((ROUND(((AE182-(EU182))*AV182*I182),2)*BS182),2)*AU182)/100),2))</f>
        <v>0</v>
      </c>
      <c r="AA182" s="2">
        <v>56793366</v>
      </c>
      <c r="AB182" s="2">
        <f t="shared" si="150"/>
        <v>9448.25</v>
      </c>
      <c r="AC182" s="2">
        <f>ROUND((ES182),6)</f>
        <v>9448.25</v>
      </c>
      <c r="AD182" s="2">
        <f>ROUND((((ET182)-(EU182))+AE182),6)</f>
        <v>0</v>
      </c>
      <c r="AE182" s="2">
        <f t="shared" si="151"/>
        <v>0</v>
      </c>
      <c r="AF182" s="2">
        <f t="shared" si="151"/>
        <v>0</v>
      </c>
      <c r="AG182" s="2">
        <f t="shared" si="152"/>
        <v>0</v>
      </c>
      <c r="AH182" s="2">
        <f t="shared" si="153"/>
        <v>0</v>
      </c>
      <c r="AI182" s="2">
        <f t="shared" si="153"/>
        <v>0</v>
      </c>
      <c r="AJ182" s="2">
        <f t="shared" si="154"/>
        <v>0</v>
      </c>
      <c r="AK182" s="2">
        <v>9448.25</v>
      </c>
      <c r="AL182" s="2">
        <v>9448.25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90</v>
      </c>
      <c r="AU182" s="2">
        <v>41</v>
      </c>
      <c r="AV182" s="2">
        <v>1</v>
      </c>
      <c r="AW182" s="2">
        <v>1</v>
      </c>
      <c r="AZ182" s="2">
        <v>1</v>
      </c>
      <c r="BA182" s="2">
        <v>1</v>
      </c>
      <c r="BB182" s="2">
        <v>1</v>
      </c>
      <c r="BC182" s="2">
        <v>3.68</v>
      </c>
      <c r="BD182" s="2" t="s">
        <v>3</v>
      </c>
      <c r="BE182" s="2" t="s">
        <v>3</v>
      </c>
      <c r="BF182" s="2" t="s">
        <v>3</v>
      </c>
      <c r="BG182" s="2" t="s">
        <v>3</v>
      </c>
      <c r="BH182" s="2">
        <v>3</v>
      </c>
      <c r="BI182" s="2">
        <v>1</v>
      </c>
      <c r="BJ182" s="2" t="s">
        <v>291</v>
      </c>
      <c r="BM182" s="2">
        <v>119</v>
      </c>
      <c r="BN182" s="2">
        <v>0</v>
      </c>
      <c r="BO182" s="2" t="s">
        <v>290</v>
      </c>
      <c r="BP182" s="2">
        <v>1</v>
      </c>
      <c r="BQ182" s="2">
        <v>70</v>
      </c>
      <c r="BR182" s="2">
        <v>0</v>
      </c>
      <c r="BS182" s="2">
        <v>1</v>
      </c>
      <c r="BT182" s="2">
        <v>1</v>
      </c>
      <c r="BU182" s="2">
        <v>1</v>
      </c>
      <c r="BV182" s="2">
        <v>1</v>
      </c>
      <c r="BW182" s="2">
        <v>1</v>
      </c>
      <c r="BX182" s="2">
        <v>1</v>
      </c>
      <c r="BY182" s="2" t="s">
        <v>3</v>
      </c>
      <c r="BZ182" s="2">
        <v>90</v>
      </c>
      <c r="CA182" s="2">
        <v>41</v>
      </c>
      <c r="CB182" s="2" t="s">
        <v>3</v>
      </c>
      <c r="CE182" s="2">
        <v>1566</v>
      </c>
      <c r="CF182" s="2">
        <v>0</v>
      </c>
      <c r="CG182" s="2">
        <v>0</v>
      </c>
      <c r="CM182" s="2">
        <v>0</v>
      </c>
      <c r="CN182" s="2" t="s">
        <v>3</v>
      </c>
      <c r="CO182" s="2">
        <v>0</v>
      </c>
      <c r="CP182" s="2">
        <f t="shared" si="155"/>
        <v>695.41</v>
      </c>
      <c r="CQ182" s="2">
        <f t="shared" si="156"/>
        <v>34769.56</v>
      </c>
      <c r="CR182" s="2">
        <f>(ROUND((ROUND(((ET182)*AV182*1),2)*BB182),2)+ROUND((ROUND(((AE182-(EU182))*AV182*1),2)*BS182),2))</f>
        <v>0</v>
      </c>
      <c r="CS182" s="2">
        <f>(ROUND((ROUND(((EU182)*AV182*1),2)*BS182),2)+ROUND((ROUND(((AE182-(EU182))*AV182*1),2)*BS182),2))</f>
        <v>0</v>
      </c>
      <c r="CT182" s="2">
        <f t="shared" si="157"/>
        <v>0</v>
      </c>
      <c r="CU182" s="2">
        <f t="shared" si="158"/>
        <v>0</v>
      </c>
      <c r="CV182" s="2">
        <f t="shared" si="159"/>
        <v>0</v>
      </c>
      <c r="CW182" s="2">
        <f t="shared" si="160"/>
        <v>0</v>
      </c>
      <c r="CX182" s="2">
        <f t="shared" si="161"/>
        <v>0</v>
      </c>
      <c r="CY182" s="2">
        <f>(ROUND((((S182+ROUND((ROUND(((EU182)*AV182*1),2)*BS182),2))*AT182)/100),2)+ROUND(((ROUND((ROUND(((AE182-(EU182))*AV182*1),2)*BS182),2)*AT182)/100),2))</f>
        <v>0</v>
      </c>
      <c r="CZ182" s="2">
        <f>(ROUND((((S182+ROUND((ROUND(((EU182)*AV182*1),2)*BS182),2))*AU182)/100),2)+ROUND(((ROUND((ROUND(((AE182-(EU182))*AV182*1),2)*BS182),2)*AU182)/100),2))</f>
        <v>0</v>
      </c>
      <c r="DC182" s="2" t="s">
        <v>3</v>
      </c>
      <c r="DD182" s="2" t="s">
        <v>3</v>
      </c>
      <c r="DE182" s="2" t="s">
        <v>3</v>
      </c>
      <c r="DF182" s="2" t="s">
        <v>3</v>
      </c>
      <c r="DG182" s="2" t="s">
        <v>3</v>
      </c>
      <c r="DH182" s="2" t="s">
        <v>3</v>
      </c>
      <c r="DI182" s="2" t="s">
        <v>3</v>
      </c>
      <c r="DJ182" s="2" t="s">
        <v>3</v>
      </c>
      <c r="DK182" s="2" t="s">
        <v>3</v>
      </c>
      <c r="DL182" s="2" t="s">
        <v>3</v>
      </c>
      <c r="DM182" s="2" t="s">
        <v>3</v>
      </c>
      <c r="DN182" s="2">
        <v>0</v>
      </c>
      <c r="DO182" s="2">
        <v>0</v>
      </c>
      <c r="DP182" s="2">
        <v>1</v>
      </c>
      <c r="DQ182" s="2">
        <v>1</v>
      </c>
      <c r="DU182" s="2">
        <v>1009</v>
      </c>
      <c r="DV182" s="2" t="s">
        <v>239</v>
      </c>
      <c r="DW182" s="2" t="s">
        <v>239</v>
      </c>
      <c r="DX182" s="2">
        <v>1000</v>
      </c>
      <c r="DZ182" s="2" t="s">
        <v>3</v>
      </c>
      <c r="EA182" s="2" t="s">
        <v>3</v>
      </c>
      <c r="EB182" s="2" t="s">
        <v>3</v>
      </c>
      <c r="EC182" s="2" t="s">
        <v>3</v>
      </c>
      <c r="EE182" s="2">
        <v>55896006</v>
      </c>
      <c r="EF182" s="2">
        <v>70</v>
      </c>
      <c r="EG182" s="2" t="s">
        <v>286</v>
      </c>
      <c r="EH182" s="2">
        <v>0</v>
      </c>
      <c r="EI182" s="2" t="s">
        <v>3</v>
      </c>
      <c r="EJ182" s="2">
        <v>1</v>
      </c>
      <c r="EK182" s="2">
        <v>119</v>
      </c>
      <c r="EL182" s="2" t="s">
        <v>287</v>
      </c>
      <c r="EM182" s="2" t="s">
        <v>288</v>
      </c>
      <c r="EO182" s="2" t="s">
        <v>3</v>
      </c>
      <c r="EQ182" s="2">
        <v>0</v>
      </c>
      <c r="ER182" s="2">
        <v>9448.25</v>
      </c>
      <c r="ES182" s="2">
        <v>9448.25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FQ182" s="2">
        <v>0</v>
      </c>
      <c r="FR182" s="2">
        <v>0</v>
      </c>
      <c r="FS182" s="2">
        <v>0</v>
      </c>
      <c r="FX182" s="2">
        <v>90</v>
      </c>
      <c r="FY182" s="2">
        <v>41</v>
      </c>
      <c r="GA182" s="2" t="s">
        <v>3</v>
      </c>
      <c r="GD182" s="2">
        <v>1</v>
      </c>
      <c r="GF182" s="2">
        <v>1487016038</v>
      </c>
      <c r="GG182" s="2">
        <v>2</v>
      </c>
      <c r="GH182" s="2">
        <v>1</v>
      </c>
      <c r="GI182" s="2">
        <v>2</v>
      </c>
      <c r="GJ182" s="2">
        <v>0</v>
      </c>
      <c r="GK182" s="2">
        <v>0</v>
      </c>
      <c r="GL182" s="2">
        <f t="shared" si="162"/>
        <v>0</v>
      </c>
      <c r="GM182" s="2">
        <f t="shared" si="163"/>
        <v>695.41</v>
      </c>
      <c r="GN182" s="2">
        <f t="shared" si="164"/>
        <v>695.41</v>
      </c>
      <c r="GO182" s="2">
        <f t="shared" si="165"/>
        <v>0</v>
      </c>
      <c r="GP182" s="2">
        <f t="shared" si="166"/>
        <v>0</v>
      </c>
      <c r="GR182" s="2">
        <v>0</v>
      </c>
      <c r="GS182" s="2">
        <v>3</v>
      </c>
      <c r="GT182" s="2">
        <v>0</v>
      </c>
      <c r="GU182" s="2" t="s">
        <v>3</v>
      </c>
      <c r="GV182" s="2">
        <f t="shared" si="167"/>
        <v>0</v>
      </c>
      <c r="GW182" s="2">
        <v>1</v>
      </c>
      <c r="GX182" s="2">
        <f t="shared" si="168"/>
        <v>0</v>
      </c>
      <c r="HA182" s="2">
        <v>0</v>
      </c>
      <c r="HB182" s="2">
        <v>0</v>
      </c>
      <c r="HC182" s="2">
        <f t="shared" si="169"/>
        <v>0</v>
      </c>
      <c r="HE182" s="2" t="s">
        <v>3</v>
      </c>
      <c r="HF182" s="2" t="s">
        <v>3</v>
      </c>
      <c r="HM182" s="2" t="s">
        <v>3</v>
      </c>
      <c r="HN182" s="2" t="s">
        <v>3</v>
      </c>
      <c r="HO182" s="2" t="s">
        <v>3</v>
      </c>
      <c r="HP182" s="2" t="s">
        <v>3</v>
      </c>
      <c r="HQ182" s="2" t="s">
        <v>3</v>
      </c>
      <c r="HS182" s="2">
        <v>0</v>
      </c>
      <c r="IK182" s="2">
        <v>0</v>
      </c>
    </row>
    <row r="183" spans="1:245" x14ac:dyDescent="0.2">
      <c r="A183" s="2">
        <v>17</v>
      </c>
      <c r="B183" s="2">
        <v>1</v>
      </c>
      <c r="C183" s="2">
        <f>ROW(SmtRes!A120)</f>
        <v>120</v>
      </c>
      <c r="D183" s="2">
        <f>ROW(EtalonRes!A119)</f>
        <v>119</v>
      </c>
      <c r="E183" s="2" t="s">
        <v>292</v>
      </c>
      <c r="F183" s="2" t="s">
        <v>293</v>
      </c>
      <c r="G183" s="2" t="s">
        <v>294</v>
      </c>
      <c r="H183" s="2" t="s">
        <v>32</v>
      </c>
      <c r="I183" s="2">
        <f>ROUND(16.8/100,9)</f>
        <v>0.16800000000000001</v>
      </c>
      <c r="J183" s="2">
        <v>0</v>
      </c>
      <c r="K183" s="2">
        <f>ROUND(16.8/100,9)</f>
        <v>0.16800000000000001</v>
      </c>
      <c r="O183" s="2">
        <f t="shared" si="143"/>
        <v>4344.93</v>
      </c>
      <c r="P183" s="2">
        <f t="shared" si="144"/>
        <v>0</v>
      </c>
      <c r="Q183" s="2">
        <f>(ROUND((ROUND(((ET183)*AV183*I183),2)*BB183),2)+ROUND((ROUND(((AE183-(EU183))*AV183*I183),2)*BS183),2))</f>
        <v>0</v>
      </c>
      <c r="R183" s="2">
        <f>(ROUND((ROUND(((EU183)*AV183*I183),2)*BS183),2)+ROUND((ROUND(((AE183-(EU183))*AV183*I183),2)*BS183),2))</f>
        <v>0</v>
      </c>
      <c r="S183" s="2">
        <f t="shared" si="145"/>
        <v>4344.93</v>
      </c>
      <c r="T183" s="2">
        <f t="shared" si="146"/>
        <v>0</v>
      </c>
      <c r="U183" s="2">
        <f t="shared" si="147"/>
        <v>7.1181599999999996</v>
      </c>
      <c r="V183" s="2">
        <f t="shared" si="148"/>
        <v>0</v>
      </c>
      <c r="W183" s="2">
        <f t="shared" si="149"/>
        <v>0</v>
      </c>
      <c r="X183" s="2">
        <f>(ROUND((((S183+ROUND((ROUND(((EU183)*AV183*I183),2)*BS183),2))*AT183)/100),2)+ROUND(((ROUND((ROUND(((AE183-(EU183))*AV183*I183),2)*BS183),2)*AT183)/100),2))</f>
        <v>3866.99</v>
      </c>
      <c r="Y183" s="2">
        <f>(ROUND((((S183+ROUND((ROUND(((EU183)*AV183*I183),2)*BS183),2))*AU183)/100),2)+ROUND(((ROUND((ROUND(((AE183-(EU183))*AV183*I183),2)*BS183),2)*AU183)/100),2))</f>
        <v>1911.77</v>
      </c>
      <c r="AA183" s="2">
        <v>56793366</v>
      </c>
      <c r="AB183" s="2">
        <f t="shared" si="150"/>
        <v>453.36</v>
      </c>
      <c r="AC183" s="2">
        <f>ROUND(((ES183*1)),6)</f>
        <v>0</v>
      </c>
      <c r="AD183" s="2">
        <f>ROUND((((ET183)-(EU183))+AE183),6)</f>
        <v>0</v>
      </c>
      <c r="AE183" s="2">
        <f t="shared" si="151"/>
        <v>0</v>
      </c>
      <c r="AF183" s="2">
        <f t="shared" si="151"/>
        <v>453.36</v>
      </c>
      <c r="AG183" s="2">
        <f t="shared" si="152"/>
        <v>0</v>
      </c>
      <c r="AH183" s="2">
        <f t="shared" si="153"/>
        <v>42.37</v>
      </c>
      <c r="AI183" s="2">
        <f t="shared" si="153"/>
        <v>0</v>
      </c>
      <c r="AJ183" s="2">
        <f t="shared" si="154"/>
        <v>0</v>
      </c>
      <c r="AK183" s="2">
        <v>453.36</v>
      </c>
      <c r="AL183" s="2">
        <v>0</v>
      </c>
      <c r="AM183" s="2">
        <v>0</v>
      </c>
      <c r="AN183" s="2">
        <v>0</v>
      </c>
      <c r="AO183" s="2">
        <v>453.36</v>
      </c>
      <c r="AP183" s="2">
        <v>0</v>
      </c>
      <c r="AQ183" s="2">
        <v>42.37</v>
      </c>
      <c r="AR183" s="2">
        <v>0</v>
      </c>
      <c r="AS183" s="2">
        <v>0</v>
      </c>
      <c r="AT183" s="2">
        <v>89</v>
      </c>
      <c r="AU183" s="2">
        <v>44</v>
      </c>
      <c r="AV183" s="2">
        <v>1</v>
      </c>
      <c r="AW183" s="2">
        <v>1</v>
      </c>
      <c r="AZ183" s="2">
        <v>1</v>
      </c>
      <c r="BA183" s="2">
        <v>57.05</v>
      </c>
      <c r="BB183" s="2">
        <v>1</v>
      </c>
      <c r="BC183" s="2">
        <v>1</v>
      </c>
      <c r="BD183" s="2" t="s">
        <v>3</v>
      </c>
      <c r="BE183" s="2" t="s">
        <v>3</v>
      </c>
      <c r="BF183" s="2" t="s">
        <v>3</v>
      </c>
      <c r="BG183" s="2" t="s">
        <v>3</v>
      </c>
      <c r="BH183" s="2">
        <v>0</v>
      </c>
      <c r="BI183" s="2">
        <v>1</v>
      </c>
      <c r="BJ183" s="2" t="s">
        <v>295</v>
      </c>
      <c r="BM183" s="2">
        <v>98</v>
      </c>
      <c r="BN183" s="2">
        <v>0</v>
      </c>
      <c r="BO183" s="2" t="s">
        <v>293</v>
      </c>
      <c r="BP183" s="2">
        <v>1</v>
      </c>
      <c r="BQ183" s="2">
        <v>60</v>
      </c>
      <c r="BR183" s="2">
        <v>0</v>
      </c>
      <c r="BS183" s="2">
        <v>57.05</v>
      </c>
      <c r="BT183" s="2">
        <v>1</v>
      </c>
      <c r="BU183" s="2">
        <v>1</v>
      </c>
      <c r="BV183" s="2">
        <v>1</v>
      </c>
      <c r="BW183" s="2">
        <v>1</v>
      </c>
      <c r="BX183" s="2">
        <v>1</v>
      </c>
      <c r="BY183" s="2" t="s">
        <v>3</v>
      </c>
      <c r="BZ183" s="2">
        <v>89</v>
      </c>
      <c r="CA183" s="2">
        <v>44</v>
      </c>
      <c r="CB183" s="2" t="s">
        <v>3</v>
      </c>
      <c r="CE183" s="2">
        <v>1566</v>
      </c>
      <c r="CF183" s="2">
        <v>0</v>
      </c>
      <c r="CG183" s="2">
        <v>0</v>
      </c>
      <c r="CM183" s="2">
        <v>0</v>
      </c>
      <c r="CN183" s="2" t="s">
        <v>518</v>
      </c>
      <c r="CO183" s="2">
        <v>0</v>
      </c>
      <c r="CP183" s="2">
        <f t="shared" si="155"/>
        <v>4344.93</v>
      </c>
      <c r="CQ183" s="2">
        <f t="shared" si="156"/>
        <v>0</v>
      </c>
      <c r="CR183" s="2">
        <f>(ROUND((ROUND(((ET183)*AV183*1),2)*BB183),2)+ROUND((ROUND(((AE183-(EU183))*AV183*1),2)*BS183),2))</f>
        <v>0</v>
      </c>
      <c r="CS183" s="2">
        <f>(ROUND((ROUND(((EU183)*AV183*1),2)*BS183),2)+ROUND((ROUND(((AE183-(EU183))*AV183*1),2)*BS183),2))</f>
        <v>0</v>
      </c>
      <c r="CT183" s="2">
        <f t="shared" si="157"/>
        <v>25864.19</v>
      </c>
      <c r="CU183" s="2">
        <f t="shared" si="158"/>
        <v>0</v>
      </c>
      <c r="CV183" s="2">
        <f t="shared" si="159"/>
        <v>42.37</v>
      </c>
      <c r="CW183" s="2">
        <f t="shared" si="160"/>
        <v>0</v>
      </c>
      <c r="CX183" s="2">
        <f t="shared" si="161"/>
        <v>0</v>
      </c>
      <c r="CY183" s="2">
        <f>(ROUND((((S183+ROUND((ROUND(((EU183)*AV183*1),2)*BS183),2))*AT183)/100),2)+ROUND(((ROUND((ROUND(((AE183-(EU183))*AV183*1),2)*BS183),2)*AT183)/100),2))</f>
        <v>3866.99</v>
      </c>
      <c r="CZ183" s="2">
        <f>(ROUND((((S183+ROUND((ROUND(((EU183)*AV183*1),2)*BS183),2))*AU183)/100),2)+ROUND(((ROUND((ROUND(((AE183-(EU183))*AV183*1),2)*BS183),2)*AU183)/100),2))</f>
        <v>1911.77</v>
      </c>
      <c r="DC183" s="2" t="s">
        <v>3</v>
      </c>
      <c r="DD183" s="2" t="s">
        <v>24</v>
      </c>
      <c r="DE183" s="2" t="s">
        <v>3</v>
      </c>
      <c r="DF183" s="2" t="s">
        <v>3</v>
      </c>
      <c r="DG183" s="2" t="s">
        <v>3</v>
      </c>
      <c r="DH183" s="2" t="s">
        <v>3</v>
      </c>
      <c r="DI183" s="2" t="s">
        <v>3</v>
      </c>
      <c r="DJ183" s="2" t="s">
        <v>3</v>
      </c>
      <c r="DK183" s="2" t="s">
        <v>3</v>
      </c>
      <c r="DL183" s="2" t="s">
        <v>3</v>
      </c>
      <c r="DM183" s="2" t="s">
        <v>3</v>
      </c>
      <c r="DN183" s="2">
        <v>0</v>
      </c>
      <c r="DO183" s="2">
        <v>0</v>
      </c>
      <c r="DP183" s="2">
        <v>1</v>
      </c>
      <c r="DQ183" s="2">
        <v>1</v>
      </c>
      <c r="DU183" s="2">
        <v>1005</v>
      </c>
      <c r="DV183" s="2" t="s">
        <v>32</v>
      </c>
      <c r="DW183" s="2" t="s">
        <v>32</v>
      </c>
      <c r="DX183" s="2">
        <v>100</v>
      </c>
      <c r="DZ183" s="2" t="s">
        <v>3</v>
      </c>
      <c r="EA183" s="2" t="s">
        <v>3</v>
      </c>
      <c r="EB183" s="2" t="s">
        <v>3</v>
      </c>
      <c r="EC183" s="2" t="s">
        <v>3</v>
      </c>
      <c r="EE183" s="2">
        <v>55896185</v>
      </c>
      <c r="EF183" s="2">
        <v>60</v>
      </c>
      <c r="EG183" s="2" t="s">
        <v>25</v>
      </c>
      <c r="EH183" s="2">
        <v>0</v>
      </c>
      <c r="EI183" s="2" t="s">
        <v>3</v>
      </c>
      <c r="EJ183" s="2">
        <v>1</v>
      </c>
      <c r="EK183" s="2">
        <v>98</v>
      </c>
      <c r="EL183" s="2" t="s">
        <v>224</v>
      </c>
      <c r="EM183" s="2" t="s">
        <v>225</v>
      </c>
      <c r="EO183" s="2" t="s">
        <v>28</v>
      </c>
      <c r="EQ183" s="2">
        <v>0</v>
      </c>
      <c r="ER183" s="2">
        <v>453.36</v>
      </c>
      <c r="ES183" s="2">
        <v>0</v>
      </c>
      <c r="ET183" s="2">
        <v>0</v>
      </c>
      <c r="EU183" s="2">
        <v>0</v>
      </c>
      <c r="EV183" s="2">
        <v>453.36</v>
      </c>
      <c r="EW183" s="2">
        <v>42.37</v>
      </c>
      <c r="EX183" s="2">
        <v>0</v>
      </c>
      <c r="EY183" s="2">
        <v>0</v>
      </c>
      <c r="FQ183" s="2">
        <v>0</v>
      </c>
      <c r="FR183" s="2">
        <v>0</v>
      </c>
      <c r="FS183" s="2">
        <v>0</v>
      </c>
      <c r="FX183" s="2">
        <v>89</v>
      </c>
      <c r="FY183" s="2">
        <v>44</v>
      </c>
      <c r="GA183" s="2" t="s">
        <v>3</v>
      </c>
      <c r="GD183" s="2">
        <v>1</v>
      </c>
      <c r="GF183" s="2">
        <v>-1657762004</v>
      </c>
      <c r="GG183" s="2">
        <v>2</v>
      </c>
      <c r="GH183" s="2">
        <v>1</v>
      </c>
      <c r="GI183" s="2">
        <v>2</v>
      </c>
      <c r="GJ183" s="2">
        <v>0</v>
      </c>
      <c r="GK183" s="2">
        <v>0</v>
      </c>
      <c r="GL183" s="2">
        <f t="shared" si="162"/>
        <v>0</v>
      </c>
      <c r="GM183" s="2">
        <f t="shared" si="163"/>
        <v>10123.69</v>
      </c>
      <c r="GN183" s="2">
        <f t="shared" si="164"/>
        <v>10123.69</v>
      </c>
      <c r="GO183" s="2">
        <f t="shared" si="165"/>
        <v>0</v>
      </c>
      <c r="GP183" s="2">
        <f t="shared" si="166"/>
        <v>0</v>
      </c>
      <c r="GR183" s="2">
        <v>0</v>
      </c>
      <c r="GS183" s="2">
        <v>3</v>
      </c>
      <c r="GT183" s="2">
        <v>0</v>
      </c>
      <c r="GU183" s="2" t="s">
        <v>3</v>
      </c>
      <c r="GV183" s="2">
        <f t="shared" si="167"/>
        <v>0</v>
      </c>
      <c r="GW183" s="2">
        <v>1</v>
      </c>
      <c r="GX183" s="2">
        <f t="shared" si="168"/>
        <v>0</v>
      </c>
      <c r="HA183" s="2">
        <v>0</v>
      </c>
      <c r="HB183" s="2">
        <v>0</v>
      </c>
      <c r="HC183" s="2">
        <f t="shared" si="169"/>
        <v>0</v>
      </c>
      <c r="HE183" s="2" t="s">
        <v>3</v>
      </c>
      <c r="HF183" s="2" t="s">
        <v>3</v>
      </c>
      <c r="HM183" s="2" t="s">
        <v>3</v>
      </c>
      <c r="HN183" s="2" t="s">
        <v>3</v>
      </c>
      <c r="HO183" s="2" t="s">
        <v>3</v>
      </c>
      <c r="HP183" s="2" t="s">
        <v>3</v>
      </c>
      <c r="HQ183" s="2" t="s">
        <v>3</v>
      </c>
      <c r="HS183" s="2">
        <v>0</v>
      </c>
      <c r="IK183" s="2">
        <v>0</v>
      </c>
    </row>
    <row r="184" spans="1:245" x14ac:dyDescent="0.2">
      <c r="A184" s="2">
        <v>18</v>
      </c>
      <c r="B184" s="2">
        <v>1</v>
      </c>
      <c r="C184" s="2">
        <v>120</v>
      </c>
      <c r="E184" s="2" t="s">
        <v>296</v>
      </c>
      <c r="F184" s="2" t="s">
        <v>297</v>
      </c>
      <c r="G184" s="2" t="s">
        <v>526</v>
      </c>
      <c r="H184" s="2" t="s">
        <v>239</v>
      </c>
      <c r="I184" s="2">
        <f>I183*J184</f>
        <v>0.33600000000000002</v>
      </c>
      <c r="J184" s="2">
        <v>2</v>
      </c>
      <c r="K184" s="2">
        <v>2</v>
      </c>
      <c r="O184" s="2">
        <f t="shared" si="143"/>
        <v>14945.24</v>
      </c>
      <c r="P184" s="2">
        <f t="shared" si="144"/>
        <v>14945.24</v>
      </c>
      <c r="Q184" s="2">
        <f>(ROUND((ROUND(((ET184)*AV184*I184),2)*BB184),2)+ROUND((ROUND(((AE184-(EU184))*AV184*I184),2)*BS184),2))</f>
        <v>0</v>
      </c>
      <c r="R184" s="2">
        <f>(ROUND((ROUND(((EU184)*AV184*I184),2)*BS184),2)+ROUND((ROUND(((AE184-(EU184))*AV184*I184),2)*BS184),2))</f>
        <v>0</v>
      </c>
      <c r="S184" s="2">
        <f t="shared" si="145"/>
        <v>0</v>
      </c>
      <c r="T184" s="2">
        <f t="shared" si="146"/>
        <v>0</v>
      </c>
      <c r="U184" s="2">
        <f t="shared" si="147"/>
        <v>0</v>
      </c>
      <c r="V184" s="2">
        <f t="shared" si="148"/>
        <v>0</v>
      </c>
      <c r="W184" s="2">
        <f t="shared" si="149"/>
        <v>0</v>
      </c>
      <c r="X184" s="2">
        <f>(ROUND((((S184+ROUND((ROUND(((EU184)*AV184*I184),2)*BS184),2))*AT184)/100),2)+ROUND(((ROUND((ROUND(((AE184-(EU184))*AV184*I184),2)*BS184),2)*AT184)/100),2))</f>
        <v>0</v>
      </c>
      <c r="Y184" s="2">
        <f>(ROUND((((S184+ROUND((ROUND(((EU184)*AV184*I184),2)*BS184),2))*AU184)/100),2)+ROUND(((ROUND((ROUND(((AE184-(EU184))*AV184*I184),2)*BS184),2)*AU184)/100),2))</f>
        <v>0</v>
      </c>
      <c r="AA184" s="2">
        <v>56793366</v>
      </c>
      <c r="AB184" s="2">
        <f t="shared" si="150"/>
        <v>18847.419999999998</v>
      </c>
      <c r="AC184" s="2">
        <f>ROUND((ES184),6)</f>
        <v>18847.419999999998</v>
      </c>
      <c r="AD184" s="2">
        <f>ROUND((((ET184)-(EU184))+AE184),6)</f>
        <v>0</v>
      </c>
      <c r="AE184" s="2">
        <f t="shared" si="151"/>
        <v>0</v>
      </c>
      <c r="AF184" s="2">
        <f t="shared" si="151"/>
        <v>0</v>
      </c>
      <c r="AG184" s="2">
        <f t="shared" si="152"/>
        <v>0</v>
      </c>
      <c r="AH184" s="2">
        <f t="shared" si="153"/>
        <v>0</v>
      </c>
      <c r="AI184" s="2">
        <f t="shared" si="153"/>
        <v>0</v>
      </c>
      <c r="AJ184" s="2">
        <f t="shared" si="154"/>
        <v>0</v>
      </c>
      <c r="AK184" s="2">
        <v>18847.419999999998</v>
      </c>
      <c r="AL184" s="2">
        <v>18847.419999999998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89</v>
      </c>
      <c r="AU184" s="2">
        <v>44</v>
      </c>
      <c r="AV184" s="2">
        <v>1</v>
      </c>
      <c r="AW184" s="2">
        <v>1</v>
      </c>
      <c r="AZ184" s="2">
        <v>1</v>
      </c>
      <c r="BA184" s="2">
        <v>1</v>
      </c>
      <c r="BB184" s="2">
        <v>1</v>
      </c>
      <c r="BC184" s="2">
        <v>2.36</v>
      </c>
      <c r="BD184" s="2" t="s">
        <v>3</v>
      </c>
      <c r="BE184" s="2" t="s">
        <v>3</v>
      </c>
      <c r="BF184" s="2" t="s">
        <v>3</v>
      </c>
      <c r="BG184" s="2" t="s">
        <v>3</v>
      </c>
      <c r="BH184" s="2">
        <v>3</v>
      </c>
      <c r="BI184" s="2">
        <v>1</v>
      </c>
      <c r="BJ184" s="2" t="s">
        <v>298</v>
      </c>
      <c r="BM184" s="2">
        <v>98</v>
      </c>
      <c r="BN184" s="2">
        <v>0</v>
      </c>
      <c r="BO184" s="2" t="s">
        <v>297</v>
      </c>
      <c r="BP184" s="2">
        <v>1</v>
      </c>
      <c r="BQ184" s="2">
        <v>60</v>
      </c>
      <c r="BR184" s="2">
        <v>0</v>
      </c>
      <c r="BS184" s="2">
        <v>1</v>
      </c>
      <c r="BT184" s="2">
        <v>1</v>
      </c>
      <c r="BU184" s="2">
        <v>1</v>
      </c>
      <c r="BV184" s="2">
        <v>1</v>
      </c>
      <c r="BW184" s="2">
        <v>1</v>
      </c>
      <c r="BX184" s="2">
        <v>1</v>
      </c>
      <c r="BY184" s="2" t="s">
        <v>3</v>
      </c>
      <c r="BZ184" s="2">
        <v>89</v>
      </c>
      <c r="CA184" s="2">
        <v>44</v>
      </c>
      <c r="CB184" s="2" t="s">
        <v>3</v>
      </c>
      <c r="CE184" s="2">
        <v>1566</v>
      </c>
      <c r="CF184" s="2">
        <v>0</v>
      </c>
      <c r="CG184" s="2">
        <v>0</v>
      </c>
      <c r="CM184" s="2">
        <v>0</v>
      </c>
      <c r="CN184" s="2" t="s">
        <v>520</v>
      </c>
      <c r="CO184" s="2">
        <v>0</v>
      </c>
      <c r="CP184" s="2">
        <f t="shared" si="155"/>
        <v>14945.24</v>
      </c>
      <c r="CQ184" s="2">
        <f t="shared" si="156"/>
        <v>44479.91</v>
      </c>
      <c r="CR184" s="2">
        <f>(ROUND((ROUND(((ET184)*AV184*1),2)*BB184),2)+ROUND((ROUND(((AE184-(EU184))*AV184*1),2)*BS184),2))</f>
        <v>0</v>
      </c>
      <c r="CS184" s="2">
        <f>(ROUND((ROUND(((EU184)*AV184*1),2)*BS184),2)+ROUND((ROUND(((AE184-(EU184))*AV184*1),2)*BS184),2))</f>
        <v>0</v>
      </c>
      <c r="CT184" s="2">
        <f t="shared" si="157"/>
        <v>0</v>
      </c>
      <c r="CU184" s="2">
        <f t="shared" si="158"/>
        <v>0</v>
      </c>
      <c r="CV184" s="2">
        <f t="shared" si="159"/>
        <v>0</v>
      </c>
      <c r="CW184" s="2">
        <f t="shared" si="160"/>
        <v>0</v>
      </c>
      <c r="CX184" s="2">
        <f t="shared" si="161"/>
        <v>0</v>
      </c>
      <c r="CY184" s="2">
        <f>(ROUND((((S184+ROUND((ROUND(((EU184)*AV184*1),2)*BS184),2))*AT184)/100),2)+ROUND(((ROUND((ROUND(((AE184-(EU184))*AV184*1),2)*BS184),2)*AT184)/100),2))</f>
        <v>0</v>
      </c>
      <c r="CZ184" s="2">
        <f>(ROUND((((S184+ROUND((ROUND(((EU184)*AV184*1),2)*BS184),2))*AU184)/100),2)+ROUND(((ROUND((ROUND(((AE184-(EU184))*AV184*1),2)*BS184),2)*AU184)/100),2))</f>
        <v>0</v>
      </c>
      <c r="DC184" s="2" t="s">
        <v>3</v>
      </c>
      <c r="DD184" s="2" t="s">
        <v>3</v>
      </c>
      <c r="DE184" s="2" t="s">
        <v>3</v>
      </c>
      <c r="DF184" s="2" t="s">
        <v>3</v>
      </c>
      <c r="DG184" s="2" t="s">
        <v>3</v>
      </c>
      <c r="DH184" s="2" t="s">
        <v>3</v>
      </c>
      <c r="DI184" s="2" t="s">
        <v>3</v>
      </c>
      <c r="DJ184" s="2" t="s">
        <v>3</v>
      </c>
      <c r="DK184" s="2" t="s">
        <v>3</v>
      </c>
      <c r="DL184" s="2" t="s">
        <v>3</v>
      </c>
      <c r="DM184" s="2" t="s">
        <v>3</v>
      </c>
      <c r="DN184" s="2">
        <v>0</v>
      </c>
      <c r="DO184" s="2">
        <v>0</v>
      </c>
      <c r="DP184" s="2">
        <v>1</v>
      </c>
      <c r="DQ184" s="2">
        <v>1</v>
      </c>
      <c r="DU184" s="2">
        <v>1009</v>
      </c>
      <c r="DV184" s="2" t="s">
        <v>239</v>
      </c>
      <c r="DW184" s="2" t="s">
        <v>239</v>
      </c>
      <c r="DX184" s="2">
        <v>1000</v>
      </c>
      <c r="DZ184" s="2" t="s">
        <v>3</v>
      </c>
      <c r="EA184" s="2" t="s">
        <v>3</v>
      </c>
      <c r="EB184" s="2" t="s">
        <v>3</v>
      </c>
      <c r="EC184" s="2" t="s">
        <v>3</v>
      </c>
      <c r="EE184" s="2">
        <v>55896185</v>
      </c>
      <c r="EF184" s="2">
        <v>60</v>
      </c>
      <c r="EG184" s="2" t="s">
        <v>25</v>
      </c>
      <c r="EH184" s="2">
        <v>0</v>
      </c>
      <c r="EI184" s="2" t="s">
        <v>3</v>
      </c>
      <c r="EJ184" s="2">
        <v>1</v>
      </c>
      <c r="EK184" s="2">
        <v>98</v>
      </c>
      <c r="EL184" s="2" t="s">
        <v>224</v>
      </c>
      <c r="EM184" s="2" t="s">
        <v>225</v>
      </c>
      <c r="EO184" s="2" t="s">
        <v>28</v>
      </c>
      <c r="EQ184" s="2">
        <v>0</v>
      </c>
      <c r="ER184" s="2">
        <v>18847.419999999998</v>
      </c>
      <c r="ES184" s="2">
        <v>18847.419999999998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FQ184" s="2">
        <v>0</v>
      </c>
      <c r="FR184" s="2">
        <v>0</v>
      </c>
      <c r="FS184" s="2">
        <v>0</v>
      </c>
      <c r="FX184" s="2">
        <v>89</v>
      </c>
      <c r="FY184" s="2">
        <v>44</v>
      </c>
      <c r="GA184" s="2" t="s">
        <v>3</v>
      </c>
      <c r="GD184" s="2">
        <v>1</v>
      </c>
      <c r="GF184" s="2">
        <v>-1987841773</v>
      </c>
      <c r="GG184" s="2">
        <v>2</v>
      </c>
      <c r="GH184" s="2">
        <v>1</v>
      </c>
      <c r="GI184" s="2">
        <v>2</v>
      </c>
      <c r="GJ184" s="2">
        <v>0</v>
      </c>
      <c r="GK184" s="2">
        <v>0</v>
      </c>
      <c r="GL184" s="2">
        <f t="shared" si="162"/>
        <v>0</v>
      </c>
      <c r="GM184" s="2">
        <f t="shared" si="163"/>
        <v>14945.24</v>
      </c>
      <c r="GN184" s="2">
        <f t="shared" si="164"/>
        <v>14945.24</v>
      </c>
      <c r="GO184" s="2">
        <f t="shared" si="165"/>
        <v>0</v>
      </c>
      <c r="GP184" s="2">
        <f t="shared" si="166"/>
        <v>0</v>
      </c>
      <c r="GR184" s="2">
        <v>0</v>
      </c>
      <c r="GS184" s="2">
        <v>3</v>
      </c>
      <c r="GT184" s="2">
        <v>0</v>
      </c>
      <c r="GU184" s="2" t="s">
        <v>3</v>
      </c>
      <c r="GV184" s="2">
        <f t="shared" si="167"/>
        <v>0</v>
      </c>
      <c r="GW184" s="2">
        <v>1</v>
      </c>
      <c r="GX184" s="2">
        <f t="shared" si="168"/>
        <v>0</v>
      </c>
      <c r="HA184" s="2">
        <v>0</v>
      </c>
      <c r="HB184" s="2">
        <v>0</v>
      </c>
      <c r="HC184" s="2">
        <f t="shared" si="169"/>
        <v>0</v>
      </c>
      <c r="HE184" s="2" t="s">
        <v>3</v>
      </c>
      <c r="HF184" s="2" t="s">
        <v>3</v>
      </c>
      <c r="HM184" s="2" t="s">
        <v>24</v>
      </c>
      <c r="HN184" s="2" t="s">
        <v>3</v>
      </c>
      <c r="HO184" s="2" t="s">
        <v>3</v>
      </c>
      <c r="HP184" s="2" t="s">
        <v>3</v>
      </c>
      <c r="HQ184" s="2" t="s">
        <v>3</v>
      </c>
      <c r="HS184" s="2">
        <v>0</v>
      </c>
      <c r="IK184" s="2">
        <v>0</v>
      </c>
    </row>
    <row r="185" spans="1:245" x14ac:dyDescent="0.2">
      <c r="A185" s="2">
        <v>18</v>
      </c>
      <c r="B185" s="2">
        <v>1</v>
      </c>
      <c r="C185" s="2">
        <v>119</v>
      </c>
      <c r="E185" s="2" t="s">
        <v>299</v>
      </c>
      <c r="F185" s="2" t="s">
        <v>300</v>
      </c>
      <c r="G185" s="2" t="s">
        <v>525</v>
      </c>
      <c r="H185" s="2" t="s">
        <v>146</v>
      </c>
      <c r="I185" s="2">
        <f>I183*J185</f>
        <v>2.016</v>
      </c>
      <c r="J185" s="2">
        <v>12</v>
      </c>
      <c r="K185" s="2">
        <v>12</v>
      </c>
      <c r="O185" s="2">
        <f t="shared" si="143"/>
        <v>536.49</v>
      </c>
      <c r="P185" s="2">
        <f t="shared" si="144"/>
        <v>536.49</v>
      </c>
      <c r="Q185" s="2">
        <f>(ROUND((ROUND(((ET185)*AV185*I185),2)*BB185),2)+ROUND((ROUND(((AE185-(EU185))*AV185*I185),2)*BS185),2))</f>
        <v>0</v>
      </c>
      <c r="R185" s="2">
        <f>(ROUND((ROUND(((EU185)*AV185*I185),2)*BS185),2)+ROUND((ROUND(((AE185-(EU185))*AV185*I185),2)*BS185),2))</f>
        <v>0</v>
      </c>
      <c r="S185" s="2">
        <f t="shared" si="145"/>
        <v>0</v>
      </c>
      <c r="T185" s="2">
        <f t="shared" si="146"/>
        <v>0</v>
      </c>
      <c r="U185" s="2">
        <f t="shared" si="147"/>
        <v>0</v>
      </c>
      <c r="V185" s="2">
        <f t="shared" si="148"/>
        <v>0</v>
      </c>
      <c r="W185" s="2">
        <f t="shared" si="149"/>
        <v>0</v>
      </c>
      <c r="X185" s="2">
        <f>(ROUND((((S185+ROUND((ROUND(((EU185)*AV185*I185),2)*BS185),2))*AT185)/100),2)+ROUND(((ROUND((ROUND(((AE185-(EU185))*AV185*I185),2)*BS185),2)*AT185)/100),2))</f>
        <v>0</v>
      </c>
      <c r="Y185" s="2">
        <f>(ROUND((((S185+ROUND((ROUND(((EU185)*AV185*I185),2)*BS185),2))*AU185)/100),2)+ROUND(((ROUND((ROUND(((AE185-(EU185))*AV185*I185),2)*BS185),2)*AU185)/100),2))</f>
        <v>0</v>
      </c>
      <c r="AA185" s="2">
        <v>56793366</v>
      </c>
      <c r="AB185" s="2">
        <f t="shared" si="150"/>
        <v>117.23</v>
      </c>
      <c r="AC185" s="2">
        <f>ROUND((ES185),6)</f>
        <v>117.23</v>
      </c>
      <c r="AD185" s="2">
        <f>ROUND((((ET185)-(EU185))+AE185),6)</f>
        <v>0</v>
      </c>
      <c r="AE185" s="2">
        <f t="shared" si="151"/>
        <v>0</v>
      </c>
      <c r="AF185" s="2">
        <f t="shared" si="151"/>
        <v>0</v>
      </c>
      <c r="AG185" s="2">
        <f t="shared" si="152"/>
        <v>0</v>
      </c>
      <c r="AH185" s="2">
        <f t="shared" si="153"/>
        <v>0</v>
      </c>
      <c r="AI185" s="2">
        <f t="shared" si="153"/>
        <v>0</v>
      </c>
      <c r="AJ185" s="2">
        <f t="shared" si="154"/>
        <v>0</v>
      </c>
      <c r="AK185" s="2">
        <v>117.23</v>
      </c>
      <c r="AL185" s="2">
        <v>117.23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89</v>
      </c>
      <c r="AU185" s="2">
        <v>44</v>
      </c>
      <c r="AV185" s="2">
        <v>1</v>
      </c>
      <c r="AW185" s="2">
        <v>1</v>
      </c>
      <c r="AZ185" s="2">
        <v>1</v>
      </c>
      <c r="BA185" s="2">
        <v>1</v>
      </c>
      <c r="BB185" s="2">
        <v>1</v>
      </c>
      <c r="BC185" s="2">
        <v>2.27</v>
      </c>
      <c r="BD185" s="2" t="s">
        <v>3</v>
      </c>
      <c r="BE185" s="2" t="s">
        <v>3</v>
      </c>
      <c r="BF185" s="2" t="s">
        <v>3</v>
      </c>
      <c r="BG185" s="2" t="s">
        <v>3</v>
      </c>
      <c r="BH185" s="2">
        <v>3</v>
      </c>
      <c r="BI185" s="2">
        <v>1</v>
      </c>
      <c r="BJ185" s="2" t="s">
        <v>301</v>
      </c>
      <c r="BM185" s="2">
        <v>98</v>
      </c>
      <c r="BN185" s="2">
        <v>0</v>
      </c>
      <c r="BO185" s="2" t="s">
        <v>300</v>
      </c>
      <c r="BP185" s="2">
        <v>1</v>
      </c>
      <c r="BQ185" s="2">
        <v>60</v>
      </c>
      <c r="BR185" s="2">
        <v>0</v>
      </c>
      <c r="BS185" s="2">
        <v>1</v>
      </c>
      <c r="BT185" s="2">
        <v>1</v>
      </c>
      <c r="BU185" s="2">
        <v>1</v>
      </c>
      <c r="BV185" s="2">
        <v>1</v>
      </c>
      <c r="BW185" s="2">
        <v>1</v>
      </c>
      <c r="BX185" s="2">
        <v>1</v>
      </c>
      <c r="BY185" s="2" t="s">
        <v>3</v>
      </c>
      <c r="BZ185" s="2">
        <v>89</v>
      </c>
      <c r="CA185" s="2">
        <v>44</v>
      </c>
      <c r="CB185" s="2" t="s">
        <v>3</v>
      </c>
      <c r="CE185" s="2">
        <v>1566</v>
      </c>
      <c r="CF185" s="2">
        <v>0</v>
      </c>
      <c r="CG185" s="2">
        <v>0</v>
      </c>
      <c r="CM185" s="2">
        <v>0</v>
      </c>
      <c r="CN185" s="2" t="s">
        <v>520</v>
      </c>
      <c r="CO185" s="2">
        <v>0</v>
      </c>
      <c r="CP185" s="2">
        <f t="shared" si="155"/>
        <v>536.49</v>
      </c>
      <c r="CQ185" s="2">
        <f t="shared" si="156"/>
        <v>266.11</v>
      </c>
      <c r="CR185" s="2">
        <f>(ROUND((ROUND(((ET185)*AV185*1),2)*BB185),2)+ROUND((ROUND(((AE185-(EU185))*AV185*1),2)*BS185),2))</f>
        <v>0</v>
      </c>
      <c r="CS185" s="2">
        <f>(ROUND((ROUND(((EU185)*AV185*1),2)*BS185),2)+ROUND((ROUND(((AE185-(EU185))*AV185*1),2)*BS185),2))</f>
        <v>0</v>
      </c>
      <c r="CT185" s="2">
        <f t="shared" si="157"/>
        <v>0</v>
      </c>
      <c r="CU185" s="2">
        <f t="shared" si="158"/>
        <v>0</v>
      </c>
      <c r="CV185" s="2">
        <f t="shared" si="159"/>
        <v>0</v>
      </c>
      <c r="CW185" s="2">
        <f t="shared" si="160"/>
        <v>0</v>
      </c>
      <c r="CX185" s="2">
        <f t="shared" si="161"/>
        <v>0</v>
      </c>
      <c r="CY185" s="2">
        <f>(ROUND((((S185+ROUND((ROUND(((EU185)*AV185*1),2)*BS185),2))*AT185)/100),2)+ROUND(((ROUND((ROUND(((AE185-(EU185))*AV185*1),2)*BS185),2)*AT185)/100),2))</f>
        <v>0</v>
      </c>
      <c r="CZ185" s="2">
        <f>(ROUND((((S185+ROUND((ROUND(((EU185)*AV185*1),2)*BS185),2))*AU185)/100),2)+ROUND(((ROUND((ROUND(((AE185-(EU185))*AV185*1),2)*BS185),2)*AU185)/100),2))</f>
        <v>0</v>
      </c>
      <c r="DC185" s="2" t="s">
        <v>3</v>
      </c>
      <c r="DD185" s="2" t="s">
        <v>3</v>
      </c>
      <c r="DE185" s="2" t="s">
        <v>3</v>
      </c>
      <c r="DF185" s="2" t="s">
        <v>3</v>
      </c>
      <c r="DG185" s="2" t="s">
        <v>3</v>
      </c>
      <c r="DH185" s="2" t="s">
        <v>3</v>
      </c>
      <c r="DI185" s="2" t="s">
        <v>3</v>
      </c>
      <c r="DJ185" s="2" t="s">
        <v>3</v>
      </c>
      <c r="DK185" s="2" t="s">
        <v>3</v>
      </c>
      <c r="DL185" s="2" t="s">
        <v>3</v>
      </c>
      <c r="DM185" s="2" t="s">
        <v>3</v>
      </c>
      <c r="DN185" s="2">
        <v>0</v>
      </c>
      <c r="DO185" s="2">
        <v>0</v>
      </c>
      <c r="DP185" s="2">
        <v>1</v>
      </c>
      <c r="DQ185" s="2">
        <v>1</v>
      </c>
      <c r="DU185" s="2">
        <v>1009</v>
      </c>
      <c r="DV185" s="2" t="s">
        <v>146</v>
      </c>
      <c r="DW185" s="2" t="s">
        <v>146</v>
      </c>
      <c r="DX185" s="2">
        <v>1</v>
      </c>
      <c r="DZ185" s="2" t="s">
        <v>3</v>
      </c>
      <c r="EA185" s="2" t="s">
        <v>3</v>
      </c>
      <c r="EB185" s="2" t="s">
        <v>3</v>
      </c>
      <c r="EC185" s="2" t="s">
        <v>3</v>
      </c>
      <c r="EE185" s="2">
        <v>55896185</v>
      </c>
      <c r="EF185" s="2">
        <v>60</v>
      </c>
      <c r="EG185" s="2" t="s">
        <v>25</v>
      </c>
      <c r="EH185" s="2">
        <v>0</v>
      </c>
      <c r="EI185" s="2" t="s">
        <v>3</v>
      </c>
      <c r="EJ185" s="2">
        <v>1</v>
      </c>
      <c r="EK185" s="2">
        <v>98</v>
      </c>
      <c r="EL185" s="2" t="s">
        <v>224</v>
      </c>
      <c r="EM185" s="2" t="s">
        <v>225</v>
      </c>
      <c r="EO185" s="2" t="s">
        <v>28</v>
      </c>
      <c r="EQ185" s="2">
        <v>0</v>
      </c>
      <c r="ER185" s="2">
        <v>117.23</v>
      </c>
      <c r="ES185" s="2">
        <v>117.23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FQ185" s="2">
        <v>0</v>
      </c>
      <c r="FR185" s="2">
        <v>0</v>
      </c>
      <c r="FS185" s="2">
        <v>0</v>
      </c>
      <c r="FX185" s="2">
        <v>89</v>
      </c>
      <c r="FY185" s="2">
        <v>44</v>
      </c>
      <c r="GA185" s="2" t="s">
        <v>3</v>
      </c>
      <c r="GD185" s="2">
        <v>1</v>
      </c>
      <c r="GF185" s="2">
        <v>356450355</v>
      </c>
      <c r="GG185" s="2">
        <v>2</v>
      </c>
      <c r="GH185" s="2">
        <v>1</v>
      </c>
      <c r="GI185" s="2">
        <v>2</v>
      </c>
      <c r="GJ185" s="2">
        <v>0</v>
      </c>
      <c r="GK185" s="2">
        <v>0</v>
      </c>
      <c r="GL185" s="2">
        <f t="shared" si="162"/>
        <v>0</v>
      </c>
      <c r="GM185" s="2">
        <f t="shared" si="163"/>
        <v>536.49</v>
      </c>
      <c r="GN185" s="2">
        <f t="shared" si="164"/>
        <v>536.49</v>
      </c>
      <c r="GO185" s="2">
        <f t="shared" si="165"/>
        <v>0</v>
      </c>
      <c r="GP185" s="2">
        <f t="shared" si="166"/>
        <v>0</v>
      </c>
      <c r="GR185" s="2">
        <v>0</v>
      </c>
      <c r="GS185" s="2">
        <v>3</v>
      </c>
      <c r="GT185" s="2">
        <v>0</v>
      </c>
      <c r="GU185" s="2" t="s">
        <v>3</v>
      </c>
      <c r="GV185" s="2">
        <f t="shared" si="167"/>
        <v>0</v>
      </c>
      <c r="GW185" s="2">
        <v>1</v>
      </c>
      <c r="GX185" s="2">
        <f t="shared" si="168"/>
        <v>0</v>
      </c>
      <c r="HA185" s="2">
        <v>0</v>
      </c>
      <c r="HB185" s="2">
        <v>0</v>
      </c>
      <c r="HC185" s="2">
        <f t="shared" si="169"/>
        <v>0</v>
      </c>
      <c r="HE185" s="2" t="s">
        <v>3</v>
      </c>
      <c r="HF185" s="2" t="s">
        <v>3</v>
      </c>
      <c r="HM185" s="2" t="s">
        <v>24</v>
      </c>
      <c r="HN185" s="2" t="s">
        <v>3</v>
      </c>
      <c r="HO185" s="2" t="s">
        <v>3</v>
      </c>
      <c r="HP185" s="2" t="s">
        <v>3</v>
      </c>
      <c r="HQ185" s="2" t="s">
        <v>3</v>
      </c>
      <c r="HS185" s="2">
        <v>0</v>
      </c>
      <c r="IK185" s="2">
        <v>0</v>
      </c>
    </row>
    <row r="186" spans="1:245" x14ac:dyDescent="0.2">
      <c r="A186" s="2">
        <v>17</v>
      </c>
      <c r="B186" s="2">
        <v>1</v>
      </c>
      <c r="C186" s="2">
        <f>ROW(SmtRes!A130)</f>
        <v>130</v>
      </c>
      <c r="D186" s="2">
        <f>ROW(EtalonRes!A129)</f>
        <v>129</v>
      </c>
      <c r="E186" s="2" t="s">
        <v>302</v>
      </c>
      <c r="F186" s="2" t="s">
        <v>303</v>
      </c>
      <c r="G186" s="2" t="s">
        <v>304</v>
      </c>
      <c r="H186" s="2" t="s">
        <v>32</v>
      </c>
      <c r="I186" s="2">
        <f>ROUND(16.8/100,9)</f>
        <v>0.16800000000000001</v>
      </c>
      <c r="J186" s="2">
        <v>0</v>
      </c>
      <c r="K186" s="2">
        <f>ROUND(16.8/100,9)</f>
        <v>0.16800000000000001</v>
      </c>
      <c r="O186" s="2">
        <f t="shared" si="143"/>
        <v>6895.02</v>
      </c>
      <c r="P186" s="2">
        <f t="shared" si="144"/>
        <v>31.85</v>
      </c>
      <c r="Q186" s="2">
        <f>(ROUND((ROUND((((ET186*1.15))*AV186*I186),2)*BB186),2)+ROUND((ROUND(((AE186-((EU186*1.15)))*AV186*I186),2)*BS186),2))</f>
        <v>29.15</v>
      </c>
      <c r="R186" s="2">
        <f>(ROUND((ROUND((((EU186*1.15))*AV186*I186),2)*BS186),2)+ROUND((ROUND(((AE186-((EU186*1.15)))*AV186*I186),2)*BS186),2))</f>
        <v>13.69</v>
      </c>
      <c r="S186" s="2">
        <f t="shared" si="145"/>
        <v>6834.02</v>
      </c>
      <c r="T186" s="2">
        <f t="shared" si="146"/>
        <v>0</v>
      </c>
      <c r="U186" s="2">
        <f t="shared" si="147"/>
        <v>10.616339999999999</v>
      </c>
      <c r="V186" s="2">
        <f t="shared" si="148"/>
        <v>0</v>
      </c>
      <c r="W186" s="2">
        <f t="shared" si="149"/>
        <v>0</v>
      </c>
      <c r="X186" s="2">
        <f>(ROUND((((S186+ROUND((ROUND((((EU186*1.15))*AV186*I186),2)*BS186),2))*AT186)/100),2)+ROUND(((ROUND((ROUND(((AE186-((EU186*1.15)))*AV186*I186),2)*BS186),2)*AT186)/100),2))</f>
        <v>6162.94</v>
      </c>
      <c r="Y186" s="2">
        <f>(ROUND((((S186+ROUND((ROUND((((EU186*1.15))*AV186*I186),2)*BS186),2))*AU186)/100),2)+ROUND(((ROUND((ROUND(((AE186-((EU186*1.15)))*AV186*I186),2)*BS186),2)*AU186)/100),2))</f>
        <v>2876.04</v>
      </c>
      <c r="AA186" s="2">
        <v>56793366</v>
      </c>
      <c r="AB186" s="2">
        <f t="shared" si="150"/>
        <v>815.12549999999999</v>
      </c>
      <c r="AC186" s="2">
        <f>ROUND(((ES186*1)),6)</f>
        <v>92.04</v>
      </c>
      <c r="AD186" s="2">
        <f>ROUND(((((ET186*1.15))-((EU186*1.15)))+AE186),6)</f>
        <v>10.051</v>
      </c>
      <c r="AE186" s="2">
        <f>ROUND(((EU186*1.15)),6)</f>
        <v>1.4490000000000001</v>
      </c>
      <c r="AF186" s="2">
        <f>ROUND(((EV186*1.15)),6)</f>
        <v>713.03449999999998</v>
      </c>
      <c r="AG186" s="2">
        <f t="shared" si="152"/>
        <v>0</v>
      </c>
      <c r="AH186" s="2">
        <f>((EW186*1.15))</f>
        <v>63.192499999999995</v>
      </c>
      <c r="AI186" s="2">
        <f>((EX186*1.15))</f>
        <v>0</v>
      </c>
      <c r="AJ186" s="2">
        <f t="shared" si="154"/>
        <v>0</v>
      </c>
      <c r="AK186" s="2">
        <v>720.81</v>
      </c>
      <c r="AL186" s="2">
        <v>92.04</v>
      </c>
      <c r="AM186" s="2">
        <v>8.74</v>
      </c>
      <c r="AN186" s="2">
        <v>1.26</v>
      </c>
      <c r="AO186" s="2">
        <v>620.03</v>
      </c>
      <c r="AP186" s="2">
        <v>0</v>
      </c>
      <c r="AQ186" s="2">
        <v>54.95</v>
      </c>
      <c r="AR186" s="2">
        <v>0</v>
      </c>
      <c r="AS186" s="2">
        <v>0</v>
      </c>
      <c r="AT186" s="2">
        <v>90</v>
      </c>
      <c r="AU186" s="2">
        <v>42</v>
      </c>
      <c r="AV186" s="2">
        <v>1</v>
      </c>
      <c r="AW186" s="2">
        <v>1</v>
      </c>
      <c r="AZ186" s="2">
        <v>1</v>
      </c>
      <c r="BA186" s="2">
        <v>57.05</v>
      </c>
      <c r="BB186" s="2">
        <v>17.25</v>
      </c>
      <c r="BC186" s="2">
        <v>2.06</v>
      </c>
      <c r="BD186" s="2" t="s">
        <v>3</v>
      </c>
      <c r="BE186" s="2" t="s">
        <v>3</v>
      </c>
      <c r="BF186" s="2" t="s">
        <v>3</v>
      </c>
      <c r="BG186" s="2" t="s">
        <v>3</v>
      </c>
      <c r="BH186" s="2">
        <v>0</v>
      </c>
      <c r="BI186" s="2">
        <v>1</v>
      </c>
      <c r="BJ186" s="2" t="s">
        <v>305</v>
      </c>
      <c r="BM186" s="2">
        <v>20</v>
      </c>
      <c r="BN186" s="2">
        <v>0</v>
      </c>
      <c r="BO186" s="2" t="s">
        <v>303</v>
      </c>
      <c r="BP186" s="2">
        <v>1</v>
      </c>
      <c r="BQ186" s="2">
        <v>30</v>
      </c>
      <c r="BR186" s="2">
        <v>0</v>
      </c>
      <c r="BS186" s="2">
        <v>57.05</v>
      </c>
      <c r="BT186" s="2">
        <v>1</v>
      </c>
      <c r="BU186" s="2">
        <v>1</v>
      </c>
      <c r="BV186" s="2">
        <v>1</v>
      </c>
      <c r="BW186" s="2">
        <v>1</v>
      </c>
      <c r="BX186" s="2">
        <v>1</v>
      </c>
      <c r="BY186" s="2" t="s">
        <v>3</v>
      </c>
      <c r="BZ186" s="2">
        <v>90</v>
      </c>
      <c r="CA186" s="2">
        <v>42</v>
      </c>
      <c r="CB186" s="2" t="s">
        <v>3</v>
      </c>
      <c r="CE186" s="2">
        <v>1566</v>
      </c>
      <c r="CF186" s="2">
        <v>0</v>
      </c>
      <c r="CG186" s="2">
        <v>0</v>
      </c>
      <c r="CM186" s="2">
        <v>0</v>
      </c>
      <c r="CN186" s="2" t="s">
        <v>518</v>
      </c>
      <c r="CO186" s="2">
        <v>0</v>
      </c>
      <c r="CP186" s="2">
        <f t="shared" si="155"/>
        <v>6895.02</v>
      </c>
      <c r="CQ186" s="2">
        <f t="shared" si="156"/>
        <v>189.6</v>
      </c>
      <c r="CR186" s="2">
        <f>(ROUND((ROUND((((ET186*1.15))*AV186*1),2)*BB186),2)+ROUND((ROUND(((AE186-((EU186*1.15)))*AV186*1),2)*BS186),2))</f>
        <v>173.36</v>
      </c>
      <c r="CS186" s="2">
        <f>(ROUND((ROUND((((EU186*1.15))*AV186*1),2)*BS186),2)+ROUND((ROUND(((AE186-((EU186*1.15)))*AV186*1),2)*BS186),2))</f>
        <v>82.72</v>
      </c>
      <c r="CT186" s="2">
        <f t="shared" si="157"/>
        <v>40678.36</v>
      </c>
      <c r="CU186" s="2">
        <f t="shared" si="158"/>
        <v>0</v>
      </c>
      <c r="CV186" s="2">
        <f t="shared" si="159"/>
        <v>63.192499999999995</v>
      </c>
      <c r="CW186" s="2">
        <f t="shared" si="160"/>
        <v>0</v>
      </c>
      <c r="CX186" s="2">
        <f t="shared" si="161"/>
        <v>0</v>
      </c>
      <c r="CY186" s="2">
        <f>(ROUND((((S186+ROUND((ROUND((((EU186*1.15))*AV186*1),2)*BS186),2))*AT186)/100),2)+ROUND(((ROUND((ROUND(((AE186-((EU186*1.15)))*AV186*1),2)*BS186),2)*AT186)/100),2))</f>
        <v>6225.07</v>
      </c>
      <c r="CZ186" s="2">
        <f>(ROUND((((S186+ROUND((ROUND((((EU186*1.15))*AV186*1),2)*BS186),2))*AU186)/100),2)+ROUND(((ROUND((ROUND(((AE186-((EU186*1.15)))*AV186*1),2)*BS186),2)*AU186)/100),2))</f>
        <v>2905.03</v>
      </c>
      <c r="DB186" s="2">
        <v>10</v>
      </c>
      <c r="DC186" s="2" t="s">
        <v>3</v>
      </c>
      <c r="DD186" s="2" t="s">
        <v>24</v>
      </c>
      <c r="DE186" s="2" t="s">
        <v>48</v>
      </c>
      <c r="DF186" s="2" t="s">
        <v>48</v>
      </c>
      <c r="DG186" s="2" t="s">
        <v>48</v>
      </c>
      <c r="DH186" s="2" t="s">
        <v>3</v>
      </c>
      <c r="DI186" s="2" t="s">
        <v>48</v>
      </c>
      <c r="DJ186" s="2" t="s">
        <v>48</v>
      </c>
      <c r="DK186" s="2" t="s">
        <v>3</v>
      </c>
      <c r="DL186" s="2" t="s">
        <v>3</v>
      </c>
      <c r="DM186" s="2" t="s">
        <v>3</v>
      </c>
      <c r="DN186" s="2">
        <v>0</v>
      </c>
      <c r="DO186" s="2">
        <v>0</v>
      </c>
      <c r="DP186" s="2">
        <v>1</v>
      </c>
      <c r="DQ186" s="2">
        <v>1</v>
      </c>
      <c r="DU186" s="2">
        <v>1005</v>
      </c>
      <c r="DV186" s="2" t="s">
        <v>32</v>
      </c>
      <c r="DW186" s="2" t="s">
        <v>32</v>
      </c>
      <c r="DX186" s="2">
        <v>100</v>
      </c>
      <c r="DZ186" s="2" t="s">
        <v>3</v>
      </c>
      <c r="EA186" s="2" t="s">
        <v>3</v>
      </c>
      <c r="EB186" s="2" t="s">
        <v>3</v>
      </c>
      <c r="EC186" s="2" t="s">
        <v>3</v>
      </c>
      <c r="EE186" s="2">
        <v>55896072</v>
      </c>
      <c r="EF186" s="2">
        <v>30</v>
      </c>
      <c r="EG186" s="2" t="s">
        <v>49</v>
      </c>
      <c r="EH186" s="2">
        <v>0</v>
      </c>
      <c r="EI186" s="2" t="s">
        <v>3</v>
      </c>
      <c r="EJ186" s="2">
        <v>1</v>
      </c>
      <c r="EK186" s="2">
        <v>20</v>
      </c>
      <c r="EL186" s="2" t="s">
        <v>234</v>
      </c>
      <c r="EM186" s="2" t="s">
        <v>235</v>
      </c>
      <c r="EO186" s="2" t="s">
        <v>28</v>
      </c>
      <c r="EQ186" s="2">
        <v>0</v>
      </c>
      <c r="ER186" s="2">
        <v>720.81</v>
      </c>
      <c r="ES186" s="2">
        <v>92.04</v>
      </c>
      <c r="ET186" s="2">
        <v>8.74</v>
      </c>
      <c r="EU186" s="2">
        <v>1.26</v>
      </c>
      <c r="EV186" s="2">
        <v>620.03</v>
      </c>
      <c r="EW186" s="2">
        <v>54.95</v>
      </c>
      <c r="EX186" s="2">
        <v>0</v>
      </c>
      <c r="EY186" s="2">
        <v>0</v>
      </c>
      <c r="FQ186" s="2">
        <v>0</v>
      </c>
      <c r="FR186" s="2">
        <v>0</v>
      </c>
      <c r="FS186" s="2">
        <v>0</v>
      </c>
      <c r="FX186" s="2">
        <v>90</v>
      </c>
      <c r="FY186" s="2">
        <v>42</v>
      </c>
      <c r="GA186" s="2" t="s">
        <v>3</v>
      </c>
      <c r="GD186" s="2">
        <v>1</v>
      </c>
      <c r="GF186" s="2">
        <v>777731589</v>
      </c>
      <c r="GG186" s="2">
        <v>2</v>
      </c>
      <c r="GH186" s="2">
        <v>1</v>
      </c>
      <c r="GI186" s="2">
        <v>2</v>
      </c>
      <c r="GJ186" s="2">
        <v>0</v>
      </c>
      <c r="GK186" s="2">
        <v>0</v>
      </c>
      <c r="GL186" s="2">
        <f t="shared" si="162"/>
        <v>0</v>
      </c>
      <c r="GM186" s="2">
        <f t="shared" si="163"/>
        <v>15934</v>
      </c>
      <c r="GN186" s="2">
        <f t="shared" si="164"/>
        <v>15934</v>
      </c>
      <c r="GO186" s="2">
        <f t="shared" si="165"/>
        <v>0</v>
      </c>
      <c r="GP186" s="2">
        <f t="shared" si="166"/>
        <v>0</v>
      </c>
      <c r="GR186" s="2">
        <v>0</v>
      </c>
      <c r="GS186" s="2">
        <v>3</v>
      </c>
      <c r="GT186" s="2">
        <v>0</v>
      </c>
      <c r="GU186" s="2" t="s">
        <v>3</v>
      </c>
      <c r="GV186" s="2">
        <f t="shared" si="167"/>
        <v>0</v>
      </c>
      <c r="GW186" s="2">
        <v>1</v>
      </c>
      <c r="GX186" s="2">
        <f t="shared" si="168"/>
        <v>0</v>
      </c>
      <c r="HA186" s="2">
        <v>0</v>
      </c>
      <c r="HB186" s="2">
        <v>0</v>
      </c>
      <c r="HC186" s="2">
        <f t="shared" si="169"/>
        <v>0</v>
      </c>
      <c r="HE186" s="2" t="s">
        <v>3</v>
      </c>
      <c r="HF186" s="2" t="s">
        <v>3</v>
      </c>
      <c r="HM186" s="2" t="s">
        <v>3</v>
      </c>
      <c r="HN186" s="2" t="s">
        <v>3</v>
      </c>
      <c r="HO186" s="2" t="s">
        <v>3</v>
      </c>
      <c r="HP186" s="2" t="s">
        <v>3</v>
      </c>
      <c r="HQ186" s="2" t="s">
        <v>3</v>
      </c>
      <c r="HS186" s="2">
        <v>0</v>
      </c>
      <c r="IK186" s="2">
        <v>0</v>
      </c>
    </row>
    <row r="187" spans="1:245" x14ac:dyDescent="0.2">
      <c r="A187" s="2">
        <v>18</v>
      </c>
      <c r="B187" s="2">
        <v>1</v>
      </c>
      <c r="C187" s="2">
        <v>129</v>
      </c>
      <c r="E187" s="2" t="s">
        <v>306</v>
      </c>
      <c r="F187" s="2" t="s">
        <v>307</v>
      </c>
      <c r="G187" s="2" t="s">
        <v>308</v>
      </c>
      <c r="H187" s="2" t="s">
        <v>239</v>
      </c>
      <c r="I187" s="2">
        <f>I186*J187</f>
        <v>3.7631999999999999E-2</v>
      </c>
      <c r="J187" s="2">
        <v>0.22399999999999998</v>
      </c>
      <c r="K187" s="2">
        <v>0.224</v>
      </c>
      <c r="O187" s="2">
        <f t="shared" si="143"/>
        <v>2142.4</v>
      </c>
      <c r="P187" s="2">
        <f t="shared" si="144"/>
        <v>2142.4</v>
      </c>
      <c r="Q187" s="2">
        <f>(ROUND((ROUND(((ET187)*AV187*I187),2)*BB187),2)+ROUND((ROUND(((AE187-(EU187))*AV187*I187),2)*BS187),2))</f>
        <v>0</v>
      </c>
      <c r="R187" s="2">
        <f>(ROUND((ROUND(((EU187)*AV187*I187),2)*BS187),2)+ROUND((ROUND(((AE187-(EU187))*AV187*I187),2)*BS187),2))</f>
        <v>0</v>
      </c>
      <c r="S187" s="2">
        <f t="shared" si="145"/>
        <v>0</v>
      </c>
      <c r="T187" s="2">
        <f t="shared" si="146"/>
        <v>0</v>
      </c>
      <c r="U187" s="2">
        <f t="shared" si="147"/>
        <v>0</v>
      </c>
      <c r="V187" s="2">
        <f t="shared" si="148"/>
        <v>0</v>
      </c>
      <c r="W187" s="2">
        <f t="shared" si="149"/>
        <v>0</v>
      </c>
      <c r="X187" s="2">
        <f>(ROUND((((S187+ROUND((ROUND(((EU187)*AV187*I187),2)*BS187),2))*AT187)/100),2)+ROUND(((ROUND((ROUND(((AE187-(EU187))*AV187*I187),2)*BS187),2)*AT187)/100),2))</f>
        <v>0</v>
      </c>
      <c r="Y187" s="2">
        <f>(ROUND((((S187+ROUND((ROUND(((EU187)*AV187*I187),2)*BS187),2))*AU187)/100),2)+ROUND(((ROUND((ROUND(((AE187-(EU187))*AV187*I187),2)*BS187),2)*AU187)/100),2))</f>
        <v>0</v>
      </c>
      <c r="AA187" s="2">
        <v>56793366</v>
      </c>
      <c r="AB187" s="2">
        <f t="shared" si="150"/>
        <v>12376.27</v>
      </c>
      <c r="AC187" s="2">
        <f>ROUND((ES187),6)</f>
        <v>12376.27</v>
      </c>
      <c r="AD187" s="2">
        <f>ROUND((((ET187)-(EU187))+AE187),6)</f>
        <v>0</v>
      </c>
      <c r="AE187" s="2">
        <f t="shared" ref="AE187:AF189" si="170">ROUND((EU187),6)</f>
        <v>0</v>
      </c>
      <c r="AF187" s="2">
        <f t="shared" si="170"/>
        <v>0</v>
      </c>
      <c r="AG187" s="2">
        <f t="shared" si="152"/>
        <v>0</v>
      </c>
      <c r="AH187" s="2">
        <f t="shared" ref="AH187:AI189" si="171">(EW187)</f>
        <v>0</v>
      </c>
      <c r="AI187" s="2">
        <f t="shared" si="171"/>
        <v>0</v>
      </c>
      <c r="AJ187" s="2">
        <f t="shared" si="154"/>
        <v>0</v>
      </c>
      <c r="AK187" s="2">
        <v>12376.27</v>
      </c>
      <c r="AL187" s="2">
        <v>12376.27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90</v>
      </c>
      <c r="AU187" s="2">
        <v>42</v>
      </c>
      <c r="AV187" s="2">
        <v>1</v>
      </c>
      <c r="AW187" s="2">
        <v>1</v>
      </c>
      <c r="AZ187" s="2">
        <v>1</v>
      </c>
      <c r="BA187" s="2">
        <v>1</v>
      </c>
      <c r="BB187" s="2">
        <v>1</v>
      </c>
      <c r="BC187" s="2">
        <v>4.5999999999999996</v>
      </c>
      <c r="BD187" s="2" t="s">
        <v>3</v>
      </c>
      <c r="BE187" s="2" t="s">
        <v>3</v>
      </c>
      <c r="BF187" s="2" t="s">
        <v>3</v>
      </c>
      <c r="BG187" s="2" t="s">
        <v>3</v>
      </c>
      <c r="BH187" s="2">
        <v>3</v>
      </c>
      <c r="BI187" s="2">
        <v>1</v>
      </c>
      <c r="BJ187" s="2" t="s">
        <v>309</v>
      </c>
      <c r="BM187" s="2">
        <v>20</v>
      </c>
      <c r="BN187" s="2">
        <v>0</v>
      </c>
      <c r="BO187" s="2" t="s">
        <v>307</v>
      </c>
      <c r="BP187" s="2">
        <v>1</v>
      </c>
      <c r="BQ187" s="2">
        <v>30</v>
      </c>
      <c r="BR187" s="2">
        <v>0</v>
      </c>
      <c r="BS187" s="2">
        <v>1</v>
      </c>
      <c r="BT187" s="2">
        <v>1</v>
      </c>
      <c r="BU187" s="2">
        <v>1</v>
      </c>
      <c r="BV187" s="2">
        <v>1</v>
      </c>
      <c r="BW187" s="2">
        <v>1</v>
      </c>
      <c r="BX187" s="2">
        <v>1</v>
      </c>
      <c r="BY187" s="2" t="s">
        <v>3</v>
      </c>
      <c r="BZ187" s="2">
        <v>90</v>
      </c>
      <c r="CA187" s="2">
        <v>42</v>
      </c>
      <c r="CB187" s="2" t="s">
        <v>3</v>
      </c>
      <c r="CE187" s="2">
        <v>1566</v>
      </c>
      <c r="CF187" s="2">
        <v>0</v>
      </c>
      <c r="CG187" s="2">
        <v>0</v>
      </c>
      <c r="CM187" s="2">
        <v>0</v>
      </c>
      <c r="CN187" s="2" t="s">
        <v>520</v>
      </c>
      <c r="CO187" s="2">
        <v>0</v>
      </c>
      <c r="CP187" s="2">
        <f t="shared" si="155"/>
        <v>2142.4</v>
      </c>
      <c r="CQ187" s="2">
        <f t="shared" si="156"/>
        <v>56930.84</v>
      </c>
      <c r="CR187" s="2">
        <f>(ROUND((ROUND(((ET187)*AV187*1),2)*BB187),2)+ROUND((ROUND(((AE187-(EU187))*AV187*1),2)*BS187),2))</f>
        <v>0</v>
      </c>
      <c r="CS187" s="2">
        <f>(ROUND((ROUND(((EU187)*AV187*1),2)*BS187),2)+ROUND((ROUND(((AE187-(EU187))*AV187*1),2)*BS187),2))</f>
        <v>0</v>
      </c>
      <c r="CT187" s="2">
        <f t="shared" si="157"/>
        <v>0</v>
      </c>
      <c r="CU187" s="2">
        <f t="shared" si="158"/>
        <v>0</v>
      </c>
      <c r="CV187" s="2">
        <f t="shared" si="159"/>
        <v>0</v>
      </c>
      <c r="CW187" s="2">
        <f t="shared" si="160"/>
        <v>0</v>
      </c>
      <c r="CX187" s="2">
        <f t="shared" si="161"/>
        <v>0</v>
      </c>
      <c r="CY187" s="2">
        <f>(ROUND((((S187+ROUND((ROUND(((EU187)*AV187*1),2)*BS187),2))*AT187)/100),2)+ROUND(((ROUND((ROUND(((AE187-(EU187))*AV187*1),2)*BS187),2)*AT187)/100),2))</f>
        <v>0</v>
      </c>
      <c r="CZ187" s="2">
        <f>(ROUND((((S187+ROUND((ROUND(((EU187)*AV187*1),2)*BS187),2))*AU187)/100),2)+ROUND(((ROUND((ROUND(((AE187-(EU187))*AV187*1),2)*BS187),2)*AU187)/100),2))</f>
        <v>0</v>
      </c>
      <c r="DC187" s="2" t="s">
        <v>3</v>
      </c>
      <c r="DD187" s="2" t="s">
        <v>3</v>
      </c>
      <c r="DE187" s="2" t="s">
        <v>3</v>
      </c>
      <c r="DF187" s="2" t="s">
        <v>3</v>
      </c>
      <c r="DG187" s="2" t="s">
        <v>3</v>
      </c>
      <c r="DH187" s="2" t="s">
        <v>3</v>
      </c>
      <c r="DI187" s="2" t="s">
        <v>3</v>
      </c>
      <c r="DJ187" s="2" t="s">
        <v>3</v>
      </c>
      <c r="DK187" s="2" t="s">
        <v>3</v>
      </c>
      <c r="DL187" s="2" t="s">
        <v>3</v>
      </c>
      <c r="DM187" s="2" t="s">
        <v>3</v>
      </c>
      <c r="DN187" s="2">
        <v>0</v>
      </c>
      <c r="DO187" s="2">
        <v>0</v>
      </c>
      <c r="DP187" s="2">
        <v>1</v>
      </c>
      <c r="DQ187" s="2">
        <v>1</v>
      </c>
      <c r="DU187" s="2">
        <v>1009</v>
      </c>
      <c r="DV187" s="2" t="s">
        <v>239</v>
      </c>
      <c r="DW187" s="2" t="s">
        <v>239</v>
      </c>
      <c r="DX187" s="2">
        <v>1000</v>
      </c>
      <c r="DZ187" s="2" t="s">
        <v>3</v>
      </c>
      <c r="EA187" s="2" t="s">
        <v>3</v>
      </c>
      <c r="EB187" s="2" t="s">
        <v>3</v>
      </c>
      <c r="EC187" s="2" t="s">
        <v>3</v>
      </c>
      <c r="EE187" s="2">
        <v>55896072</v>
      </c>
      <c r="EF187" s="2">
        <v>30</v>
      </c>
      <c r="EG187" s="2" t="s">
        <v>49</v>
      </c>
      <c r="EH187" s="2">
        <v>0</v>
      </c>
      <c r="EI187" s="2" t="s">
        <v>3</v>
      </c>
      <c r="EJ187" s="2">
        <v>1</v>
      </c>
      <c r="EK187" s="2">
        <v>20</v>
      </c>
      <c r="EL187" s="2" t="s">
        <v>234</v>
      </c>
      <c r="EM187" s="2" t="s">
        <v>235</v>
      </c>
      <c r="EO187" s="2" t="s">
        <v>28</v>
      </c>
      <c r="EQ187" s="2">
        <v>0</v>
      </c>
      <c r="ER187" s="2">
        <v>12376.27</v>
      </c>
      <c r="ES187" s="2">
        <v>12376.27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FQ187" s="2">
        <v>0</v>
      </c>
      <c r="FR187" s="2">
        <v>0</v>
      </c>
      <c r="FS187" s="2">
        <v>0</v>
      </c>
      <c r="FX187" s="2">
        <v>90</v>
      </c>
      <c r="FY187" s="2">
        <v>42</v>
      </c>
      <c r="GA187" s="2" t="s">
        <v>3</v>
      </c>
      <c r="GD187" s="2">
        <v>1</v>
      </c>
      <c r="GF187" s="2">
        <v>1824337578</v>
      </c>
      <c r="GG187" s="2">
        <v>2</v>
      </c>
      <c r="GH187" s="2">
        <v>1</v>
      </c>
      <c r="GI187" s="2">
        <v>2</v>
      </c>
      <c r="GJ187" s="2">
        <v>0</v>
      </c>
      <c r="GK187" s="2">
        <v>0</v>
      </c>
      <c r="GL187" s="2">
        <f t="shared" si="162"/>
        <v>0</v>
      </c>
      <c r="GM187" s="2">
        <f t="shared" si="163"/>
        <v>2142.4</v>
      </c>
      <c r="GN187" s="2">
        <f t="shared" si="164"/>
        <v>2142.4</v>
      </c>
      <c r="GO187" s="2">
        <f t="shared" si="165"/>
        <v>0</v>
      </c>
      <c r="GP187" s="2">
        <f t="shared" si="166"/>
        <v>0</v>
      </c>
      <c r="GR187" s="2">
        <v>0</v>
      </c>
      <c r="GS187" s="2">
        <v>3</v>
      </c>
      <c r="GT187" s="2">
        <v>0</v>
      </c>
      <c r="GU187" s="2" t="s">
        <v>3</v>
      </c>
      <c r="GV187" s="2">
        <f t="shared" si="167"/>
        <v>0</v>
      </c>
      <c r="GW187" s="2">
        <v>1</v>
      </c>
      <c r="GX187" s="2">
        <f t="shared" si="168"/>
        <v>0</v>
      </c>
      <c r="HA187" s="2">
        <v>0</v>
      </c>
      <c r="HB187" s="2">
        <v>0</v>
      </c>
      <c r="HC187" s="2">
        <f t="shared" si="169"/>
        <v>0</v>
      </c>
      <c r="HE187" s="2" t="s">
        <v>3</v>
      </c>
      <c r="HF187" s="2" t="s">
        <v>3</v>
      </c>
      <c r="HM187" s="2" t="s">
        <v>24</v>
      </c>
      <c r="HN187" s="2" t="s">
        <v>3</v>
      </c>
      <c r="HO187" s="2" t="s">
        <v>3</v>
      </c>
      <c r="HP187" s="2" t="s">
        <v>3</v>
      </c>
      <c r="HQ187" s="2" t="s">
        <v>3</v>
      </c>
      <c r="HS187" s="2">
        <v>0</v>
      </c>
      <c r="IK187" s="2">
        <v>0</v>
      </c>
    </row>
    <row r="188" spans="1:245" x14ac:dyDescent="0.2">
      <c r="A188" s="2">
        <v>18</v>
      </c>
      <c r="B188" s="2">
        <v>1</v>
      </c>
      <c r="C188" s="2">
        <v>128</v>
      </c>
      <c r="E188" s="2" t="s">
        <v>310</v>
      </c>
      <c r="F188" s="2" t="s">
        <v>300</v>
      </c>
      <c r="G188" s="2" t="s">
        <v>525</v>
      </c>
      <c r="H188" s="2" t="s">
        <v>146</v>
      </c>
      <c r="I188" s="2">
        <f>I186*J188</f>
        <v>7.56</v>
      </c>
      <c r="J188" s="2">
        <v>44.999999999999993</v>
      </c>
      <c r="K188" s="2">
        <v>45</v>
      </c>
      <c r="O188" s="2">
        <f t="shared" si="143"/>
        <v>2011.81</v>
      </c>
      <c r="P188" s="2">
        <f t="shared" si="144"/>
        <v>2011.81</v>
      </c>
      <c r="Q188" s="2">
        <f>(ROUND((ROUND(((ET188)*AV188*I188),2)*BB188),2)+ROUND((ROUND(((AE188-(EU188))*AV188*I188),2)*BS188),2))</f>
        <v>0</v>
      </c>
      <c r="R188" s="2">
        <f>(ROUND((ROUND(((EU188)*AV188*I188),2)*BS188),2)+ROUND((ROUND(((AE188-(EU188))*AV188*I188),2)*BS188),2))</f>
        <v>0</v>
      </c>
      <c r="S188" s="2">
        <f t="shared" si="145"/>
        <v>0</v>
      </c>
      <c r="T188" s="2">
        <f t="shared" si="146"/>
        <v>0</v>
      </c>
      <c r="U188" s="2">
        <f t="shared" si="147"/>
        <v>0</v>
      </c>
      <c r="V188" s="2">
        <f t="shared" si="148"/>
        <v>0</v>
      </c>
      <c r="W188" s="2">
        <f t="shared" si="149"/>
        <v>0</v>
      </c>
      <c r="X188" s="2">
        <f>(ROUND((((S188+ROUND((ROUND(((EU188)*AV188*I188),2)*BS188),2))*AT188)/100),2)+ROUND(((ROUND((ROUND(((AE188-(EU188))*AV188*I188),2)*BS188),2)*AT188)/100),2))</f>
        <v>0</v>
      </c>
      <c r="Y188" s="2">
        <f>(ROUND((((S188+ROUND((ROUND(((EU188)*AV188*I188),2)*BS188),2))*AU188)/100),2)+ROUND(((ROUND((ROUND(((AE188-(EU188))*AV188*I188),2)*BS188),2)*AU188)/100),2))</f>
        <v>0</v>
      </c>
      <c r="AA188" s="2">
        <v>56793366</v>
      </c>
      <c r="AB188" s="2">
        <f t="shared" si="150"/>
        <v>117.23</v>
      </c>
      <c r="AC188" s="2">
        <f>ROUND((ES188),6)</f>
        <v>117.23</v>
      </c>
      <c r="AD188" s="2">
        <f>ROUND((((ET188)-(EU188))+AE188),6)</f>
        <v>0</v>
      </c>
      <c r="AE188" s="2">
        <f t="shared" si="170"/>
        <v>0</v>
      </c>
      <c r="AF188" s="2">
        <f t="shared" si="170"/>
        <v>0</v>
      </c>
      <c r="AG188" s="2">
        <f t="shared" si="152"/>
        <v>0</v>
      </c>
      <c r="AH188" s="2">
        <f t="shared" si="171"/>
        <v>0</v>
      </c>
      <c r="AI188" s="2">
        <f t="shared" si="171"/>
        <v>0</v>
      </c>
      <c r="AJ188" s="2">
        <f t="shared" si="154"/>
        <v>0</v>
      </c>
      <c r="AK188" s="2">
        <v>117.23</v>
      </c>
      <c r="AL188" s="2">
        <v>117.23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90</v>
      </c>
      <c r="AU188" s="2">
        <v>42</v>
      </c>
      <c r="AV188" s="2">
        <v>1</v>
      </c>
      <c r="AW188" s="2">
        <v>1</v>
      </c>
      <c r="AZ188" s="2">
        <v>1</v>
      </c>
      <c r="BA188" s="2">
        <v>1</v>
      </c>
      <c r="BB188" s="2">
        <v>1</v>
      </c>
      <c r="BC188" s="2">
        <v>2.27</v>
      </c>
      <c r="BD188" s="2" t="s">
        <v>3</v>
      </c>
      <c r="BE188" s="2" t="s">
        <v>3</v>
      </c>
      <c r="BF188" s="2" t="s">
        <v>3</v>
      </c>
      <c r="BG188" s="2" t="s">
        <v>3</v>
      </c>
      <c r="BH188" s="2">
        <v>3</v>
      </c>
      <c r="BI188" s="2">
        <v>1</v>
      </c>
      <c r="BJ188" s="2" t="s">
        <v>301</v>
      </c>
      <c r="BM188" s="2">
        <v>20</v>
      </c>
      <c r="BN188" s="2">
        <v>0</v>
      </c>
      <c r="BO188" s="2" t="s">
        <v>300</v>
      </c>
      <c r="BP188" s="2">
        <v>1</v>
      </c>
      <c r="BQ188" s="2">
        <v>30</v>
      </c>
      <c r="BR188" s="2">
        <v>0</v>
      </c>
      <c r="BS188" s="2">
        <v>1</v>
      </c>
      <c r="BT188" s="2">
        <v>1</v>
      </c>
      <c r="BU188" s="2">
        <v>1</v>
      </c>
      <c r="BV188" s="2">
        <v>1</v>
      </c>
      <c r="BW188" s="2">
        <v>1</v>
      </c>
      <c r="BX188" s="2">
        <v>1</v>
      </c>
      <c r="BY188" s="2" t="s">
        <v>3</v>
      </c>
      <c r="BZ188" s="2">
        <v>90</v>
      </c>
      <c r="CA188" s="2">
        <v>42</v>
      </c>
      <c r="CB188" s="2" t="s">
        <v>3</v>
      </c>
      <c r="CE188" s="2">
        <v>1566</v>
      </c>
      <c r="CF188" s="2">
        <v>0</v>
      </c>
      <c r="CG188" s="2">
        <v>0</v>
      </c>
      <c r="CM188" s="2">
        <v>0</v>
      </c>
      <c r="CN188" s="2" t="s">
        <v>520</v>
      </c>
      <c r="CO188" s="2">
        <v>0</v>
      </c>
      <c r="CP188" s="2">
        <f t="shared" si="155"/>
        <v>2011.81</v>
      </c>
      <c r="CQ188" s="2">
        <f t="shared" si="156"/>
        <v>266.11</v>
      </c>
      <c r="CR188" s="2">
        <f>(ROUND((ROUND(((ET188)*AV188*1),2)*BB188),2)+ROUND((ROUND(((AE188-(EU188))*AV188*1),2)*BS188),2))</f>
        <v>0</v>
      </c>
      <c r="CS188" s="2">
        <f>(ROUND((ROUND(((EU188)*AV188*1),2)*BS188),2)+ROUND((ROUND(((AE188-(EU188))*AV188*1),2)*BS188),2))</f>
        <v>0</v>
      </c>
      <c r="CT188" s="2">
        <f t="shared" si="157"/>
        <v>0</v>
      </c>
      <c r="CU188" s="2">
        <f t="shared" si="158"/>
        <v>0</v>
      </c>
      <c r="CV188" s="2">
        <f t="shared" si="159"/>
        <v>0</v>
      </c>
      <c r="CW188" s="2">
        <f t="shared" si="160"/>
        <v>0</v>
      </c>
      <c r="CX188" s="2">
        <f t="shared" si="161"/>
        <v>0</v>
      </c>
      <c r="CY188" s="2">
        <f>(ROUND((((S188+ROUND((ROUND(((EU188)*AV188*1),2)*BS188),2))*AT188)/100),2)+ROUND(((ROUND((ROUND(((AE188-(EU188))*AV188*1),2)*BS188),2)*AT188)/100),2))</f>
        <v>0</v>
      </c>
      <c r="CZ188" s="2">
        <f>(ROUND((((S188+ROUND((ROUND(((EU188)*AV188*1),2)*BS188),2))*AU188)/100),2)+ROUND(((ROUND((ROUND(((AE188-(EU188))*AV188*1),2)*BS188),2)*AU188)/100),2))</f>
        <v>0</v>
      </c>
      <c r="DC188" s="2" t="s">
        <v>3</v>
      </c>
      <c r="DD188" s="2" t="s">
        <v>3</v>
      </c>
      <c r="DE188" s="2" t="s">
        <v>3</v>
      </c>
      <c r="DF188" s="2" t="s">
        <v>3</v>
      </c>
      <c r="DG188" s="2" t="s">
        <v>3</v>
      </c>
      <c r="DH188" s="2" t="s">
        <v>3</v>
      </c>
      <c r="DI188" s="2" t="s">
        <v>3</v>
      </c>
      <c r="DJ188" s="2" t="s">
        <v>3</v>
      </c>
      <c r="DK188" s="2" t="s">
        <v>3</v>
      </c>
      <c r="DL188" s="2" t="s">
        <v>3</v>
      </c>
      <c r="DM188" s="2" t="s">
        <v>3</v>
      </c>
      <c r="DN188" s="2">
        <v>0</v>
      </c>
      <c r="DO188" s="2">
        <v>0</v>
      </c>
      <c r="DP188" s="2">
        <v>1</v>
      </c>
      <c r="DQ188" s="2">
        <v>1</v>
      </c>
      <c r="DU188" s="2">
        <v>1009</v>
      </c>
      <c r="DV188" s="2" t="s">
        <v>146</v>
      </c>
      <c r="DW188" s="2" t="s">
        <v>146</v>
      </c>
      <c r="DX188" s="2">
        <v>1</v>
      </c>
      <c r="DZ188" s="2" t="s">
        <v>3</v>
      </c>
      <c r="EA188" s="2" t="s">
        <v>3</v>
      </c>
      <c r="EB188" s="2" t="s">
        <v>3</v>
      </c>
      <c r="EC188" s="2" t="s">
        <v>3</v>
      </c>
      <c r="EE188" s="2">
        <v>55896072</v>
      </c>
      <c r="EF188" s="2">
        <v>30</v>
      </c>
      <c r="EG188" s="2" t="s">
        <v>49</v>
      </c>
      <c r="EH188" s="2">
        <v>0</v>
      </c>
      <c r="EI188" s="2" t="s">
        <v>3</v>
      </c>
      <c r="EJ188" s="2">
        <v>1</v>
      </c>
      <c r="EK188" s="2">
        <v>20</v>
      </c>
      <c r="EL188" s="2" t="s">
        <v>234</v>
      </c>
      <c r="EM188" s="2" t="s">
        <v>235</v>
      </c>
      <c r="EO188" s="2" t="s">
        <v>28</v>
      </c>
      <c r="EQ188" s="2">
        <v>0</v>
      </c>
      <c r="ER188" s="2">
        <v>117.23</v>
      </c>
      <c r="ES188" s="2">
        <v>117.23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FQ188" s="2">
        <v>0</v>
      </c>
      <c r="FR188" s="2">
        <v>0</v>
      </c>
      <c r="FS188" s="2">
        <v>0</v>
      </c>
      <c r="FX188" s="2">
        <v>90</v>
      </c>
      <c r="FY188" s="2">
        <v>42</v>
      </c>
      <c r="GA188" s="2" t="s">
        <v>3</v>
      </c>
      <c r="GD188" s="2">
        <v>1</v>
      </c>
      <c r="GF188" s="2">
        <v>356450355</v>
      </c>
      <c r="GG188" s="2">
        <v>2</v>
      </c>
      <c r="GH188" s="2">
        <v>1</v>
      </c>
      <c r="GI188" s="2">
        <v>2</v>
      </c>
      <c r="GJ188" s="2">
        <v>0</v>
      </c>
      <c r="GK188" s="2">
        <v>0</v>
      </c>
      <c r="GL188" s="2">
        <f t="shared" si="162"/>
        <v>0</v>
      </c>
      <c r="GM188" s="2">
        <f t="shared" si="163"/>
        <v>2011.81</v>
      </c>
      <c r="GN188" s="2">
        <f t="shared" si="164"/>
        <v>2011.81</v>
      </c>
      <c r="GO188" s="2">
        <f t="shared" si="165"/>
        <v>0</v>
      </c>
      <c r="GP188" s="2">
        <f t="shared" si="166"/>
        <v>0</v>
      </c>
      <c r="GR188" s="2">
        <v>0</v>
      </c>
      <c r="GS188" s="2">
        <v>3</v>
      </c>
      <c r="GT188" s="2">
        <v>0</v>
      </c>
      <c r="GU188" s="2" t="s">
        <v>3</v>
      </c>
      <c r="GV188" s="2">
        <f t="shared" si="167"/>
        <v>0</v>
      </c>
      <c r="GW188" s="2">
        <v>1</v>
      </c>
      <c r="GX188" s="2">
        <f t="shared" si="168"/>
        <v>0</v>
      </c>
      <c r="HA188" s="2">
        <v>0</v>
      </c>
      <c r="HB188" s="2">
        <v>0</v>
      </c>
      <c r="HC188" s="2">
        <f t="shared" si="169"/>
        <v>0</v>
      </c>
      <c r="HE188" s="2" t="s">
        <v>3</v>
      </c>
      <c r="HF188" s="2" t="s">
        <v>3</v>
      </c>
      <c r="HM188" s="2" t="s">
        <v>24</v>
      </c>
      <c r="HN188" s="2" t="s">
        <v>3</v>
      </c>
      <c r="HO188" s="2" t="s">
        <v>3</v>
      </c>
      <c r="HP188" s="2" t="s">
        <v>3</v>
      </c>
      <c r="HQ188" s="2" t="s">
        <v>3</v>
      </c>
      <c r="HS188" s="2">
        <v>0</v>
      </c>
      <c r="IK188" s="2">
        <v>0</v>
      </c>
    </row>
    <row r="189" spans="1:245" x14ac:dyDescent="0.2">
      <c r="A189" s="2">
        <v>18</v>
      </c>
      <c r="B189" s="2">
        <v>1</v>
      </c>
      <c r="C189" s="2">
        <v>130</v>
      </c>
      <c r="E189" s="2" t="s">
        <v>311</v>
      </c>
      <c r="F189" s="2" t="s">
        <v>312</v>
      </c>
      <c r="G189" s="2" t="s">
        <v>313</v>
      </c>
      <c r="H189" s="2" t="s">
        <v>146</v>
      </c>
      <c r="I189" s="2">
        <f>I186*J189</f>
        <v>20.12304</v>
      </c>
      <c r="J189" s="2">
        <v>119.77999999999999</v>
      </c>
      <c r="K189" s="2">
        <v>119.78</v>
      </c>
      <c r="O189" s="2">
        <f t="shared" si="143"/>
        <v>1041.76</v>
      </c>
      <c r="P189" s="2">
        <f t="shared" si="144"/>
        <v>1041.76</v>
      </c>
      <c r="Q189" s="2">
        <f>(ROUND((ROUND(((ET189)*AV189*I189),2)*BB189),2)+ROUND((ROUND(((AE189-(EU189))*AV189*I189),2)*BS189),2))</f>
        <v>0</v>
      </c>
      <c r="R189" s="2">
        <f>(ROUND((ROUND(((EU189)*AV189*I189),2)*BS189),2)+ROUND((ROUND(((AE189-(EU189))*AV189*I189),2)*BS189),2))</f>
        <v>0</v>
      </c>
      <c r="S189" s="2">
        <f t="shared" si="145"/>
        <v>0</v>
      </c>
      <c r="T189" s="2">
        <f t="shared" si="146"/>
        <v>0</v>
      </c>
      <c r="U189" s="2">
        <f t="shared" si="147"/>
        <v>0</v>
      </c>
      <c r="V189" s="2">
        <f t="shared" si="148"/>
        <v>0</v>
      </c>
      <c r="W189" s="2">
        <f t="shared" si="149"/>
        <v>0</v>
      </c>
      <c r="X189" s="2">
        <f>(ROUND((((S189+ROUND((ROUND(((EU189)*AV189*I189),2)*BS189),2))*AT189)/100),2)+ROUND(((ROUND((ROUND(((AE189-(EU189))*AV189*I189),2)*BS189),2)*AT189)/100),2))</f>
        <v>0</v>
      </c>
      <c r="Y189" s="2">
        <f>(ROUND((((S189+ROUND((ROUND(((EU189)*AV189*I189),2)*BS189),2))*AU189)/100),2)+ROUND(((ROUND((ROUND(((AE189-(EU189))*AV189*I189),2)*BS189),2)*AU189)/100),2))</f>
        <v>0</v>
      </c>
      <c r="AA189" s="2">
        <v>56793366</v>
      </c>
      <c r="AB189" s="2">
        <f t="shared" si="150"/>
        <v>8.8800000000000008</v>
      </c>
      <c r="AC189" s="2">
        <f>ROUND((ES189),6)</f>
        <v>8.8800000000000008</v>
      </c>
      <c r="AD189" s="2">
        <f>ROUND((((ET189)-(EU189))+AE189),6)</f>
        <v>0</v>
      </c>
      <c r="AE189" s="2">
        <f t="shared" si="170"/>
        <v>0</v>
      </c>
      <c r="AF189" s="2">
        <f t="shared" si="170"/>
        <v>0</v>
      </c>
      <c r="AG189" s="2">
        <f t="shared" si="152"/>
        <v>0</v>
      </c>
      <c r="AH189" s="2">
        <f t="shared" si="171"/>
        <v>0</v>
      </c>
      <c r="AI189" s="2">
        <f t="shared" si="171"/>
        <v>0</v>
      </c>
      <c r="AJ189" s="2">
        <f t="shared" si="154"/>
        <v>0</v>
      </c>
      <c r="AK189" s="2">
        <v>8.8800000000000008</v>
      </c>
      <c r="AL189" s="2">
        <v>8.8800000000000008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90</v>
      </c>
      <c r="AU189" s="2">
        <v>42</v>
      </c>
      <c r="AV189" s="2">
        <v>1</v>
      </c>
      <c r="AW189" s="2">
        <v>1</v>
      </c>
      <c r="AZ189" s="2">
        <v>1</v>
      </c>
      <c r="BA189" s="2">
        <v>1</v>
      </c>
      <c r="BB189" s="2">
        <v>1</v>
      </c>
      <c r="BC189" s="2">
        <v>5.83</v>
      </c>
      <c r="BD189" s="2" t="s">
        <v>3</v>
      </c>
      <c r="BE189" s="2" t="s">
        <v>3</v>
      </c>
      <c r="BF189" s="2" t="s">
        <v>3</v>
      </c>
      <c r="BG189" s="2" t="s">
        <v>3</v>
      </c>
      <c r="BH189" s="2">
        <v>3</v>
      </c>
      <c r="BI189" s="2">
        <v>1</v>
      </c>
      <c r="BJ189" s="2" t="s">
        <v>314</v>
      </c>
      <c r="BM189" s="2">
        <v>20</v>
      </c>
      <c r="BN189" s="2">
        <v>0</v>
      </c>
      <c r="BO189" s="2" t="s">
        <v>312</v>
      </c>
      <c r="BP189" s="2">
        <v>1</v>
      </c>
      <c r="BQ189" s="2">
        <v>30</v>
      </c>
      <c r="BR189" s="2">
        <v>0</v>
      </c>
      <c r="BS189" s="2">
        <v>1</v>
      </c>
      <c r="BT189" s="2">
        <v>1</v>
      </c>
      <c r="BU189" s="2">
        <v>1</v>
      </c>
      <c r="BV189" s="2">
        <v>1</v>
      </c>
      <c r="BW189" s="2">
        <v>1</v>
      </c>
      <c r="BX189" s="2">
        <v>1</v>
      </c>
      <c r="BY189" s="2" t="s">
        <v>3</v>
      </c>
      <c r="BZ189" s="2">
        <v>90</v>
      </c>
      <c r="CA189" s="2">
        <v>42</v>
      </c>
      <c r="CB189" s="2" t="s">
        <v>3</v>
      </c>
      <c r="CE189" s="2">
        <v>1566</v>
      </c>
      <c r="CF189" s="2">
        <v>0</v>
      </c>
      <c r="CG189" s="2">
        <v>0</v>
      </c>
      <c r="CM189" s="2">
        <v>0</v>
      </c>
      <c r="CN189" s="2" t="s">
        <v>520</v>
      </c>
      <c r="CO189" s="2">
        <v>0</v>
      </c>
      <c r="CP189" s="2">
        <f t="shared" si="155"/>
        <v>1041.76</v>
      </c>
      <c r="CQ189" s="2">
        <f t="shared" si="156"/>
        <v>51.77</v>
      </c>
      <c r="CR189" s="2">
        <f>(ROUND((ROUND(((ET189)*AV189*1),2)*BB189),2)+ROUND((ROUND(((AE189-(EU189))*AV189*1),2)*BS189),2))</f>
        <v>0</v>
      </c>
      <c r="CS189" s="2">
        <f>(ROUND((ROUND(((EU189)*AV189*1),2)*BS189),2)+ROUND((ROUND(((AE189-(EU189))*AV189*1),2)*BS189),2))</f>
        <v>0</v>
      </c>
      <c r="CT189" s="2">
        <f t="shared" si="157"/>
        <v>0</v>
      </c>
      <c r="CU189" s="2">
        <f t="shared" si="158"/>
        <v>0</v>
      </c>
      <c r="CV189" s="2">
        <f t="shared" si="159"/>
        <v>0</v>
      </c>
      <c r="CW189" s="2">
        <f t="shared" si="160"/>
        <v>0</v>
      </c>
      <c r="CX189" s="2">
        <f t="shared" si="161"/>
        <v>0</v>
      </c>
      <c r="CY189" s="2">
        <f>(ROUND((((S189+ROUND((ROUND(((EU189)*AV189*1),2)*BS189),2))*AT189)/100),2)+ROUND(((ROUND((ROUND(((AE189-(EU189))*AV189*1),2)*BS189),2)*AT189)/100),2))</f>
        <v>0</v>
      </c>
      <c r="CZ189" s="2">
        <f>(ROUND((((S189+ROUND((ROUND(((EU189)*AV189*1),2)*BS189),2))*AU189)/100),2)+ROUND(((ROUND((ROUND(((AE189-(EU189))*AV189*1),2)*BS189),2)*AU189)/100),2))</f>
        <v>0</v>
      </c>
      <c r="DC189" s="2" t="s">
        <v>3</v>
      </c>
      <c r="DD189" s="2" t="s">
        <v>3</v>
      </c>
      <c r="DE189" s="2" t="s">
        <v>3</v>
      </c>
      <c r="DF189" s="2" t="s">
        <v>3</v>
      </c>
      <c r="DG189" s="2" t="s">
        <v>3</v>
      </c>
      <c r="DH189" s="2" t="s">
        <v>3</v>
      </c>
      <c r="DI189" s="2" t="s">
        <v>3</v>
      </c>
      <c r="DJ189" s="2" t="s">
        <v>3</v>
      </c>
      <c r="DK189" s="2" t="s">
        <v>3</v>
      </c>
      <c r="DL189" s="2" t="s">
        <v>3</v>
      </c>
      <c r="DM189" s="2" t="s">
        <v>3</v>
      </c>
      <c r="DN189" s="2">
        <v>0</v>
      </c>
      <c r="DO189" s="2">
        <v>0</v>
      </c>
      <c r="DP189" s="2">
        <v>1</v>
      </c>
      <c r="DQ189" s="2">
        <v>1</v>
      </c>
      <c r="DU189" s="2">
        <v>1009</v>
      </c>
      <c r="DV189" s="2" t="s">
        <v>146</v>
      </c>
      <c r="DW189" s="2" t="s">
        <v>146</v>
      </c>
      <c r="DX189" s="2">
        <v>1</v>
      </c>
      <c r="DZ189" s="2" t="s">
        <v>3</v>
      </c>
      <c r="EA189" s="2" t="s">
        <v>3</v>
      </c>
      <c r="EB189" s="2" t="s">
        <v>3</v>
      </c>
      <c r="EC189" s="2" t="s">
        <v>3</v>
      </c>
      <c r="EE189" s="2">
        <v>55896072</v>
      </c>
      <c r="EF189" s="2">
        <v>30</v>
      </c>
      <c r="EG189" s="2" t="s">
        <v>49</v>
      </c>
      <c r="EH189" s="2">
        <v>0</v>
      </c>
      <c r="EI189" s="2" t="s">
        <v>3</v>
      </c>
      <c r="EJ189" s="2">
        <v>1</v>
      </c>
      <c r="EK189" s="2">
        <v>20</v>
      </c>
      <c r="EL189" s="2" t="s">
        <v>234</v>
      </c>
      <c r="EM189" s="2" t="s">
        <v>235</v>
      </c>
      <c r="EO189" s="2" t="s">
        <v>28</v>
      </c>
      <c r="EQ189" s="2">
        <v>0</v>
      </c>
      <c r="ER189" s="2">
        <v>8.8800000000000008</v>
      </c>
      <c r="ES189" s="2">
        <v>8.8800000000000008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FQ189" s="2">
        <v>0</v>
      </c>
      <c r="FR189" s="2">
        <v>0</v>
      </c>
      <c r="FS189" s="2">
        <v>0</v>
      </c>
      <c r="FX189" s="2">
        <v>90</v>
      </c>
      <c r="FY189" s="2">
        <v>42</v>
      </c>
      <c r="GA189" s="2" t="s">
        <v>3</v>
      </c>
      <c r="GD189" s="2">
        <v>1</v>
      </c>
      <c r="GF189" s="2">
        <v>1854259352</v>
      </c>
      <c r="GG189" s="2">
        <v>2</v>
      </c>
      <c r="GH189" s="2">
        <v>1</v>
      </c>
      <c r="GI189" s="2">
        <v>2</v>
      </c>
      <c r="GJ189" s="2">
        <v>0</v>
      </c>
      <c r="GK189" s="2">
        <v>0</v>
      </c>
      <c r="GL189" s="2">
        <f t="shared" si="162"/>
        <v>0</v>
      </c>
      <c r="GM189" s="2">
        <f t="shared" si="163"/>
        <v>1041.76</v>
      </c>
      <c r="GN189" s="2">
        <f t="shared" si="164"/>
        <v>1041.76</v>
      </c>
      <c r="GO189" s="2">
        <f t="shared" si="165"/>
        <v>0</v>
      </c>
      <c r="GP189" s="2">
        <f t="shared" si="166"/>
        <v>0</v>
      </c>
      <c r="GR189" s="2">
        <v>0</v>
      </c>
      <c r="GS189" s="2">
        <v>3</v>
      </c>
      <c r="GT189" s="2">
        <v>0</v>
      </c>
      <c r="GU189" s="2" t="s">
        <v>3</v>
      </c>
      <c r="GV189" s="2">
        <f t="shared" si="167"/>
        <v>0</v>
      </c>
      <c r="GW189" s="2">
        <v>1</v>
      </c>
      <c r="GX189" s="2">
        <f t="shared" si="168"/>
        <v>0</v>
      </c>
      <c r="HA189" s="2">
        <v>0</v>
      </c>
      <c r="HB189" s="2">
        <v>0</v>
      </c>
      <c r="HC189" s="2">
        <f t="shared" si="169"/>
        <v>0</v>
      </c>
      <c r="HE189" s="2" t="s">
        <v>3</v>
      </c>
      <c r="HF189" s="2" t="s">
        <v>3</v>
      </c>
      <c r="HM189" s="2" t="s">
        <v>24</v>
      </c>
      <c r="HN189" s="2" t="s">
        <v>3</v>
      </c>
      <c r="HO189" s="2" t="s">
        <v>3</v>
      </c>
      <c r="HP189" s="2" t="s">
        <v>3</v>
      </c>
      <c r="HQ189" s="2" t="s">
        <v>3</v>
      </c>
      <c r="HS189" s="2">
        <v>0</v>
      </c>
      <c r="IK189" s="2">
        <v>0</v>
      </c>
    </row>
    <row r="191" spans="1:245" x14ac:dyDescent="0.2">
      <c r="A191" s="9">
        <v>51</v>
      </c>
      <c r="B191" s="9">
        <f>B177</f>
        <v>1</v>
      </c>
      <c r="C191" s="9">
        <f>A177</f>
        <v>5</v>
      </c>
      <c r="D191" s="9">
        <f>ROW(A177)</f>
        <v>177</v>
      </c>
      <c r="E191" s="9"/>
      <c r="F191" s="9" t="str">
        <f>IF(F177&lt;&gt;"",F177,"")</f>
        <v>Новый подраздел</v>
      </c>
      <c r="G191" s="9" t="str">
        <f>IF(G177&lt;&gt;"",G177,"")</f>
        <v>Подраздел: Потолки</v>
      </c>
      <c r="H191" s="9">
        <v>0</v>
      </c>
      <c r="I191" s="9"/>
      <c r="J191" s="9"/>
      <c r="K191" s="9"/>
      <c r="L191" s="9"/>
      <c r="M191" s="9"/>
      <c r="N191" s="9"/>
      <c r="O191" s="9">
        <f t="shared" ref="O191:T191" si="172">ROUND(AB191,2)</f>
        <v>38689.46</v>
      </c>
      <c r="P191" s="9">
        <f t="shared" si="172"/>
        <v>21404.959999999999</v>
      </c>
      <c r="Q191" s="9">
        <f t="shared" si="172"/>
        <v>29.15</v>
      </c>
      <c r="R191" s="9">
        <f t="shared" si="172"/>
        <v>13.69</v>
      </c>
      <c r="S191" s="9">
        <f t="shared" si="172"/>
        <v>17255.349999999999</v>
      </c>
      <c r="T191" s="9">
        <f t="shared" si="172"/>
        <v>0</v>
      </c>
      <c r="U191" s="9">
        <f>AH191</f>
        <v>26.638500000000001</v>
      </c>
      <c r="V191" s="9">
        <f>AI191</f>
        <v>0</v>
      </c>
      <c r="W191" s="9">
        <f>ROUND(AJ191,2)</f>
        <v>0</v>
      </c>
      <c r="X191" s="9">
        <f>ROUND(AK191,2)</f>
        <v>15498.69</v>
      </c>
      <c r="Y191" s="9">
        <f>ROUND(AL191,2)</f>
        <v>7279.13</v>
      </c>
      <c r="Z191" s="9"/>
      <c r="AA191" s="9"/>
      <c r="AB191" s="9">
        <f>ROUND(SUMIF(AA181:AA189,"=56793366",O181:O189),2)</f>
        <v>38689.46</v>
      </c>
      <c r="AC191" s="9">
        <f>ROUND(SUMIF(AA181:AA189,"=56793366",P181:P189),2)</f>
        <v>21404.959999999999</v>
      </c>
      <c r="AD191" s="9">
        <f>ROUND(SUMIF(AA181:AA189,"=56793366",Q181:Q189),2)</f>
        <v>29.15</v>
      </c>
      <c r="AE191" s="9">
        <f>ROUND(SUMIF(AA181:AA189,"=56793366",R181:R189),2)</f>
        <v>13.69</v>
      </c>
      <c r="AF191" s="9">
        <f>ROUND(SUMIF(AA181:AA189,"=56793366",S181:S189),2)</f>
        <v>17255.349999999999</v>
      </c>
      <c r="AG191" s="9">
        <f>ROUND(SUMIF(AA181:AA189,"=56793366",T181:T189),2)</f>
        <v>0</v>
      </c>
      <c r="AH191" s="9">
        <f>SUMIF(AA181:AA189,"=56793366",U181:U189)</f>
        <v>26.638500000000001</v>
      </c>
      <c r="AI191" s="9">
        <f>SUMIF(AA181:AA189,"=56793366",V181:V189)</f>
        <v>0</v>
      </c>
      <c r="AJ191" s="9">
        <f>ROUND(SUMIF(AA181:AA189,"=56793366",W181:W189),2)</f>
        <v>0</v>
      </c>
      <c r="AK191" s="9">
        <f>ROUND(SUMIF(AA181:AA189,"=56793366",X181:X189),2)</f>
        <v>15498.69</v>
      </c>
      <c r="AL191" s="9">
        <f>ROUND(SUMIF(AA181:AA189,"=56793366",Y181:Y189),2)</f>
        <v>7279.13</v>
      </c>
      <c r="AM191" s="9"/>
      <c r="AN191" s="9"/>
      <c r="AO191" s="9">
        <f t="shared" ref="AO191:BD191" si="173">ROUND(BX191,2)</f>
        <v>0</v>
      </c>
      <c r="AP191" s="9">
        <f t="shared" si="173"/>
        <v>0</v>
      </c>
      <c r="AQ191" s="9">
        <f t="shared" si="173"/>
        <v>0</v>
      </c>
      <c r="AR191" s="9">
        <f t="shared" si="173"/>
        <v>61467.28</v>
      </c>
      <c r="AS191" s="9">
        <f t="shared" si="173"/>
        <v>61467.28</v>
      </c>
      <c r="AT191" s="9">
        <f t="shared" si="173"/>
        <v>0</v>
      </c>
      <c r="AU191" s="9">
        <f t="shared" si="173"/>
        <v>0</v>
      </c>
      <c r="AV191" s="9">
        <f t="shared" si="173"/>
        <v>21404.959999999999</v>
      </c>
      <c r="AW191" s="9">
        <f t="shared" si="173"/>
        <v>21404.959999999999</v>
      </c>
      <c r="AX191" s="9">
        <f t="shared" si="173"/>
        <v>0</v>
      </c>
      <c r="AY191" s="9">
        <f t="shared" si="173"/>
        <v>21404.959999999999</v>
      </c>
      <c r="AZ191" s="9">
        <f t="shared" si="173"/>
        <v>0</v>
      </c>
      <c r="BA191" s="9">
        <f t="shared" si="173"/>
        <v>0</v>
      </c>
      <c r="BB191" s="9">
        <f t="shared" si="173"/>
        <v>0</v>
      </c>
      <c r="BC191" s="9">
        <f t="shared" si="173"/>
        <v>0</v>
      </c>
      <c r="BD191" s="9">
        <f t="shared" si="173"/>
        <v>0</v>
      </c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>
        <f>ROUND(SUMIF(AA181:AA189,"=56793366",FQ181:FQ189),2)</f>
        <v>0</v>
      </c>
      <c r="BY191" s="9">
        <f>ROUND(SUMIF(AA181:AA189,"=56793366",FR181:FR189),2)</f>
        <v>0</v>
      </c>
      <c r="BZ191" s="9">
        <f>ROUND(SUMIF(AA181:AA189,"=56793366",GL181:GL189),2)</f>
        <v>0</v>
      </c>
      <c r="CA191" s="9">
        <f>ROUND(SUMIF(AA181:AA189,"=56793366",GM181:GM189),2)</f>
        <v>61467.28</v>
      </c>
      <c r="CB191" s="9">
        <f>ROUND(SUMIF(AA181:AA189,"=56793366",GN181:GN189),2)</f>
        <v>61467.28</v>
      </c>
      <c r="CC191" s="9">
        <f>ROUND(SUMIF(AA181:AA189,"=56793366",GO181:GO189),2)</f>
        <v>0</v>
      </c>
      <c r="CD191" s="9">
        <f>ROUND(SUMIF(AA181:AA189,"=56793366",GP181:GP189),2)</f>
        <v>0</v>
      </c>
      <c r="CE191" s="9">
        <f>AC191-BX191</f>
        <v>21404.959999999999</v>
      </c>
      <c r="CF191" s="9">
        <f>AC191-BY191</f>
        <v>21404.959999999999</v>
      </c>
      <c r="CG191" s="9">
        <f>BX191-BZ191</f>
        <v>0</v>
      </c>
      <c r="CH191" s="9">
        <f>AC191-BX191-BY191+BZ191</f>
        <v>21404.959999999999</v>
      </c>
      <c r="CI191" s="9">
        <f>BY191-BZ191</f>
        <v>0</v>
      </c>
      <c r="CJ191" s="9">
        <f>ROUND(SUMIF(AA181:AA189,"=56793366",GX181:GX189),2)</f>
        <v>0</v>
      </c>
      <c r="CK191" s="9">
        <f>ROUND(SUMIF(AA181:AA189,"=56793366",GY181:GY189),2)</f>
        <v>0</v>
      </c>
      <c r="CL191" s="9">
        <f>ROUND(SUMIF(AA181:AA189,"=56793366",GZ181:GZ189),2)</f>
        <v>0</v>
      </c>
      <c r="CM191" s="9">
        <f>ROUND(SUMIF(AA181:AA189,"=56793366",HD181:HD189),2)</f>
        <v>0</v>
      </c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>
        <v>0</v>
      </c>
    </row>
    <row r="193" spans="1:28" x14ac:dyDescent="0.2">
      <c r="A193" s="11">
        <v>50</v>
      </c>
      <c r="B193" s="11">
        <v>0</v>
      </c>
      <c r="C193" s="11">
        <v>0</v>
      </c>
      <c r="D193" s="11">
        <v>1</v>
      </c>
      <c r="E193" s="11">
        <v>201</v>
      </c>
      <c r="F193" s="11">
        <f>ROUND(Source!O191,O193)</f>
        <v>38689.46</v>
      </c>
      <c r="G193" s="11" t="s">
        <v>61</v>
      </c>
      <c r="H193" s="11" t="s">
        <v>62</v>
      </c>
      <c r="I193" s="11"/>
      <c r="J193" s="11"/>
      <c r="K193" s="11">
        <v>-201</v>
      </c>
      <c r="L193" s="11">
        <v>1</v>
      </c>
      <c r="M193" s="11">
        <v>3</v>
      </c>
      <c r="N193" s="11" t="s">
        <v>3</v>
      </c>
      <c r="O193" s="11">
        <v>2</v>
      </c>
      <c r="P193" s="11"/>
      <c r="Q193" s="11"/>
      <c r="R193" s="11"/>
      <c r="S193" s="11"/>
      <c r="T193" s="11"/>
      <c r="U193" s="11"/>
      <c r="V193" s="11"/>
      <c r="W193" s="11">
        <v>38689.46</v>
      </c>
      <c r="X193" s="11">
        <v>1</v>
      </c>
      <c r="Y193" s="11">
        <v>38689.46</v>
      </c>
      <c r="Z193" s="11"/>
      <c r="AA193" s="11"/>
      <c r="AB193" s="11"/>
    </row>
    <row r="194" spans="1:28" x14ac:dyDescent="0.2">
      <c r="A194" s="11">
        <v>50</v>
      </c>
      <c r="B194" s="11">
        <v>0</v>
      </c>
      <c r="C194" s="11">
        <v>0</v>
      </c>
      <c r="D194" s="11">
        <v>1</v>
      </c>
      <c r="E194" s="11">
        <v>202</v>
      </c>
      <c r="F194" s="11">
        <f>ROUND(Source!P191,O194)</f>
        <v>21404.959999999999</v>
      </c>
      <c r="G194" s="11" t="s">
        <v>63</v>
      </c>
      <c r="H194" s="11" t="s">
        <v>64</v>
      </c>
      <c r="I194" s="11"/>
      <c r="J194" s="11"/>
      <c r="K194" s="11">
        <v>-202</v>
      </c>
      <c r="L194" s="11">
        <v>2</v>
      </c>
      <c r="M194" s="11">
        <v>3</v>
      </c>
      <c r="N194" s="11" t="s">
        <v>3</v>
      </c>
      <c r="O194" s="11">
        <v>2</v>
      </c>
      <c r="P194" s="11"/>
      <c r="Q194" s="11"/>
      <c r="R194" s="11"/>
      <c r="S194" s="11"/>
      <c r="T194" s="11"/>
      <c r="U194" s="11"/>
      <c r="V194" s="11"/>
      <c r="W194" s="11">
        <v>21404.959999999999</v>
      </c>
      <c r="X194" s="11">
        <v>1</v>
      </c>
      <c r="Y194" s="11">
        <v>21404.959999999999</v>
      </c>
      <c r="Z194" s="11"/>
      <c r="AA194" s="11"/>
      <c r="AB194" s="11"/>
    </row>
    <row r="195" spans="1:28" x14ac:dyDescent="0.2">
      <c r="A195" s="11">
        <v>50</v>
      </c>
      <c r="B195" s="11">
        <v>0</v>
      </c>
      <c r="C195" s="11">
        <v>0</v>
      </c>
      <c r="D195" s="11">
        <v>1</v>
      </c>
      <c r="E195" s="11">
        <v>222</v>
      </c>
      <c r="F195" s="11">
        <f>ROUND(Source!AO191,O195)</f>
        <v>0</v>
      </c>
      <c r="G195" s="11" t="s">
        <v>65</v>
      </c>
      <c r="H195" s="11" t="s">
        <v>66</v>
      </c>
      <c r="I195" s="11"/>
      <c r="J195" s="11"/>
      <c r="K195" s="11">
        <v>-222</v>
      </c>
      <c r="L195" s="11">
        <v>3</v>
      </c>
      <c r="M195" s="11">
        <v>3</v>
      </c>
      <c r="N195" s="11" t="s">
        <v>3</v>
      </c>
      <c r="O195" s="11">
        <v>2</v>
      </c>
      <c r="P195" s="11"/>
      <c r="Q195" s="11"/>
      <c r="R195" s="11"/>
      <c r="S195" s="11"/>
      <c r="T195" s="11"/>
      <c r="U195" s="11"/>
      <c r="V195" s="11"/>
      <c r="W195" s="11">
        <v>0</v>
      </c>
      <c r="X195" s="11">
        <v>1</v>
      </c>
      <c r="Y195" s="11">
        <v>0</v>
      </c>
      <c r="Z195" s="11"/>
      <c r="AA195" s="11"/>
      <c r="AB195" s="11"/>
    </row>
    <row r="196" spans="1:28" x14ac:dyDescent="0.2">
      <c r="A196" s="11">
        <v>50</v>
      </c>
      <c r="B196" s="11">
        <v>0</v>
      </c>
      <c r="C196" s="11">
        <v>0</v>
      </c>
      <c r="D196" s="11">
        <v>1</v>
      </c>
      <c r="E196" s="11">
        <v>225</v>
      </c>
      <c r="F196" s="11">
        <f>ROUND(Source!AV191,O196)</f>
        <v>21404.959999999999</v>
      </c>
      <c r="G196" s="11" t="s">
        <v>67</v>
      </c>
      <c r="H196" s="11" t="s">
        <v>68</v>
      </c>
      <c r="I196" s="11"/>
      <c r="J196" s="11"/>
      <c r="K196" s="11">
        <v>-225</v>
      </c>
      <c r="L196" s="11">
        <v>4</v>
      </c>
      <c r="M196" s="11">
        <v>3</v>
      </c>
      <c r="N196" s="11" t="s">
        <v>3</v>
      </c>
      <c r="O196" s="11">
        <v>2</v>
      </c>
      <c r="P196" s="11"/>
      <c r="Q196" s="11"/>
      <c r="R196" s="11"/>
      <c r="S196" s="11"/>
      <c r="T196" s="11"/>
      <c r="U196" s="11"/>
      <c r="V196" s="11"/>
      <c r="W196" s="11">
        <v>21404.959999999999</v>
      </c>
      <c r="X196" s="11">
        <v>1</v>
      </c>
      <c r="Y196" s="11">
        <v>21404.959999999999</v>
      </c>
      <c r="Z196" s="11"/>
      <c r="AA196" s="11"/>
      <c r="AB196" s="11"/>
    </row>
    <row r="197" spans="1:28" x14ac:dyDescent="0.2">
      <c r="A197" s="11">
        <v>50</v>
      </c>
      <c r="B197" s="11">
        <v>0</v>
      </c>
      <c r="C197" s="11">
        <v>0</v>
      </c>
      <c r="D197" s="11">
        <v>1</v>
      </c>
      <c r="E197" s="11">
        <v>226</v>
      </c>
      <c r="F197" s="11">
        <f>ROUND(Source!AW191,O197)</f>
        <v>21404.959999999999</v>
      </c>
      <c r="G197" s="11" t="s">
        <v>69</v>
      </c>
      <c r="H197" s="11" t="s">
        <v>70</v>
      </c>
      <c r="I197" s="11"/>
      <c r="J197" s="11"/>
      <c r="K197" s="11">
        <v>-226</v>
      </c>
      <c r="L197" s="11">
        <v>5</v>
      </c>
      <c r="M197" s="11">
        <v>3</v>
      </c>
      <c r="N197" s="11" t="s">
        <v>3</v>
      </c>
      <c r="O197" s="11">
        <v>2</v>
      </c>
      <c r="P197" s="11"/>
      <c r="Q197" s="11"/>
      <c r="R197" s="11"/>
      <c r="S197" s="11"/>
      <c r="T197" s="11"/>
      <c r="U197" s="11"/>
      <c r="V197" s="11"/>
      <c r="W197" s="11">
        <v>21404.959999999999</v>
      </c>
      <c r="X197" s="11">
        <v>1</v>
      </c>
      <c r="Y197" s="11">
        <v>21404.959999999999</v>
      </c>
      <c r="Z197" s="11"/>
      <c r="AA197" s="11"/>
      <c r="AB197" s="11"/>
    </row>
    <row r="198" spans="1:28" x14ac:dyDescent="0.2">
      <c r="A198" s="11">
        <v>50</v>
      </c>
      <c r="B198" s="11">
        <v>0</v>
      </c>
      <c r="C198" s="11">
        <v>0</v>
      </c>
      <c r="D198" s="11">
        <v>1</v>
      </c>
      <c r="E198" s="11">
        <v>227</v>
      </c>
      <c r="F198" s="11">
        <f>ROUND(Source!AX191,O198)</f>
        <v>0</v>
      </c>
      <c r="G198" s="11" t="s">
        <v>71</v>
      </c>
      <c r="H198" s="11" t="s">
        <v>72</v>
      </c>
      <c r="I198" s="11"/>
      <c r="J198" s="11"/>
      <c r="K198" s="11">
        <v>-227</v>
      </c>
      <c r="L198" s="11">
        <v>6</v>
      </c>
      <c r="M198" s="11">
        <v>3</v>
      </c>
      <c r="N198" s="11" t="s">
        <v>3</v>
      </c>
      <c r="O198" s="11">
        <v>2</v>
      </c>
      <c r="P198" s="11"/>
      <c r="Q198" s="11"/>
      <c r="R198" s="11"/>
      <c r="S198" s="11"/>
      <c r="T198" s="11"/>
      <c r="U198" s="11"/>
      <c r="V198" s="11"/>
      <c r="W198" s="11">
        <v>0</v>
      </c>
      <c r="X198" s="11">
        <v>1</v>
      </c>
      <c r="Y198" s="11">
        <v>0</v>
      </c>
      <c r="Z198" s="11"/>
      <c r="AA198" s="11"/>
      <c r="AB198" s="11"/>
    </row>
    <row r="199" spans="1:28" x14ac:dyDescent="0.2">
      <c r="A199" s="11">
        <v>50</v>
      </c>
      <c r="B199" s="11">
        <v>0</v>
      </c>
      <c r="C199" s="11">
        <v>0</v>
      </c>
      <c r="D199" s="11">
        <v>1</v>
      </c>
      <c r="E199" s="11">
        <v>228</v>
      </c>
      <c r="F199" s="11">
        <f>ROUND(Source!AY191,O199)</f>
        <v>21404.959999999999</v>
      </c>
      <c r="G199" s="11" t="s">
        <v>73</v>
      </c>
      <c r="H199" s="11" t="s">
        <v>74</v>
      </c>
      <c r="I199" s="11"/>
      <c r="J199" s="11"/>
      <c r="K199" s="11">
        <v>-228</v>
      </c>
      <c r="L199" s="11">
        <v>7</v>
      </c>
      <c r="M199" s="11">
        <v>3</v>
      </c>
      <c r="N199" s="11" t="s">
        <v>3</v>
      </c>
      <c r="O199" s="11">
        <v>2</v>
      </c>
      <c r="P199" s="11"/>
      <c r="Q199" s="11"/>
      <c r="R199" s="11"/>
      <c r="S199" s="11"/>
      <c r="T199" s="11"/>
      <c r="U199" s="11"/>
      <c r="V199" s="11"/>
      <c r="W199" s="11">
        <v>21404.959999999999</v>
      </c>
      <c r="X199" s="11">
        <v>1</v>
      </c>
      <c r="Y199" s="11">
        <v>21404.959999999999</v>
      </c>
      <c r="Z199" s="11"/>
      <c r="AA199" s="11"/>
      <c r="AB199" s="11"/>
    </row>
    <row r="200" spans="1:28" x14ac:dyDescent="0.2">
      <c r="A200" s="11">
        <v>50</v>
      </c>
      <c r="B200" s="11">
        <v>0</v>
      </c>
      <c r="C200" s="11">
        <v>0</v>
      </c>
      <c r="D200" s="11">
        <v>1</v>
      </c>
      <c r="E200" s="11">
        <v>216</v>
      </c>
      <c r="F200" s="11">
        <f>ROUND(Source!AP191,O200)</f>
        <v>0</v>
      </c>
      <c r="G200" s="11" t="s">
        <v>75</v>
      </c>
      <c r="H200" s="11" t="s">
        <v>76</v>
      </c>
      <c r="I200" s="11"/>
      <c r="J200" s="11"/>
      <c r="K200" s="11">
        <v>-216</v>
      </c>
      <c r="L200" s="11">
        <v>8</v>
      </c>
      <c r="M200" s="11">
        <v>3</v>
      </c>
      <c r="N200" s="11" t="s">
        <v>3</v>
      </c>
      <c r="O200" s="11">
        <v>2</v>
      </c>
      <c r="P200" s="11"/>
      <c r="Q200" s="11"/>
      <c r="R200" s="11"/>
      <c r="S200" s="11"/>
      <c r="T200" s="11"/>
      <c r="U200" s="11"/>
      <c r="V200" s="11"/>
      <c r="W200" s="11">
        <v>0</v>
      </c>
      <c r="X200" s="11">
        <v>1</v>
      </c>
      <c r="Y200" s="11">
        <v>0</v>
      </c>
      <c r="Z200" s="11"/>
      <c r="AA200" s="11"/>
      <c r="AB200" s="11"/>
    </row>
    <row r="201" spans="1:28" x14ac:dyDescent="0.2">
      <c r="A201" s="11">
        <v>50</v>
      </c>
      <c r="B201" s="11">
        <v>0</v>
      </c>
      <c r="C201" s="11">
        <v>0</v>
      </c>
      <c r="D201" s="11">
        <v>1</v>
      </c>
      <c r="E201" s="11">
        <v>223</v>
      </c>
      <c r="F201" s="11">
        <f>ROUND(Source!AQ191,O201)</f>
        <v>0</v>
      </c>
      <c r="G201" s="11" t="s">
        <v>77</v>
      </c>
      <c r="H201" s="11" t="s">
        <v>78</v>
      </c>
      <c r="I201" s="11"/>
      <c r="J201" s="11"/>
      <c r="K201" s="11">
        <v>-223</v>
      </c>
      <c r="L201" s="11">
        <v>9</v>
      </c>
      <c r="M201" s="11">
        <v>3</v>
      </c>
      <c r="N201" s="11" t="s">
        <v>3</v>
      </c>
      <c r="O201" s="11">
        <v>2</v>
      </c>
      <c r="P201" s="11"/>
      <c r="Q201" s="11"/>
      <c r="R201" s="11"/>
      <c r="S201" s="11"/>
      <c r="T201" s="11"/>
      <c r="U201" s="11"/>
      <c r="V201" s="11"/>
      <c r="W201" s="11">
        <v>0</v>
      </c>
      <c r="X201" s="11">
        <v>1</v>
      </c>
      <c r="Y201" s="11">
        <v>0</v>
      </c>
      <c r="Z201" s="11"/>
      <c r="AA201" s="11"/>
      <c r="AB201" s="11"/>
    </row>
    <row r="202" spans="1:28" x14ac:dyDescent="0.2">
      <c r="A202" s="11">
        <v>50</v>
      </c>
      <c r="B202" s="11">
        <v>0</v>
      </c>
      <c r="C202" s="11">
        <v>0</v>
      </c>
      <c r="D202" s="11">
        <v>1</v>
      </c>
      <c r="E202" s="11">
        <v>229</v>
      </c>
      <c r="F202" s="11">
        <f>ROUND(Source!AZ191,O202)</f>
        <v>0</v>
      </c>
      <c r="G202" s="11" t="s">
        <v>79</v>
      </c>
      <c r="H202" s="11" t="s">
        <v>80</v>
      </c>
      <c r="I202" s="11"/>
      <c r="J202" s="11"/>
      <c r="K202" s="11">
        <v>-229</v>
      </c>
      <c r="L202" s="11">
        <v>10</v>
      </c>
      <c r="M202" s="11">
        <v>3</v>
      </c>
      <c r="N202" s="11" t="s">
        <v>3</v>
      </c>
      <c r="O202" s="11">
        <v>2</v>
      </c>
      <c r="P202" s="11"/>
      <c r="Q202" s="11"/>
      <c r="R202" s="11"/>
      <c r="S202" s="11"/>
      <c r="T202" s="11"/>
      <c r="U202" s="11"/>
      <c r="V202" s="11"/>
      <c r="W202" s="11">
        <v>0</v>
      </c>
      <c r="X202" s="11">
        <v>1</v>
      </c>
      <c r="Y202" s="11">
        <v>0</v>
      </c>
      <c r="Z202" s="11"/>
      <c r="AA202" s="11"/>
      <c r="AB202" s="11"/>
    </row>
    <row r="203" spans="1:28" x14ac:dyDescent="0.2">
      <c r="A203" s="11">
        <v>50</v>
      </c>
      <c r="B203" s="11">
        <v>0</v>
      </c>
      <c r="C203" s="11">
        <v>0</v>
      </c>
      <c r="D203" s="11">
        <v>1</v>
      </c>
      <c r="E203" s="11">
        <v>203</v>
      </c>
      <c r="F203" s="11">
        <f>ROUND(Source!Q191,O203)</f>
        <v>29.15</v>
      </c>
      <c r="G203" s="11" t="s">
        <v>81</v>
      </c>
      <c r="H203" s="11" t="s">
        <v>82</v>
      </c>
      <c r="I203" s="11"/>
      <c r="J203" s="11"/>
      <c r="K203" s="11">
        <v>-203</v>
      </c>
      <c r="L203" s="11">
        <v>11</v>
      </c>
      <c r="M203" s="11">
        <v>3</v>
      </c>
      <c r="N203" s="11" t="s">
        <v>3</v>
      </c>
      <c r="O203" s="11">
        <v>2</v>
      </c>
      <c r="P203" s="11"/>
      <c r="Q203" s="11"/>
      <c r="R203" s="11"/>
      <c r="S203" s="11"/>
      <c r="T203" s="11"/>
      <c r="U203" s="11"/>
      <c r="V203" s="11"/>
      <c r="W203" s="11">
        <v>29.15</v>
      </c>
      <c r="X203" s="11">
        <v>1</v>
      </c>
      <c r="Y203" s="11">
        <v>29.15</v>
      </c>
      <c r="Z203" s="11"/>
      <c r="AA203" s="11"/>
      <c r="AB203" s="11"/>
    </row>
    <row r="204" spans="1:28" x14ac:dyDescent="0.2">
      <c r="A204" s="11">
        <v>50</v>
      </c>
      <c r="B204" s="11">
        <v>0</v>
      </c>
      <c r="C204" s="11">
        <v>0</v>
      </c>
      <c r="D204" s="11">
        <v>1</v>
      </c>
      <c r="E204" s="11">
        <v>231</v>
      </c>
      <c r="F204" s="11">
        <f>ROUND(Source!BB191,O204)</f>
        <v>0</v>
      </c>
      <c r="G204" s="11" t="s">
        <v>83</v>
      </c>
      <c r="H204" s="11" t="s">
        <v>84</v>
      </c>
      <c r="I204" s="11"/>
      <c r="J204" s="11"/>
      <c r="K204" s="11">
        <v>-231</v>
      </c>
      <c r="L204" s="11">
        <v>12</v>
      </c>
      <c r="M204" s="11">
        <v>3</v>
      </c>
      <c r="N204" s="11" t="s">
        <v>3</v>
      </c>
      <c r="O204" s="11">
        <v>2</v>
      </c>
      <c r="P204" s="11"/>
      <c r="Q204" s="11"/>
      <c r="R204" s="11"/>
      <c r="S204" s="11"/>
      <c r="T204" s="11"/>
      <c r="U204" s="11"/>
      <c r="V204" s="11"/>
      <c r="W204" s="11">
        <v>0</v>
      </c>
      <c r="X204" s="11">
        <v>1</v>
      </c>
      <c r="Y204" s="11">
        <v>0</v>
      </c>
      <c r="Z204" s="11"/>
      <c r="AA204" s="11"/>
      <c r="AB204" s="11"/>
    </row>
    <row r="205" spans="1:28" x14ac:dyDescent="0.2">
      <c r="A205" s="11">
        <v>50</v>
      </c>
      <c r="B205" s="11">
        <v>0</v>
      </c>
      <c r="C205" s="11">
        <v>0</v>
      </c>
      <c r="D205" s="11">
        <v>1</v>
      </c>
      <c r="E205" s="11">
        <v>204</v>
      </c>
      <c r="F205" s="11">
        <f>ROUND(Source!R191,O205)</f>
        <v>13.69</v>
      </c>
      <c r="G205" s="11" t="s">
        <v>85</v>
      </c>
      <c r="H205" s="11" t="s">
        <v>86</v>
      </c>
      <c r="I205" s="11"/>
      <c r="J205" s="11"/>
      <c r="K205" s="11">
        <v>-204</v>
      </c>
      <c r="L205" s="11">
        <v>13</v>
      </c>
      <c r="M205" s="11">
        <v>3</v>
      </c>
      <c r="N205" s="11" t="s">
        <v>3</v>
      </c>
      <c r="O205" s="11">
        <v>2</v>
      </c>
      <c r="P205" s="11"/>
      <c r="Q205" s="11"/>
      <c r="R205" s="11"/>
      <c r="S205" s="11"/>
      <c r="T205" s="11"/>
      <c r="U205" s="11"/>
      <c r="V205" s="11"/>
      <c r="W205" s="11">
        <v>13.69</v>
      </c>
      <c r="X205" s="11">
        <v>1</v>
      </c>
      <c r="Y205" s="11">
        <v>13.69</v>
      </c>
      <c r="Z205" s="11"/>
      <c r="AA205" s="11"/>
      <c r="AB205" s="11"/>
    </row>
    <row r="206" spans="1:28" x14ac:dyDescent="0.2">
      <c r="A206" s="11">
        <v>50</v>
      </c>
      <c r="B206" s="11">
        <v>0</v>
      </c>
      <c r="C206" s="11">
        <v>0</v>
      </c>
      <c r="D206" s="11">
        <v>1</v>
      </c>
      <c r="E206" s="11">
        <v>205</v>
      </c>
      <c r="F206" s="11">
        <f>ROUND(Source!S191,O206)</f>
        <v>17255.349999999999</v>
      </c>
      <c r="G206" s="11" t="s">
        <v>87</v>
      </c>
      <c r="H206" s="11" t="s">
        <v>88</v>
      </c>
      <c r="I206" s="11"/>
      <c r="J206" s="11"/>
      <c r="K206" s="11">
        <v>-205</v>
      </c>
      <c r="L206" s="11">
        <v>14</v>
      </c>
      <c r="M206" s="11">
        <v>3</v>
      </c>
      <c r="N206" s="11" t="s">
        <v>3</v>
      </c>
      <c r="O206" s="11">
        <v>2</v>
      </c>
      <c r="P206" s="11"/>
      <c r="Q206" s="11"/>
      <c r="R206" s="11"/>
      <c r="S206" s="11"/>
      <c r="T206" s="11"/>
      <c r="U206" s="11"/>
      <c r="V206" s="11"/>
      <c r="W206" s="11">
        <v>17255.349999999999</v>
      </c>
      <c r="X206" s="11">
        <v>1</v>
      </c>
      <c r="Y206" s="11">
        <v>17255.349999999999</v>
      </c>
      <c r="Z206" s="11"/>
      <c r="AA206" s="11"/>
      <c r="AB206" s="11"/>
    </row>
    <row r="207" spans="1:28" x14ac:dyDescent="0.2">
      <c r="A207" s="11">
        <v>50</v>
      </c>
      <c r="B207" s="11">
        <v>0</v>
      </c>
      <c r="C207" s="11">
        <v>0</v>
      </c>
      <c r="D207" s="11">
        <v>1</v>
      </c>
      <c r="E207" s="11">
        <v>232</v>
      </c>
      <c r="F207" s="11">
        <f>ROUND(Source!BC191,O207)</f>
        <v>0</v>
      </c>
      <c r="G207" s="11" t="s">
        <v>89</v>
      </c>
      <c r="H207" s="11" t="s">
        <v>90</v>
      </c>
      <c r="I207" s="11"/>
      <c r="J207" s="11"/>
      <c r="K207" s="11">
        <v>-232</v>
      </c>
      <c r="L207" s="11">
        <v>15</v>
      </c>
      <c r="M207" s="11">
        <v>3</v>
      </c>
      <c r="N207" s="11" t="s">
        <v>3</v>
      </c>
      <c r="O207" s="11">
        <v>2</v>
      </c>
      <c r="P207" s="11"/>
      <c r="Q207" s="11"/>
      <c r="R207" s="11"/>
      <c r="S207" s="11"/>
      <c r="T207" s="11"/>
      <c r="U207" s="11"/>
      <c r="V207" s="11"/>
      <c r="W207" s="11">
        <v>0</v>
      </c>
      <c r="X207" s="11">
        <v>1</v>
      </c>
      <c r="Y207" s="11">
        <v>0</v>
      </c>
      <c r="Z207" s="11"/>
      <c r="AA207" s="11"/>
      <c r="AB207" s="11"/>
    </row>
    <row r="208" spans="1:28" x14ac:dyDescent="0.2">
      <c r="A208" s="11">
        <v>50</v>
      </c>
      <c r="B208" s="11">
        <v>0</v>
      </c>
      <c r="C208" s="11">
        <v>0</v>
      </c>
      <c r="D208" s="11">
        <v>1</v>
      </c>
      <c r="E208" s="11">
        <v>214</v>
      </c>
      <c r="F208" s="11">
        <f>ROUND(Source!AS191,O208)</f>
        <v>61467.28</v>
      </c>
      <c r="G208" s="11" t="s">
        <v>91</v>
      </c>
      <c r="H208" s="11" t="s">
        <v>92</v>
      </c>
      <c r="I208" s="11"/>
      <c r="J208" s="11"/>
      <c r="K208" s="11">
        <v>-214</v>
      </c>
      <c r="L208" s="11">
        <v>16</v>
      </c>
      <c r="M208" s="11">
        <v>3</v>
      </c>
      <c r="N208" s="11" t="s">
        <v>3</v>
      </c>
      <c r="O208" s="11">
        <v>2</v>
      </c>
      <c r="P208" s="11"/>
      <c r="Q208" s="11"/>
      <c r="R208" s="11"/>
      <c r="S208" s="11"/>
      <c r="T208" s="11"/>
      <c r="U208" s="11"/>
      <c r="V208" s="11"/>
      <c r="W208" s="11">
        <v>61467.28</v>
      </c>
      <c r="X208" s="11">
        <v>1</v>
      </c>
      <c r="Y208" s="11">
        <v>61467.28</v>
      </c>
      <c r="Z208" s="11"/>
      <c r="AA208" s="11"/>
      <c r="AB208" s="11"/>
    </row>
    <row r="209" spans="1:206" x14ac:dyDescent="0.2">
      <c r="A209" s="11">
        <v>50</v>
      </c>
      <c r="B209" s="11">
        <v>0</v>
      </c>
      <c r="C209" s="11">
        <v>0</v>
      </c>
      <c r="D209" s="11">
        <v>1</v>
      </c>
      <c r="E209" s="11">
        <v>215</v>
      </c>
      <c r="F209" s="11">
        <f>ROUND(Source!AT191,O209)</f>
        <v>0</v>
      </c>
      <c r="G209" s="11" t="s">
        <v>93</v>
      </c>
      <c r="H209" s="11" t="s">
        <v>94</v>
      </c>
      <c r="I209" s="11"/>
      <c r="J209" s="11"/>
      <c r="K209" s="11">
        <v>-215</v>
      </c>
      <c r="L209" s="11">
        <v>17</v>
      </c>
      <c r="M209" s="11">
        <v>3</v>
      </c>
      <c r="N209" s="11" t="s">
        <v>3</v>
      </c>
      <c r="O209" s="11">
        <v>2</v>
      </c>
      <c r="P209" s="11"/>
      <c r="Q209" s="11"/>
      <c r="R209" s="11"/>
      <c r="S209" s="11"/>
      <c r="T209" s="11"/>
      <c r="U209" s="11"/>
      <c r="V209" s="11"/>
      <c r="W209" s="11">
        <v>0</v>
      </c>
      <c r="X209" s="11">
        <v>1</v>
      </c>
      <c r="Y209" s="11">
        <v>0</v>
      </c>
      <c r="Z209" s="11"/>
      <c r="AA209" s="11"/>
      <c r="AB209" s="11"/>
    </row>
    <row r="210" spans="1:206" x14ac:dyDescent="0.2">
      <c r="A210" s="11">
        <v>50</v>
      </c>
      <c r="B210" s="11">
        <v>0</v>
      </c>
      <c r="C210" s="11">
        <v>0</v>
      </c>
      <c r="D210" s="11">
        <v>1</v>
      </c>
      <c r="E210" s="11">
        <v>217</v>
      </c>
      <c r="F210" s="11">
        <f>ROUND(Source!AU191,O210)</f>
        <v>0</v>
      </c>
      <c r="G210" s="11" t="s">
        <v>95</v>
      </c>
      <c r="H210" s="11" t="s">
        <v>96</v>
      </c>
      <c r="I210" s="11"/>
      <c r="J210" s="11"/>
      <c r="K210" s="11">
        <v>-217</v>
      </c>
      <c r="L210" s="11">
        <v>18</v>
      </c>
      <c r="M210" s="11">
        <v>3</v>
      </c>
      <c r="N210" s="11" t="s">
        <v>3</v>
      </c>
      <c r="O210" s="11">
        <v>2</v>
      </c>
      <c r="P210" s="11"/>
      <c r="Q210" s="11"/>
      <c r="R210" s="11"/>
      <c r="S210" s="11"/>
      <c r="T210" s="11"/>
      <c r="U210" s="11"/>
      <c r="V210" s="11"/>
      <c r="W210" s="11">
        <v>0</v>
      </c>
      <c r="X210" s="11">
        <v>1</v>
      </c>
      <c r="Y210" s="11">
        <v>0</v>
      </c>
      <c r="Z210" s="11"/>
      <c r="AA210" s="11"/>
      <c r="AB210" s="11"/>
    </row>
    <row r="211" spans="1:206" x14ac:dyDescent="0.2">
      <c r="A211" s="11">
        <v>50</v>
      </c>
      <c r="B211" s="11">
        <v>0</v>
      </c>
      <c r="C211" s="11">
        <v>0</v>
      </c>
      <c r="D211" s="11">
        <v>1</v>
      </c>
      <c r="E211" s="11">
        <v>230</v>
      </c>
      <c r="F211" s="11">
        <f>ROUND(Source!BA191,O211)</f>
        <v>0</v>
      </c>
      <c r="G211" s="11" t="s">
        <v>97</v>
      </c>
      <c r="H211" s="11" t="s">
        <v>98</v>
      </c>
      <c r="I211" s="11"/>
      <c r="J211" s="11"/>
      <c r="K211" s="11">
        <v>-230</v>
      </c>
      <c r="L211" s="11">
        <v>19</v>
      </c>
      <c r="M211" s="11">
        <v>3</v>
      </c>
      <c r="N211" s="11" t="s">
        <v>3</v>
      </c>
      <c r="O211" s="11">
        <v>2</v>
      </c>
      <c r="P211" s="11"/>
      <c r="Q211" s="11"/>
      <c r="R211" s="11"/>
      <c r="S211" s="11"/>
      <c r="T211" s="11"/>
      <c r="U211" s="11"/>
      <c r="V211" s="11"/>
      <c r="W211" s="11">
        <v>0</v>
      </c>
      <c r="X211" s="11">
        <v>1</v>
      </c>
      <c r="Y211" s="11">
        <v>0</v>
      </c>
      <c r="Z211" s="11"/>
      <c r="AA211" s="11"/>
      <c r="AB211" s="11"/>
    </row>
    <row r="212" spans="1:206" x14ac:dyDescent="0.2">
      <c r="A212" s="11">
        <v>50</v>
      </c>
      <c r="B212" s="11">
        <v>0</v>
      </c>
      <c r="C212" s="11">
        <v>0</v>
      </c>
      <c r="D212" s="11">
        <v>1</v>
      </c>
      <c r="E212" s="11">
        <v>206</v>
      </c>
      <c r="F212" s="11">
        <f>ROUND(Source!T191,O212)</f>
        <v>0</v>
      </c>
      <c r="G212" s="11" t="s">
        <v>99</v>
      </c>
      <c r="H212" s="11" t="s">
        <v>100</v>
      </c>
      <c r="I212" s="11"/>
      <c r="J212" s="11"/>
      <c r="K212" s="11">
        <v>-206</v>
      </c>
      <c r="L212" s="11">
        <v>20</v>
      </c>
      <c r="M212" s="11">
        <v>3</v>
      </c>
      <c r="N212" s="11" t="s">
        <v>3</v>
      </c>
      <c r="O212" s="11">
        <v>2</v>
      </c>
      <c r="P212" s="11"/>
      <c r="Q212" s="11"/>
      <c r="R212" s="11"/>
      <c r="S212" s="11"/>
      <c r="T212" s="11"/>
      <c r="U212" s="11"/>
      <c r="V212" s="11"/>
      <c r="W212" s="11">
        <v>0</v>
      </c>
      <c r="X212" s="11">
        <v>1</v>
      </c>
      <c r="Y212" s="11">
        <v>0</v>
      </c>
      <c r="Z212" s="11"/>
      <c r="AA212" s="11"/>
      <c r="AB212" s="11"/>
    </row>
    <row r="213" spans="1:206" x14ac:dyDescent="0.2">
      <c r="A213" s="11">
        <v>50</v>
      </c>
      <c r="B213" s="11">
        <v>0</v>
      </c>
      <c r="C213" s="11">
        <v>0</v>
      </c>
      <c r="D213" s="11">
        <v>1</v>
      </c>
      <c r="E213" s="11">
        <v>207</v>
      </c>
      <c r="F213" s="11">
        <f>Source!U191</f>
        <v>26.638500000000001</v>
      </c>
      <c r="G213" s="11" t="s">
        <v>101</v>
      </c>
      <c r="H213" s="11" t="s">
        <v>102</v>
      </c>
      <c r="I213" s="11"/>
      <c r="J213" s="11"/>
      <c r="K213" s="11">
        <v>-207</v>
      </c>
      <c r="L213" s="11">
        <v>21</v>
      </c>
      <c r="M213" s="11">
        <v>3</v>
      </c>
      <c r="N213" s="11" t="s">
        <v>3</v>
      </c>
      <c r="O213" s="11">
        <v>-1</v>
      </c>
      <c r="P213" s="11"/>
      <c r="Q213" s="11"/>
      <c r="R213" s="11"/>
      <c r="S213" s="11"/>
      <c r="T213" s="11"/>
      <c r="U213" s="11"/>
      <c r="V213" s="11"/>
      <c r="W213" s="11">
        <v>26.638500000000001</v>
      </c>
      <c r="X213" s="11">
        <v>1</v>
      </c>
      <c r="Y213" s="11">
        <v>26.638500000000001</v>
      </c>
      <c r="Z213" s="11"/>
      <c r="AA213" s="11"/>
      <c r="AB213" s="11"/>
    </row>
    <row r="214" spans="1:206" x14ac:dyDescent="0.2">
      <c r="A214" s="11">
        <v>50</v>
      </c>
      <c r="B214" s="11">
        <v>0</v>
      </c>
      <c r="C214" s="11">
        <v>0</v>
      </c>
      <c r="D214" s="11">
        <v>1</v>
      </c>
      <c r="E214" s="11">
        <v>208</v>
      </c>
      <c r="F214" s="11">
        <f>Source!V191</f>
        <v>0</v>
      </c>
      <c r="G214" s="11" t="s">
        <v>103</v>
      </c>
      <c r="H214" s="11" t="s">
        <v>104</v>
      </c>
      <c r="I214" s="11"/>
      <c r="J214" s="11"/>
      <c r="K214" s="11">
        <v>-208</v>
      </c>
      <c r="L214" s="11">
        <v>22</v>
      </c>
      <c r="M214" s="11">
        <v>3</v>
      </c>
      <c r="N214" s="11" t="s">
        <v>3</v>
      </c>
      <c r="O214" s="11">
        <v>-1</v>
      </c>
      <c r="P214" s="11"/>
      <c r="Q214" s="11"/>
      <c r="R214" s="11"/>
      <c r="S214" s="11"/>
      <c r="T214" s="11"/>
      <c r="U214" s="11"/>
      <c r="V214" s="11"/>
      <c r="W214" s="11">
        <v>0</v>
      </c>
      <c r="X214" s="11">
        <v>1</v>
      </c>
      <c r="Y214" s="11">
        <v>0</v>
      </c>
      <c r="Z214" s="11"/>
      <c r="AA214" s="11"/>
      <c r="AB214" s="11"/>
    </row>
    <row r="215" spans="1:206" x14ac:dyDescent="0.2">
      <c r="A215" s="11">
        <v>50</v>
      </c>
      <c r="B215" s="11">
        <v>0</v>
      </c>
      <c r="C215" s="11">
        <v>0</v>
      </c>
      <c r="D215" s="11">
        <v>1</v>
      </c>
      <c r="E215" s="11">
        <v>209</v>
      </c>
      <c r="F215" s="11">
        <f>ROUND(Source!W191,O215)</f>
        <v>0</v>
      </c>
      <c r="G215" s="11" t="s">
        <v>105</v>
      </c>
      <c r="H215" s="11" t="s">
        <v>106</v>
      </c>
      <c r="I215" s="11"/>
      <c r="J215" s="11"/>
      <c r="K215" s="11">
        <v>-209</v>
      </c>
      <c r="L215" s="11">
        <v>23</v>
      </c>
      <c r="M215" s="11">
        <v>3</v>
      </c>
      <c r="N215" s="11" t="s">
        <v>3</v>
      </c>
      <c r="O215" s="11">
        <v>2</v>
      </c>
      <c r="P215" s="11"/>
      <c r="Q215" s="11"/>
      <c r="R215" s="11"/>
      <c r="S215" s="11"/>
      <c r="T215" s="11"/>
      <c r="U215" s="11"/>
      <c r="V215" s="11"/>
      <c r="W215" s="11">
        <v>0</v>
      </c>
      <c r="X215" s="11">
        <v>1</v>
      </c>
      <c r="Y215" s="11">
        <v>0</v>
      </c>
      <c r="Z215" s="11"/>
      <c r="AA215" s="11"/>
      <c r="AB215" s="11"/>
    </row>
    <row r="216" spans="1:206" x14ac:dyDescent="0.2">
      <c r="A216" s="11">
        <v>50</v>
      </c>
      <c r="B216" s="11">
        <v>0</v>
      </c>
      <c r="C216" s="11">
        <v>0</v>
      </c>
      <c r="D216" s="11">
        <v>1</v>
      </c>
      <c r="E216" s="11">
        <v>233</v>
      </c>
      <c r="F216" s="11">
        <f>ROUND(Source!BD191,O216)</f>
        <v>0</v>
      </c>
      <c r="G216" s="11" t="s">
        <v>107</v>
      </c>
      <c r="H216" s="11" t="s">
        <v>108</v>
      </c>
      <c r="I216" s="11"/>
      <c r="J216" s="11"/>
      <c r="K216" s="11">
        <v>-233</v>
      </c>
      <c r="L216" s="11">
        <v>24</v>
      </c>
      <c r="M216" s="11">
        <v>3</v>
      </c>
      <c r="N216" s="11" t="s">
        <v>3</v>
      </c>
      <c r="O216" s="11">
        <v>2</v>
      </c>
      <c r="P216" s="11"/>
      <c r="Q216" s="11"/>
      <c r="R216" s="11"/>
      <c r="S216" s="11"/>
      <c r="T216" s="11"/>
      <c r="U216" s="11"/>
      <c r="V216" s="11"/>
      <c r="W216" s="11">
        <v>0</v>
      </c>
      <c r="X216" s="11">
        <v>1</v>
      </c>
      <c r="Y216" s="11">
        <v>0</v>
      </c>
      <c r="Z216" s="11"/>
      <c r="AA216" s="11"/>
      <c r="AB216" s="11"/>
    </row>
    <row r="217" spans="1:206" x14ac:dyDescent="0.2">
      <c r="A217" s="11">
        <v>50</v>
      </c>
      <c r="B217" s="11">
        <v>0</v>
      </c>
      <c r="C217" s="11">
        <v>0</v>
      </c>
      <c r="D217" s="11">
        <v>1</v>
      </c>
      <c r="E217" s="11">
        <v>210</v>
      </c>
      <c r="F217" s="11">
        <f>ROUND(Source!X191,O217)</f>
        <v>15498.69</v>
      </c>
      <c r="G217" s="11" t="s">
        <v>109</v>
      </c>
      <c r="H217" s="11" t="s">
        <v>110</v>
      </c>
      <c r="I217" s="11"/>
      <c r="J217" s="11"/>
      <c r="K217" s="11">
        <v>-210</v>
      </c>
      <c r="L217" s="11">
        <v>25</v>
      </c>
      <c r="M217" s="11">
        <v>3</v>
      </c>
      <c r="N217" s="11" t="s">
        <v>3</v>
      </c>
      <c r="O217" s="11">
        <v>2</v>
      </c>
      <c r="P217" s="11"/>
      <c r="Q217" s="11"/>
      <c r="R217" s="11"/>
      <c r="S217" s="11"/>
      <c r="T217" s="11"/>
      <c r="U217" s="11"/>
      <c r="V217" s="11"/>
      <c r="W217" s="11">
        <v>15498.69</v>
      </c>
      <c r="X217" s="11">
        <v>1</v>
      </c>
      <c r="Y217" s="11">
        <v>15498.69</v>
      </c>
      <c r="Z217" s="11"/>
      <c r="AA217" s="11"/>
      <c r="AB217" s="11"/>
    </row>
    <row r="218" spans="1:206" x14ac:dyDescent="0.2">
      <c r="A218" s="11">
        <v>50</v>
      </c>
      <c r="B218" s="11">
        <v>0</v>
      </c>
      <c r="C218" s="11">
        <v>0</v>
      </c>
      <c r="D218" s="11">
        <v>1</v>
      </c>
      <c r="E218" s="11">
        <v>211</v>
      </c>
      <c r="F218" s="11">
        <f>ROUND(Source!Y191,O218)</f>
        <v>7279.13</v>
      </c>
      <c r="G218" s="11" t="s">
        <v>111</v>
      </c>
      <c r="H218" s="11" t="s">
        <v>112</v>
      </c>
      <c r="I218" s="11"/>
      <c r="J218" s="11"/>
      <c r="K218" s="11">
        <v>-211</v>
      </c>
      <c r="L218" s="11">
        <v>26</v>
      </c>
      <c r="M218" s="11">
        <v>3</v>
      </c>
      <c r="N218" s="11" t="s">
        <v>3</v>
      </c>
      <c r="O218" s="11">
        <v>2</v>
      </c>
      <c r="P218" s="11"/>
      <c r="Q218" s="11"/>
      <c r="R218" s="11"/>
      <c r="S218" s="11"/>
      <c r="T218" s="11"/>
      <c r="U218" s="11"/>
      <c r="V218" s="11"/>
      <c r="W218" s="11">
        <v>7279.13</v>
      </c>
      <c r="X218" s="11">
        <v>1</v>
      </c>
      <c r="Y218" s="11">
        <v>7279.13</v>
      </c>
      <c r="Z218" s="11"/>
      <c r="AA218" s="11"/>
      <c r="AB218" s="11"/>
    </row>
    <row r="219" spans="1:206" x14ac:dyDescent="0.2">
      <c r="A219" s="11">
        <v>50</v>
      </c>
      <c r="B219" s="11">
        <v>0</v>
      </c>
      <c r="C219" s="11">
        <v>0</v>
      </c>
      <c r="D219" s="11">
        <v>1</v>
      </c>
      <c r="E219" s="11">
        <v>224</v>
      </c>
      <c r="F219" s="11">
        <f>ROUND(Source!AR191,O219)</f>
        <v>61467.28</v>
      </c>
      <c r="G219" s="11" t="s">
        <v>113</v>
      </c>
      <c r="H219" s="11" t="s">
        <v>114</v>
      </c>
      <c r="I219" s="11"/>
      <c r="J219" s="11"/>
      <c r="K219" s="11">
        <v>-224</v>
      </c>
      <c r="L219" s="11">
        <v>27</v>
      </c>
      <c r="M219" s="11">
        <v>3</v>
      </c>
      <c r="N219" s="11" t="s">
        <v>3</v>
      </c>
      <c r="O219" s="11">
        <v>2</v>
      </c>
      <c r="P219" s="11"/>
      <c r="Q219" s="11"/>
      <c r="R219" s="11"/>
      <c r="S219" s="11"/>
      <c r="T219" s="11"/>
      <c r="U219" s="11"/>
      <c r="V219" s="11"/>
      <c r="W219" s="11">
        <v>61467.28</v>
      </c>
      <c r="X219" s="11">
        <v>1</v>
      </c>
      <c r="Y219" s="11">
        <v>61467.28</v>
      </c>
      <c r="Z219" s="11"/>
      <c r="AA219" s="11"/>
      <c r="AB219" s="11"/>
    </row>
    <row r="221" spans="1:206" x14ac:dyDescent="0.2">
      <c r="A221" s="9">
        <v>51</v>
      </c>
      <c r="B221" s="9">
        <f>B24</f>
        <v>1</v>
      </c>
      <c r="C221" s="9">
        <f>A24</f>
        <v>4</v>
      </c>
      <c r="D221" s="9">
        <f>ROW(A24)</f>
        <v>24</v>
      </c>
      <c r="E221" s="9"/>
      <c r="F221" s="9" t="str">
        <f>IF(F24&lt;&gt;"",F24,"")</f>
        <v>Новый раздел</v>
      </c>
      <c r="G221" s="9" t="str">
        <f>IF(G24&lt;&gt;"",G24,"")</f>
        <v>Кабинет 809а</v>
      </c>
      <c r="H221" s="9">
        <v>0</v>
      </c>
      <c r="I221" s="9"/>
      <c r="J221" s="9"/>
      <c r="K221" s="9"/>
      <c r="L221" s="9"/>
      <c r="M221" s="9"/>
      <c r="N221" s="9"/>
      <c r="O221" s="9">
        <f t="shared" ref="O221:T221" si="174">ROUND(O40+O97+O147+O191+AB221,2)</f>
        <v>136151.21</v>
      </c>
      <c r="P221" s="9">
        <f t="shared" si="174"/>
        <v>43171.83</v>
      </c>
      <c r="Q221" s="9">
        <f t="shared" si="174"/>
        <v>311.33</v>
      </c>
      <c r="R221" s="9">
        <f t="shared" si="174"/>
        <v>114.67</v>
      </c>
      <c r="S221" s="9">
        <f t="shared" si="174"/>
        <v>92668.05</v>
      </c>
      <c r="T221" s="9">
        <f t="shared" si="174"/>
        <v>0</v>
      </c>
      <c r="U221" s="9">
        <f>U40+U97+U147+U191+AH221</f>
        <v>142.1018339</v>
      </c>
      <c r="V221" s="9">
        <f>V40+V97+V147+V191+AI221</f>
        <v>0</v>
      </c>
      <c r="W221" s="9">
        <f>ROUND(W40+W97+W147+W191+AJ221,2)</f>
        <v>0</v>
      </c>
      <c r="X221" s="9">
        <f>ROUND(X40+X97+X147+X191+AK221,2)</f>
        <v>85381.119999999995</v>
      </c>
      <c r="Y221" s="9">
        <f>ROUND(Y40+Y97+Y147+Y191+AL221,2)</f>
        <v>43096.22</v>
      </c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>
        <f t="shared" ref="AO221:BD221" si="175">ROUND(AO40+AO97+AO147+AO191+BX221,2)</f>
        <v>0</v>
      </c>
      <c r="AP221" s="9">
        <f t="shared" si="175"/>
        <v>0</v>
      </c>
      <c r="AQ221" s="9">
        <f t="shared" si="175"/>
        <v>0</v>
      </c>
      <c r="AR221" s="9">
        <f t="shared" si="175"/>
        <v>264628.55</v>
      </c>
      <c r="AS221" s="9">
        <f t="shared" si="175"/>
        <v>264628.55</v>
      </c>
      <c r="AT221" s="9">
        <f t="shared" si="175"/>
        <v>0</v>
      </c>
      <c r="AU221" s="9">
        <f t="shared" si="175"/>
        <v>0</v>
      </c>
      <c r="AV221" s="9">
        <f t="shared" si="175"/>
        <v>43171.83</v>
      </c>
      <c r="AW221" s="9">
        <f t="shared" si="175"/>
        <v>43171.83</v>
      </c>
      <c r="AX221" s="9">
        <f t="shared" si="175"/>
        <v>0</v>
      </c>
      <c r="AY221" s="9">
        <f t="shared" si="175"/>
        <v>43171.83</v>
      </c>
      <c r="AZ221" s="9">
        <f t="shared" si="175"/>
        <v>0</v>
      </c>
      <c r="BA221" s="9">
        <f t="shared" si="175"/>
        <v>0</v>
      </c>
      <c r="BB221" s="9">
        <f t="shared" si="175"/>
        <v>0</v>
      </c>
      <c r="BC221" s="9">
        <f t="shared" si="175"/>
        <v>0</v>
      </c>
      <c r="BD221" s="9">
        <f t="shared" si="175"/>
        <v>0</v>
      </c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>
        <v>0</v>
      </c>
    </row>
    <row r="223" spans="1:206" x14ac:dyDescent="0.2">
      <c r="A223" s="11">
        <v>50</v>
      </c>
      <c r="B223" s="11">
        <v>0</v>
      </c>
      <c r="C223" s="11">
        <v>0</v>
      </c>
      <c r="D223" s="11">
        <v>1</v>
      </c>
      <c r="E223" s="11">
        <v>201</v>
      </c>
      <c r="F223" s="11">
        <f>ROUND(Source!O221,O223)</f>
        <v>136151.21</v>
      </c>
      <c r="G223" s="11" t="s">
        <v>61</v>
      </c>
      <c r="H223" s="11" t="s">
        <v>62</v>
      </c>
      <c r="I223" s="11"/>
      <c r="J223" s="11"/>
      <c r="K223" s="11">
        <v>-201</v>
      </c>
      <c r="L223" s="11">
        <v>1</v>
      </c>
      <c r="M223" s="11">
        <v>3</v>
      </c>
      <c r="N223" s="11" t="s">
        <v>3</v>
      </c>
      <c r="O223" s="11">
        <v>2</v>
      </c>
      <c r="P223" s="11"/>
      <c r="Q223" s="11"/>
      <c r="R223" s="11"/>
      <c r="S223" s="11"/>
      <c r="T223" s="11"/>
      <c r="U223" s="11"/>
      <c r="V223" s="11"/>
      <c r="W223" s="11">
        <v>136151.21</v>
      </c>
      <c r="X223" s="11">
        <v>1</v>
      </c>
      <c r="Y223" s="11">
        <v>136151.21</v>
      </c>
      <c r="Z223" s="11"/>
      <c r="AA223" s="11"/>
      <c r="AB223" s="11"/>
    </row>
    <row r="224" spans="1:206" x14ac:dyDescent="0.2">
      <c r="A224" s="11">
        <v>50</v>
      </c>
      <c r="B224" s="11">
        <v>0</v>
      </c>
      <c r="C224" s="11">
        <v>0</v>
      </c>
      <c r="D224" s="11">
        <v>1</v>
      </c>
      <c r="E224" s="11">
        <v>202</v>
      </c>
      <c r="F224" s="11">
        <f>ROUND(Source!P221,O224)</f>
        <v>43171.83</v>
      </c>
      <c r="G224" s="11" t="s">
        <v>63</v>
      </c>
      <c r="H224" s="11" t="s">
        <v>64</v>
      </c>
      <c r="I224" s="11"/>
      <c r="J224" s="11"/>
      <c r="K224" s="11">
        <v>-202</v>
      </c>
      <c r="L224" s="11">
        <v>2</v>
      </c>
      <c r="M224" s="11">
        <v>3</v>
      </c>
      <c r="N224" s="11" t="s">
        <v>3</v>
      </c>
      <c r="O224" s="11">
        <v>2</v>
      </c>
      <c r="P224" s="11"/>
      <c r="Q224" s="11"/>
      <c r="R224" s="11"/>
      <c r="S224" s="11"/>
      <c r="T224" s="11"/>
      <c r="U224" s="11"/>
      <c r="V224" s="11"/>
      <c r="W224" s="11">
        <v>43171.83</v>
      </c>
      <c r="X224" s="11">
        <v>1</v>
      </c>
      <c r="Y224" s="11">
        <v>43171.83</v>
      </c>
      <c r="Z224" s="11"/>
      <c r="AA224" s="11"/>
      <c r="AB224" s="11"/>
    </row>
    <row r="225" spans="1:28" x14ac:dyDescent="0.2">
      <c r="A225" s="11">
        <v>50</v>
      </c>
      <c r="B225" s="11">
        <v>0</v>
      </c>
      <c r="C225" s="11">
        <v>0</v>
      </c>
      <c r="D225" s="11">
        <v>1</v>
      </c>
      <c r="E225" s="11">
        <v>222</v>
      </c>
      <c r="F225" s="11">
        <f>ROUND(Source!AO221,O225)</f>
        <v>0</v>
      </c>
      <c r="G225" s="11" t="s">
        <v>65</v>
      </c>
      <c r="H225" s="11" t="s">
        <v>66</v>
      </c>
      <c r="I225" s="11"/>
      <c r="J225" s="11"/>
      <c r="K225" s="11">
        <v>-222</v>
      </c>
      <c r="L225" s="11">
        <v>3</v>
      </c>
      <c r="M225" s="11">
        <v>3</v>
      </c>
      <c r="N225" s="11" t="s">
        <v>3</v>
      </c>
      <c r="O225" s="11">
        <v>2</v>
      </c>
      <c r="P225" s="11"/>
      <c r="Q225" s="11"/>
      <c r="R225" s="11"/>
      <c r="S225" s="11"/>
      <c r="T225" s="11"/>
      <c r="U225" s="11"/>
      <c r="V225" s="11"/>
      <c r="W225" s="11">
        <v>0</v>
      </c>
      <c r="X225" s="11">
        <v>1</v>
      </c>
      <c r="Y225" s="11">
        <v>0</v>
      </c>
      <c r="Z225" s="11"/>
      <c r="AA225" s="11"/>
      <c r="AB225" s="11"/>
    </row>
    <row r="226" spans="1:28" x14ac:dyDescent="0.2">
      <c r="A226" s="11">
        <v>50</v>
      </c>
      <c r="B226" s="11">
        <v>0</v>
      </c>
      <c r="C226" s="11">
        <v>0</v>
      </c>
      <c r="D226" s="11">
        <v>1</v>
      </c>
      <c r="E226" s="11">
        <v>225</v>
      </c>
      <c r="F226" s="11">
        <f>ROUND(Source!AV221,O226)</f>
        <v>43171.83</v>
      </c>
      <c r="G226" s="11" t="s">
        <v>67</v>
      </c>
      <c r="H226" s="11" t="s">
        <v>68</v>
      </c>
      <c r="I226" s="11"/>
      <c r="J226" s="11"/>
      <c r="K226" s="11">
        <v>-225</v>
      </c>
      <c r="L226" s="11">
        <v>4</v>
      </c>
      <c r="M226" s="11">
        <v>3</v>
      </c>
      <c r="N226" s="11" t="s">
        <v>3</v>
      </c>
      <c r="O226" s="11">
        <v>2</v>
      </c>
      <c r="P226" s="11"/>
      <c r="Q226" s="11"/>
      <c r="R226" s="11"/>
      <c r="S226" s="11"/>
      <c r="T226" s="11"/>
      <c r="U226" s="11"/>
      <c r="V226" s="11"/>
      <c r="W226" s="11">
        <v>43171.83</v>
      </c>
      <c r="X226" s="11">
        <v>1</v>
      </c>
      <c r="Y226" s="11">
        <v>43171.83</v>
      </c>
      <c r="Z226" s="11"/>
      <c r="AA226" s="11"/>
      <c r="AB226" s="11"/>
    </row>
    <row r="227" spans="1:28" x14ac:dyDescent="0.2">
      <c r="A227" s="11">
        <v>50</v>
      </c>
      <c r="B227" s="11">
        <v>0</v>
      </c>
      <c r="C227" s="11">
        <v>0</v>
      </c>
      <c r="D227" s="11">
        <v>1</v>
      </c>
      <c r="E227" s="11">
        <v>226</v>
      </c>
      <c r="F227" s="11">
        <f>ROUND(Source!AW221,O227)</f>
        <v>43171.83</v>
      </c>
      <c r="G227" s="11" t="s">
        <v>69</v>
      </c>
      <c r="H227" s="11" t="s">
        <v>70</v>
      </c>
      <c r="I227" s="11"/>
      <c r="J227" s="11"/>
      <c r="K227" s="11">
        <v>-226</v>
      </c>
      <c r="L227" s="11">
        <v>5</v>
      </c>
      <c r="M227" s="11">
        <v>3</v>
      </c>
      <c r="N227" s="11" t="s">
        <v>3</v>
      </c>
      <c r="O227" s="11">
        <v>2</v>
      </c>
      <c r="P227" s="11"/>
      <c r="Q227" s="11"/>
      <c r="R227" s="11"/>
      <c r="S227" s="11"/>
      <c r="T227" s="11"/>
      <c r="U227" s="11"/>
      <c r="V227" s="11"/>
      <c r="W227" s="11">
        <v>43171.83</v>
      </c>
      <c r="X227" s="11">
        <v>1</v>
      </c>
      <c r="Y227" s="11">
        <v>43171.83</v>
      </c>
      <c r="Z227" s="11"/>
      <c r="AA227" s="11"/>
      <c r="AB227" s="11"/>
    </row>
    <row r="228" spans="1:28" x14ac:dyDescent="0.2">
      <c r="A228" s="11">
        <v>50</v>
      </c>
      <c r="B228" s="11">
        <v>0</v>
      </c>
      <c r="C228" s="11">
        <v>0</v>
      </c>
      <c r="D228" s="11">
        <v>1</v>
      </c>
      <c r="E228" s="11">
        <v>227</v>
      </c>
      <c r="F228" s="11">
        <f>ROUND(Source!AX221,O228)</f>
        <v>0</v>
      </c>
      <c r="G228" s="11" t="s">
        <v>71</v>
      </c>
      <c r="H228" s="11" t="s">
        <v>72</v>
      </c>
      <c r="I228" s="11"/>
      <c r="J228" s="11"/>
      <c r="K228" s="11">
        <v>-227</v>
      </c>
      <c r="L228" s="11">
        <v>6</v>
      </c>
      <c r="M228" s="11">
        <v>3</v>
      </c>
      <c r="N228" s="11" t="s">
        <v>3</v>
      </c>
      <c r="O228" s="11">
        <v>2</v>
      </c>
      <c r="P228" s="11"/>
      <c r="Q228" s="11"/>
      <c r="R228" s="11"/>
      <c r="S228" s="11"/>
      <c r="T228" s="11"/>
      <c r="U228" s="11"/>
      <c r="V228" s="11"/>
      <c r="W228" s="11">
        <v>0</v>
      </c>
      <c r="X228" s="11">
        <v>1</v>
      </c>
      <c r="Y228" s="11">
        <v>0</v>
      </c>
      <c r="Z228" s="11"/>
      <c r="AA228" s="11"/>
      <c r="AB228" s="11"/>
    </row>
    <row r="229" spans="1:28" x14ac:dyDescent="0.2">
      <c r="A229" s="11">
        <v>50</v>
      </c>
      <c r="B229" s="11">
        <v>0</v>
      </c>
      <c r="C229" s="11">
        <v>0</v>
      </c>
      <c r="D229" s="11">
        <v>1</v>
      </c>
      <c r="E229" s="11">
        <v>228</v>
      </c>
      <c r="F229" s="11">
        <f>ROUND(Source!AY221,O229)</f>
        <v>43171.83</v>
      </c>
      <c r="G229" s="11" t="s">
        <v>73</v>
      </c>
      <c r="H229" s="11" t="s">
        <v>74</v>
      </c>
      <c r="I229" s="11"/>
      <c r="J229" s="11"/>
      <c r="K229" s="11">
        <v>-228</v>
      </c>
      <c r="L229" s="11">
        <v>7</v>
      </c>
      <c r="M229" s="11">
        <v>3</v>
      </c>
      <c r="N229" s="11" t="s">
        <v>3</v>
      </c>
      <c r="O229" s="11">
        <v>2</v>
      </c>
      <c r="P229" s="11"/>
      <c r="Q229" s="11"/>
      <c r="R229" s="11"/>
      <c r="S229" s="11"/>
      <c r="T229" s="11"/>
      <c r="U229" s="11"/>
      <c r="V229" s="11"/>
      <c r="W229" s="11">
        <v>43171.83</v>
      </c>
      <c r="X229" s="11">
        <v>1</v>
      </c>
      <c r="Y229" s="11">
        <v>43171.83</v>
      </c>
      <c r="Z229" s="11"/>
      <c r="AA229" s="11"/>
      <c r="AB229" s="11"/>
    </row>
    <row r="230" spans="1:28" x14ac:dyDescent="0.2">
      <c r="A230" s="11">
        <v>50</v>
      </c>
      <c r="B230" s="11">
        <v>0</v>
      </c>
      <c r="C230" s="11">
        <v>0</v>
      </c>
      <c r="D230" s="11">
        <v>1</v>
      </c>
      <c r="E230" s="11">
        <v>216</v>
      </c>
      <c r="F230" s="11">
        <f>ROUND(Source!AP221,O230)</f>
        <v>0</v>
      </c>
      <c r="G230" s="11" t="s">
        <v>75</v>
      </c>
      <c r="H230" s="11" t="s">
        <v>76</v>
      </c>
      <c r="I230" s="11"/>
      <c r="J230" s="11"/>
      <c r="K230" s="11">
        <v>-216</v>
      </c>
      <c r="L230" s="11">
        <v>8</v>
      </c>
      <c r="M230" s="11">
        <v>3</v>
      </c>
      <c r="N230" s="11" t="s">
        <v>3</v>
      </c>
      <c r="O230" s="11">
        <v>2</v>
      </c>
      <c r="P230" s="11"/>
      <c r="Q230" s="11"/>
      <c r="R230" s="11"/>
      <c r="S230" s="11"/>
      <c r="T230" s="11"/>
      <c r="U230" s="11"/>
      <c r="V230" s="11"/>
      <c r="W230" s="11">
        <v>0</v>
      </c>
      <c r="X230" s="11">
        <v>1</v>
      </c>
      <c r="Y230" s="11">
        <v>0</v>
      </c>
      <c r="Z230" s="11"/>
      <c r="AA230" s="11"/>
      <c r="AB230" s="11"/>
    </row>
    <row r="231" spans="1:28" x14ac:dyDescent="0.2">
      <c r="A231" s="11">
        <v>50</v>
      </c>
      <c r="B231" s="11">
        <v>0</v>
      </c>
      <c r="C231" s="11">
        <v>0</v>
      </c>
      <c r="D231" s="11">
        <v>1</v>
      </c>
      <c r="E231" s="11">
        <v>223</v>
      </c>
      <c r="F231" s="11">
        <f>ROUND(Source!AQ221,O231)</f>
        <v>0</v>
      </c>
      <c r="G231" s="11" t="s">
        <v>77</v>
      </c>
      <c r="H231" s="11" t="s">
        <v>78</v>
      </c>
      <c r="I231" s="11"/>
      <c r="J231" s="11"/>
      <c r="K231" s="11">
        <v>-223</v>
      </c>
      <c r="L231" s="11">
        <v>9</v>
      </c>
      <c r="M231" s="11">
        <v>3</v>
      </c>
      <c r="N231" s="11" t="s">
        <v>3</v>
      </c>
      <c r="O231" s="11">
        <v>2</v>
      </c>
      <c r="P231" s="11"/>
      <c r="Q231" s="11"/>
      <c r="R231" s="11"/>
      <c r="S231" s="11"/>
      <c r="T231" s="11"/>
      <c r="U231" s="11"/>
      <c r="V231" s="11"/>
      <c r="W231" s="11">
        <v>0</v>
      </c>
      <c r="X231" s="11">
        <v>1</v>
      </c>
      <c r="Y231" s="11">
        <v>0</v>
      </c>
      <c r="Z231" s="11"/>
      <c r="AA231" s="11"/>
      <c r="AB231" s="11"/>
    </row>
    <row r="232" spans="1:28" x14ac:dyDescent="0.2">
      <c r="A232" s="11">
        <v>50</v>
      </c>
      <c r="B232" s="11">
        <v>0</v>
      </c>
      <c r="C232" s="11">
        <v>0</v>
      </c>
      <c r="D232" s="11">
        <v>1</v>
      </c>
      <c r="E232" s="11">
        <v>229</v>
      </c>
      <c r="F232" s="11">
        <f>ROUND(Source!AZ221,O232)</f>
        <v>0</v>
      </c>
      <c r="G232" s="11" t="s">
        <v>79</v>
      </c>
      <c r="H232" s="11" t="s">
        <v>80</v>
      </c>
      <c r="I232" s="11"/>
      <c r="J232" s="11"/>
      <c r="K232" s="11">
        <v>-229</v>
      </c>
      <c r="L232" s="11">
        <v>10</v>
      </c>
      <c r="M232" s="11">
        <v>3</v>
      </c>
      <c r="N232" s="11" t="s">
        <v>3</v>
      </c>
      <c r="O232" s="11">
        <v>2</v>
      </c>
      <c r="P232" s="11"/>
      <c r="Q232" s="11"/>
      <c r="R232" s="11"/>
      <c r="S232" s="11"/>
      <c r="T232" s="11"/>
      <c r="U232" s="11"/>
      <c r="V232" s="11"/>
      <c r="W232" s="11">
        <v>0</v>
      </c>
      <c r="X232" s="11">
        <v>1</v>
      </c>
      <c r="Y232" s="11">
        <v>0</v>
      </c>
      <c r="Z232" s="11"/>
      <c r="AA232" s="11"/>
      <c r="AB232" s="11"/>
    </row>
    <row r="233" spans="1:28" x14ac:dyDescent="0.2">
      <c r="A233" s="11">
        <v>50</v>
      </c>
      <c r="B233" s="11">
        <v>0</v>
      </c>
      <c r="C233" s="11">
        <v>0</v>
      </c>
      <c r="D233" s="11">
        <v>1</v>
      </c>
      <c r="E233" s="11">
        <v>203</v>
      </c>
      <c r="F233" s="11">
        <f>ROUND(Source!Q221,O233)</f>
        <v>311.33</v>
      </c>
      <c r="G233" s="11" t="s">
        <v>81</v>
      </c>
      <c r="H233" s="11" t="s">
        <v>82</v>
      </c>
      <c r="I233" s="11"/>
      <c r="J233" s="11"/>
      <c r="K233" s="11">
        <v>-203</v>
      </c>
      <c r="L233" s="11">
        <v>11</v>
      </c>
      <c r="M233" s="11">
        <v>3</v>
      </c>
      <c r="N233" s="11" t="s">
        <v>3</v>
      </c>
      <c r="O233" s="11">
        <v>2</v>
      </c>
      <c r="P233" s="11"/>
      <c r="Q233" s="11"/>
      <c r="R233" s="11"/>
      <c r="S233" s="11"/>
      <c r="T233" s="11"/>
      <c r="U233" s="11"/>
      <c r="V233" s="11"/>
      <c r="W233" s="11">
        <v>311.33</v>
      </c>
      <c r="X233" s="11">
        <v>1</v>
      </c>
      <c r="Y233" s="11">
        <v>311.33</v>
      </c>
      <c r="Z233" s="11"/>
      <c r="AA233" s="11"/>
      <c r="AB233" s="11"/>
    </row>
    <row r="234" spans="1:28" x14ac:dyDescent="0.2">
      <c r="A234" s="11">
        <v>50</v>
      </c>
      <c r="B234" s="11">
        <v>0</v>
      </c>
      <c r="C234" s="11">
        <v>0</v>
      </c>
      <c r="D234" s="11">
        <v>1</v>
      </c>
      <c r="E234" s="11">
        <v>231</v>
      </c>
      <c r="F234" s="11">
        <f>ROUND(Source!BB221,O234)</f>
        <v>0</v>
      </c>
      <c r="G234" s="11" t="s">
        <v>83</v>
      </c>
      <c r="H234" s="11" t="s">
        <v>84</v>
      </c>
      <c r="I234" s="11"/>
      <c r="J234" s="11"/>
      <c r="K234" s="11">
        <v>-231</v>
      </c>
      <c r="L234" s="11">
        <v>12</v>
      </c>
      <c r="M234" s="11">
        <v>3</v>
      </c>
      <c r="N234" s="11" t="s">
        <v>3</v>
      </c>
      <c r="O234" s="11">
        <v>2</v>
      </c>
      <c r="P234" s="11"/>
      <c r="Q234" s="11"/>
      <c r="R234" s="11"/>
      <c r="S234" s="11"/>
      <c r="T234" s="11"/>
      <c r="U234" s="11"/>
      <c r="V234" s="11"/>
      <c r="W234" s="11">
        <v>0</v>
      </c>
      <c r="X234" s="11">
        <v>1</v>
      </c>
      <c r="Y234" s="11">
        <v>0</v>
      </c>
      <c r="Z234" s="11"/>
      <c r="AA234" s="11"/>
      <c r="AB234" s="11"/>
    </row>
    <row r="235" spans="1:28" x14ac:dyDescent="0.2">
      <c r="A235" s="11">
        <v>50</v>
      </c>
      <c r="B235" s="11">
        <v>0</v>
      </c>
      <c r="C235" s="11">
        <v>0</v>
      </c>
      <c r="D235" s="11">
        <v>1</v>
      </c>
      <c r="E235" s="11">
        <v>204</v>
      </c>
      <c r="F235" s="11">
        <f>ROUND(Source!R221,O235)</f>
        <v>114.67</v>
      </c>
      <c r="G235" s="11" t="s">
        <v>85</v>
      </c>
      <c r="H235" s="11" t="s">
        <v>86</v>
      </c>
      <c r="I235" s="11"/>
      <c r="J235" s="11"/>
      <c r="K235" s="11">
        <v>-204</v>
      </c>
      <c r="L235" s="11">
        <v>13</v>
      </c>
      <c r="M235" s="11">
        <v>3</v>
      </c>
      <c r="N235" s="11" t="s">
        <v>3</v>
      </c>
      <c r="O235" s="11">
        <v>2</v>
      </c>
      <c r="P235" s="11"/>
      <c r="Q235" s="11"/>
      <c r="R235" s="11"/>
      <c r="S235" s="11"/>
      <c r="T235" s="11"/>
      <c r="U235" s="11"/>
      <c r="V235" s="11"/>
      <c r="W235" s="11">
        <v>114.67</v>
      </c>
      <c r="X235" s="11">
        <v>1</v>
      </c>
      <c r="Y235" s="11">
        <v>114.67</v>
      </c>
      <c r="Z235" s="11"/>
      <c r="AA235" s="11"/>
      <c r="AB235" s="11"/>
    </row>
    <row r="236" spans="1:28" x14ac:dyDescent="0.2">
      <c r="A236" s="11">
        <v>50</v>
      </c>
      <c r="B236" s="11">
        <v>0</v>
      </c>
      <c r="C236" s="11">
        <v>0</v>
      </c>
      <c r="D236" s="11">
        <v>1</v>
      </c>
      <c r="E236" s="11">
        <v>205</v>
      </c>
      <c r="F236" s="11">
        <f>ROUND(Source!S221,O236)</f>
        <v>92668.05</v>
      </c>
      <c r="G236" s="11" t="s">
        <v>87</v>
      </c>
      <c r="H236" s="11" t="s">
        <v>88</v>
      </c>
      <c r="I236" s="11"/>
      <c r="J236" s="11"/>
      <c r="K236" s="11">
        <v>-205</v>
      </c>
      <c r="L236" s="11">
        <v>14</v>
      </c>
      <c r="M236" s="11">
        <v>3</v>
      </c>
      <c r="N236" s="11" t="s">
        <v>3</v>
      </c>
      <c r="O236" s="11">
        <v>2</v>
      </c>
      <c r="P236" s="11"/>
      <c r="Q236" s="11"/>
      <c r="R236" s="11"/>
      <c r="S236" s="11"/>
      <c r="T236" s="11"/>
      <c r="U236" s="11"/>
      <c r="V236" s="11"/>
      <c r="W236" s="11">
        <v>92668.05</v>
      </c>
      <c r="X236" s="11">
        <v>1</v>
      </c>
      <c r="Y236" s="11">
        <v>92668.05</v>
      </c>
      <c r="Z236" s="11"/>
      <c r="AA236" s="11"/>
      <c r="AB236" s="11"/>
    </row>
    <row r="237" spans="1:28" x14ac:dyDescent="0.2">
      <c r="A237" s="11">
        <v>50</v>
      </c>
      <c r="B237" s="11">
        <v>0</v>
      </c>
      <c r="C237" s="11">
        <v>0</v>
      </c>
      <c r="D237" s="11">
        <v>1</v>
      </c>
      <c r="E237" s="11">
        <v>232</v>
      </c>
      <c r="F237" s="11">
        <f>ROUND(Source!BC221,O237)</f>
        <v>0</v>
      </c>
      <c r="G237" s="11" t="s">
        <v>89</v>
      </c>
      <c r="H237" s="11" t="s">
        <v>90</v>
      </c>
      <c r="I237" s="11"/>
      <c r="J237" s="11"/>
      <c r="K237" s="11">
        <v>-232</v>
      </c>
      <c r="L237" s="11">
        <v>15</v>
      </c>
      <c r="M237" s="11">
        <v>3</v>
      </c>
      <c r="N237" s="11" t="s">
        <v>3</v>
      </c>
      <c r="O237" s="11">
        <v>2</v>
      </c>
      <c r="P237" s="11"/>
      <c r="Q237" s="11"/>
      <c r="R237" s="11"/>
      <c r="S237" s="11"/>
      <c r="T237" s="11"/>
      <c r="U237" s="11"/>
      <c r="V237" s="11"/>
      <c r="W237" s="11">
        <v>0</v>
      </c>
      <c r="X237" s="11">
        <v>1</v>
      </c>
      <c r="Y237" s="11">
        <v>0</v>
      </c>
      <c r="Z237" s="11"/>
      <c r="AA237" s="11"/>
      <c r="AB237" s="11"/>
    </row>
    <row r="238" spans="1:28" x14ac:dyDescent="0.2">
      <c r="A238" s="11">
        <v>50</v>
      </c>
      <c r="B238" s="11">
        <v>0</v>
      </c>
      <c r="C238" s="11">
        <v>0</v>
      </c>
      <c r="D238" s="11">
        <v>1</v>
      </c>
      <c r="E238" s="11">
        <v>214</v>
      </c>
      <c r="F238" s="11">
        <f>ROUND(Source!AS221,O238)</f>
        <v>264628.55</v>
      </c>
      <c r="G238" s="11" t="s">
        <v>91</v>
      </c>
      <c r="H238" s="11" t="s">
        <v>92</v>
      </c>
      <c r="I238" s="11"/>
      <c r="J238" s="11"/>
      <c r="K238" s="11">
        <v>-214</v>
      </c>
      <c r="L238" s="11">
        <v>16</v>
      </c>
      <c r="M238" s="11">
        <v>3</v>
      </c>
      <c r="N238" s="11" t="s">
        <v>3</v>
      </c>
      <c r="O238" s="11">
        <v>2</v>
      </c>
      <c r="P238" s="11"/>
      <c r="Q238" s="11"/>
      <c r="R238" s="11"/>
      <c r="S238" s="11"/>
      <c r="T238" s="11"/>
      <c r="U238" s="11"/>
      <c r="V238" s="11"/>
      <c r="W238" s="11">
        <v>264628.55</v>
      </c>
      <c r="X238" s="11">
        <v>1</v>
      </c>
      <c r="Y238" s="11">
        <v>264628.55</v>
      </c>
      <c r="Z238" s="11"/>
      <c r="AA238" s="11"/>
      <c r="AB238" s="11"/>
    </row>
    <row r="239" spans="1:28" x14ac:dyDescent="0.2">
      <c r="A239" s="11">
        <v>50</v>
      </c>
      <c r="B239" s="11">
        <v>0</v>
      </c>
      <c r="C239" s="11">
        <v>0</v>
      </c>
      <c r="D239" s="11">
        <v>1</v>
      </c>
      <c r="E239" s="11">
        <v>215</v>
      </c>
      <c r="F239" s="11">
        <f>ROUND(Source!AT221,O239)</f>
        <v>0</v>
      </c>
      <c r="G239" s="11" t="s">
        <v>93</v>
      </c>
      <c r="H239" s="11" t="s">
        <v>94</v>
      </c>
      <c r="I239" s="11"/>
      <c r="J239" s="11"/>
      <c r="K239" s="11">
        <v>-215</v>
      </c>
      <c r="L239" s="11">
        <v>17</v>
      </c>
      <c r="M239" s="11">
        <v>3</v>
      </c>
      <c r="N239" s="11" t="s">
        <v>3</v>
      </c>
      <c r="O239" s="11">
        <v>2</v>
      </c>
      <c r="P239" s="11"/>
      <c r="Q239" s="11"/>
      <c r="R239" s="11"/>
      <c r="S239" s="11"/>
      <c r="T239" s="11"/>
      <c r="U239" s="11"/>
      <c r="V239" s="11"/>
      <c r="W239" s="11">
        <v>0</v>
      </c>
      <c r="X239" s="11">
        <v>1</v>
      </c>
      <c r="Y239" s="11">
        <v>0</v>
      </c>
      <c r="Z239" s="11"/>
      <c r="AA239" s="11"/>
      <c r="AB239" s="11"/>
    </row>
    <row r="240" spans="1:28" x14ac:dyDescent="0.2">
      <c r="A240" s="11">
        <v>50</v>
      </c>
      <c r="B240" s="11">
        <v>0</v>
      </c>
      <c r="C240" s="11">
        <v>0</v>
      </c>
      <c r="D240" s="11">
        <v>1</v>
      </c>
      <c r="E240" s="11">
        <v>217</v>
      </c>
      <c r="F240" s="11">
        <f>ROUND(Source!AU221,O240)</f>
        <v>0</v>
      </c>
      <c r="G240" s="11" t="s">
        <v>95</v>
      </c>
      <c r="H240" s="11" t="s">
        <v>96</v>
      </c>
      <c r="I240" s="11"/>
      <c r="J240" s="11"/>
      <c r="K240" s="11">
        <v>-217</v>
      </c>
      <c r="L240" s="11">
        <v>18</v>
      </c>
      <c r="M240" s="11">
        <v>3</v>
      </c>
      <c r="N240" s="11" t="s">
        <v>3</v>
      </c>
      <c r="O240" s="11">
        <v>2</v>
      </c>
      <c r="P240" s="11"/>
      <c r="Q240" s="11"/>
      <c r="R240" s="11"/>
      <c r="S240" s="11"/>
      <c r="T240" s="11"/>
      <c r="U240" s="11"/>
      <c r="V240" s="11"/>
      <c r="W240" s="11">
        <v>0</v>
      </c>
      <c r="X240" s="11">
        <v>1</v>
      </c>
      <c r="Y240" s="11">
        <v>0</v>
      </c>
      <c r="Z240" s="11"/>
      <c r="AA240" s="11"/>
      <c r="AB240" s="11"/>
    </row>
    <row r="241" spans="1:245" x14ac:dyDescent="0.2">
      <c r="A241" s="11">
        <v>50</v>
      </c>
      <c r="B241" s="11">
        <v>0</v>
      </c>
      <c r="C241" s="11">
        <v>0</v>
      </c>
      <c r="D241" s="11">
        <v>1</v>
      </c>
      <c r="E241" s="11">
        <v>230</v>
      </c>
      <c r="F241" s="11">
        <f>ROUND(Source!BA221,O241)</f>
        <v>0</v>
      </c>
      <c r="G241" s="11" t="s">
        <v>97</v>
      </c>
      <c r="H241" s="11" t="s">
        <v>98</v>
      </c>
      <c r="I241" s="11"/>
      <c r="J241" s="11"/>
      <c r="K241" s="11">
        <v>-230</v>
      </c>
      <c r="L241" s="11">
        <v>19</v>
      </c>
      <c r="M241" s="11">
        <v>3</v>
      </c>
      <c r="N241" s="11" t="s">
        <v>3</v>
      </c>
      <c r="O241" s="11">
        <v>2</v>
      </c>
      <c r="P241" s="11"/>
      <c r="Q241" s="11"/>
      <c r="R241" s="11"/>
      <c r="S241" s="11"/>
      <c r="T241" s="11"/>
      <c r="U241" s="11"/>
      <c r="V241" s="11"/>
      <c r="W241" s="11">
        <v>0</v>
      </c>
      <c r="X241" s="11">
        <v>1</v>
      </c>
      <c r="Y241" s="11">
        <v>0</v>
      </c>
      <c r="Z241" s="11"/>
      <c r="AA241" s="11"/>
      <c r="AB241" s="11"/>
    </row>
    <row r="242" spans="1:245" x14ac:dyDescent="0.2">
      <c r="A242" s="11">
        <v>50</v>
      </c>
      <c r="B242" s="11">
        <v>0</v>
      </c>
      <c r="C242" s="11">
        <v>0</v>
      </c>
      <c r="D242" s="11">
        <v>1</v>
      </c>
      <c r="E242" s="11">
        <v>206</v>
      </c>
      <c r="F242" s="11">
        <f>ROUND(Source!T221,O242)</f>
        <v>0</v>
      </c>
      <c r="G242" s="11" t="s">
        <v>99</v>
      </c>
      <c r="H242" s="11" t="s">
        <v>100</v>
      </c>
      <c r="I242" s="11"/>
      <c r="J242" s="11"/>
      <c r="K242" s="11">
        <v>-206</v>
      </c>
      <c r="L242" s="11">
        <v>20</v>
      </c>
      <c r="M242" s="11">
        <v>3</v>
      </c>
      <c r="N242" s="11" t="s">
        <v>3</v>
      </c>
      <c r="O242" s="11">
        <v>2</v>
      </c>
      <c r="P242" s="11"/>
      <c r="Q242" s="11"/>
      <c r="R242" s="11"/>
      <c r="S242" s="11"/>
      <c r="T242" s="11"/>
      <c r="U242" s="11"/>
      <c r="V242" s="11"/>
      <c r="W242" s="11">
        <v>0</v>
      </c>
      <c r="X242" s="11">
        <v>1</v>
      </c>
      <c r="Y242" s="11">
        <v>0</v>
      </c>
      <c r="Z242" s="11"/>
      <c r="AA242" s="11"/>
      <c r="AB242" s="11"/>
    </row>
    <row r="243" spans="1:245" x14ac:dyDescent="0.2">
      <c r="A243" s="11">
        <v>50</v>
      </c>
      <c r="B243" s="11">
        <v>0</v>
      </c>
      <c r="C243" s="11">
        <v>0</v>
      </c>
      <c r="D243" s="11">
        <v>1</v>
      </c>
      <c r="E243" s="11">
        <v>207</v>
      </c>
      <c r="F243" s="11">
        <f>Source!U221</f>
        <v>142.1018339</v>
      </c>
      <c r="G243" s="11" t="s">
        <v>101</v>
      </c>
      <c r="H243" s="11" t="s">
        <v>102</v>
      </c>
      <c r="I243" s="11"/>
      <c r="J243" s="11"/>
      <c r="K243" s="11">
        <v>-207</v>
      </c>
      <c r="L243" s="11">
        <v>21</v>
      </c>
      <c r="M243" s="11">
        <v>3</v>
      </c>
      <c r="N243" s="11" t="s">
        <v>3</v>
      </c>
      <c r="O243" s="11">
        <v>-1</v>
      </c>
      <c r="P243" s="11"/>
      <c r="Q243" s="11"/>
      <c r="R243" s="11"/>
      <c r="S243" s="11"/>
      <c r="T243" s="11"/>
      <c r="U243" s="11"/>
      <c r="V243" s="11"/>
      <c r="W243" s="11">
        <v>142.1018339</v>
      </c>
      <c r="X243" s="11">
        <v>1</v>
      </c>
      <c r="Y243" s="11">
        <v>142.1018339</v>
      </c>
      <c r="Z243" s="11"/>
      <c r="AA243" s="11"/>
      <c r="AB243" s="11"/>
    </row>
    <row r="244" spans="1:245" x14ac:dyDescent="0.2">
      <c r="A244" s="11">
        <v>50</v>
      </c>
      <c r="B244" s="11">
        <v>0</v>
      </c>
      <c r="C244" s="11">
        <v>0</v>
      </c>
      <c r="D244" s="11">
        <v>1</v>
      </c>
      <c r="E244" s="11">
        <v>208</v>
      </c>
      <c r="F244" s="11">
        <f>Source!V221</f>
        <v>0</v>
      </c>
      <c r="G244" s="11" t="s">
        <v>103</v>
      </c>
      <c r="H244" s="11" t="s">
        <v>104</v>
      </c>
      <c r="I244" s="11"/>
      <c r="J244" s="11"/>
      <c r="K244" s="11">
        <v>-208</v>
      </c>
      <c r="L244" s="11">
        <v>22</v>
      </c>
      <c r="M244" s="11">
        <v>3</v>
      </c>
      <c r="N244" s="11" t="s">
        <v>3</v>
      </c>
      <c r="O244" s="11">
        <v>-1</v>
      </c>
      <c r="P244" s="11"/>
      <c r="Q244" s="11"/>
      <c r="R244" s="11"/>
      <c r="S244" s="11"/>
      <c r="T244" s="11"/>
      <c r="U244" s="11"/>
      <c r="V244" s="11"/>
      <c r="W244" s="11">
        <v>0</v>
      </c>
      <c r="X244" s="11">
        <v>1</v>
      </c>
      <c r="Y244" s="11">
        <v>0</v>
      </c>
      <c r="Z244" s="11"/>
      <c r="AA244" s="11"/>
      <c r="AB244" s="11"/>
    </row>
    <row r="245" spans="1:245" x14ac:dyDescent="0.2">
      <c r="A245" s="11">
        <v>50</v>
      </c>
      <c r="B245" s="11">
        <v>0</v>
      </c>
      <c r="C245" s="11">
        <v>0</v>
      </c>
      <c r="D245" s="11">
        <v>1</v>
      </c>
      <c r="E245" s="11">
        <v>209</v>
      </c>
      <c r="F245" s="11">
        <f>ROUND(Source!W221,O245)</f>
        <v>0</v>
      </c>
      <c r="G245" s="11" t="s">
        <v>105</v>
      </c>
      <c r="H245" s="11" t="s">
        <v>106</v>
      </c>
      <c r="I245" s="11"/>
      <c r="J245" s="11"/>
      <c r="K245" s="11">
        <v>-209</v>
      </c>
      <c r="L245" s="11">
        <v>23</v>
      </c>
      <c r="M245" s="11">
        <v>3</v>
      </c>
      <c r="N245" s="11" t="s">
        <v>3</v>
      </c>
      <c r="O245" s="11">
        <v>2</v>
      </c>
      <c r="P245" s="11"/>
      <c r="Q245" s="11"/>
      <c r="R245" s="11"/>
      <c r="S245" s="11"/>
      <c r="T245" s="11"/>
      <c r="U245" s="11"/>
      <c r="V245" s="11"/>
      <c r="W245" s="11">
        <v>0</v>
      </c>
      <c r="X245" s="11">
        <v>1</v>
      </c>
      <c r="Y245" s="11">
        <v>0</v>
      </c>
      <c r="Z245" s="11"/>
      <c r="AA245" s="11"/>
      <c r="AB245" s="11"/>
    </row>
    <row r="246" spans="1:245" x14ac:dyDescent="0.2">
      <c r="A246" s="11">
        <v>50</v>
      </c>
      <c r="B246" s="11">
        <v>0</v>
      </c>
      <c r="C246" s="11">
        <v>0</v>
      </c>
      <c r="D246" s="11">
        <v>1</v>
      </c>
      <c r="E246" s="11">
        <v>233</v>
      </c>
      <c r="F246" s="11">
        <f>ROUND(Source!BD221,O246)</f>
        <v>0</v>
      </c>
      <c r="G246" s="11" t="s">
        <v>107</v>
      </c>
      <c r="H246" s="11" t="s">
        <v>108</v>
      </c>
      <c r="I246" s="11"/>
      <c r="J246" s="11"/>
      <c r="K246" s="11">
        <v>-233</v>
      </c>
      <c r="L246" s="11">
        <v>24</v>
      </c>
      <c r="M246" s="11">
        <v>3</v>
      </c>
      <c r="N246" s="11" t="s">
        <v>3</v>
      </c>
      <c r="O246" s="11">
        <v>2</v>
      </c>
      <c r="P246" s="11"/>
      <c r="Q246" s="11"/>
      <c r="R246" s="11"/>
      <c r="S246" s="11"/>
      <c r="T246" s="11"/>
      <c r="U246" s="11"/>
      <c r="V246" s="11"/>
      <c r="W246" s="11">
        <v>0</v>
      </c>
      <c r="X246" s="11">
        <v>1</v>
      </c>
      <c r="Y246" s="11">
        <v>0</v>
      </c>
      <c r="Z246" s="11"/>
      <c r="AA246" s="11"/>
      <c r="AB246" s="11"/>
    </row>
    <row r="247" spans="1:245" x14ac:dyDescent="0.2">
      <c r="A247" s="11">
        <v>50</v>
      </c>
      <c r="B247" s="11">
        <v>0</v>
      </c>
      <c r="C247" s="11">
        <v>0</v>
      </c>
      <c r="D247" s="11">
        <v>1</v>
      </c>
      <c r="E247" s="11">
        <v>210</v>
      </c>
      <c r="F247" s="11">
        <f>ROUND(Source!X221,O247)</f>
        <v>85381.119999999995</v>
      </c>
      <c r="G247" s="11" t="s">
        <v>109</v>
      </c>
      <c r="H247" s="11" t="s">
        <v>110</v>
      </c>
      <c r="I247" s="11"/>
      <c r="J247" s="11"/>
      <c r="K247" s="11">
        <v>-210</v>
      </c>
      <c r="L247" s="11">
        <v>25</v>
      </c>
      <c r="M247" s="11">
        <v>3</v>
      </c>
      <c r="N247" s="11" t="s">
        <v>3</v>
      </c>
      <c r="O247" s="11">
        <v>2</v>
      </c>
      <c r="P247" s="11"/>
      <c r="Q247" s="11"/>
      <c r="R247" s="11"/>
      <c r="S247" s="11"/>
      <c r="T247" s="11"/>
      <c r="U247" s="11"/>
      <c r="V247" s="11"/>
      <c r="W247" s="11">
        <v>85381.119999999995</v>
      </c>
      <c r="X247" s="11">
        <v>1</v>
      </c>
      <c r="Y247" s="11">
        <v>85381.119999999995</v>
      </c>
      <c r="Z247" s="11"/>
      <c r="AA247" s="11"/>
      <c r="AB247" s="11"/>
    </row>
    <row r="248" spans="1:245" x14ac:dyDescent="0.2">
      <c r="A248" s="11">
        <v>50</v>
      </c>
      <c r="B248" s="11">
        <v>0</v>
      </c>
      <c r="C248" s="11">
        <v>0</v>
      </c>
      <c r="D248" s="11">
        <v>1</v>
      </c>
      <c r="E248" s="11">
        <v>211</v>
      </c>
      <c r="F248" s="11">
        <f>ROUND(Source!Y221,O248)</f>
        <v>43096.22</v>
      </c>
      <c r="G248" s="11" t="s">
        <v>111</v>
      </c>
      <c r="H248" s="11" t="s">
        <v>112</v>
      </c>
      <c r="I248" s="11"/>
      <c r="J248" s="11"/>
      <c r="K248" s="11">
        <v>-211</v>
      </c>
      <c r="L248" s="11">
        <v>26</v>
      </c>
      <c r="M248" s="11">
        <v>3</v>
      </c>
      <c r="N248" s="11" t="s">
        <v>3</v>
      </c>
      <c r="O248" s="11">
        <v>2</v>
      </c>
      <c r="P248" s="11"/>
      <c r="Q248" s="11"/>
      <c r="R248" s="11"/>
      <c r="S248" s="11"/>
      <c r="T248" s="11"/>
      <c r="U248" s="11"/>
      <c r="V248" s="11"/>
      <c r="W248" s="11">
        <v>43096.22</v>
      </c>
      <c r="X248" s="11">
        <v>1</v>
      </c>
      <c r="Y248" s="11">
        <v>43096.22</v>
      </c>
      <c r="Z248" s="11"/>
      <c r="AA248" s="11"/>
      <c r="AB248" s="11"/>
    </row>
    <row r="249" spans="1:245" x14ac:dyDescent="0.2">
      <c r="A249" s="11">
        <v>50</v>
      </c>
      <c r="B249" s="11">
        <v>0</v>
      </c>
      <c r="C249" s="11">
        <v>0</v>
      </c>
      <c r="D249" s="11">
        <v>1</v>
      </c>
      <c r="E249" s="11">
        <v>224</v>
      </c>
      <c r="F249" s="11">
        <f>ROUND(Source!AR221,O249)</f>
        <v>264628.55</v>
      </c>
      <c r="G249" s="11" t="s">
        <v>113</v>
      </c>
      <c r="H249" s="11" t="s">
        <v>114</v>
      </c>
      <c r="I249" s="11"/>
      <c r="J249" s="11"/>
      <c r="K249" s="11">
        <v>-224</v>
      </c>
      <c r="L249" s="11">
        <v>27</v>
      </c>
      <c r="M249" s="11">
        <v>3</v>
      </c>
      <c r="N249" s="11" t="s">
        <v>3</v>
      </c>
      <c r="O249" s="11">
        <v>2</v>
      </c>
      <c r="P249" s="11"/>
      <c r="Q249" s="11"/>
      <c r="R249" s="11"/>
      <c r="S249" s="11"/>
      <c r="T249" s="11"/>
      <c r="U249" s="11"/>
      <c r="V249" s="11"/>
      <c r="W249" s="11">
        <v>264628.55</v>
      </c>
      <c r="X249" s="11">
        <v>1</v>
      </c>
      <c r="Y249" s="11">
        <v>264628.55</v>
      </c>
      <c r="Z249" s="11"/>
      <c r="AA249" s="11"/>
      <c r="AB249" s="11"/>
    </row>
    <row r="251" spans="1:245" x14ac:dyDescent="0.2">
      <c r="A251" s="8">
        <v>4</v>
      </c>
      <c r="B251" s="8">
        <v>1</v>
      </c>
      <c r="C251" s="8"/>
      <c r="D251" s="8">
        <f>ROW(A258)</f>
        <v>258</v>
      </c>
      <c r="E251" s="8"/>
      <c r="F251" s="8" t="s">
        <v>15</v>
      </c>
      <c r="G251" s="8" t="s">
        <v>315</v>
      </c>
      <c r="H251" s="8" t="s">
        <v>3</v>
      </c>
      <c r="I251" s="8">
        <v>0</v>
      </c>
      <c r="J251" s="8"/>
      <c r="K251" s="8">
        <v>0</v>
      </c>
      <c r="L251" s="8"/>
      <c r="M251" s="8" t="s">
        <v>3</v>
      </c>
      <c r="N251" s="8"/>
      <c r="O251" s="8"/>
      <c r="P251" s="8"/>
      <c r="Q251" s="8"/>
      <c r="R251" s="8"/>
      <c r="S251" s="8">
        <v>0</v>
      </c>
      <c r="T251" s="8"/>
      <c r="U251" s="8" t="s">
        <v>3</v>
      </c>
      <c r="V251" s="8">
        <v>0</v>
      </c>
      <c r="W251" s="8"/>
      <c r="X251" s="8"/>
      <c r="Y251" s="8"/>
      <c r="Z251" s="8"/>
      <c r="AA251" s="8"/>
      <c r="AB251" s="8" t="s">
        <v>3</v>
      </c>
      <c r="AC251" s="8" t="s">
        <v>3</v>
      </c>
      <c r="AD251" s="8" t="s">
        <v>3</v>
      </c>
      <c r="AE251" s="8" t="s">
        <v>3</v>
      </c>
      <c r="AF251" s="8" t="s">
        <v>3</v>
      </c>
      <c r="AG251" s="8" t="s">
        <v>3</v>
      </c>
      <c r="AH251" s="8"/>
      <c r="AI251" s="8"/>
      <c r="AJ251" s="8"/>
      <c r="AK251" s="8"/>
      <c r="AL251" s="8"/>
      <c r="AM251" s="8"/>
      <c r="AN251" s="8"/>
      <c r="AO251" s="8"/>
      <c r="AP251" s="8" t="s">
        <v>3</v>
      </c>
      <c r="AQ251" s="8" t="s">
        <v>3</v>
      </c>
      <c r="AR251" s="8" t="s">
        <v>3</v>
      </c>
      <c r="AS251" s="8"/>
      <c r="AT251" s="8"/>
      <c r="AU251" s="8"/>
      <c r="AV251" s="8"/>
      <c r="AW251" s="8"/>
      <c r="AX251" s="8"/>
      <c r="AY251" s="8"/>
      <c r="AZ251" s="8" t="s">
        <v>3</v>
      </c>
      <c r="BA251" s="8"/>
      <c r="BB251" s="8" t="s">
        <v>3</v>
      </c>
      <c r="BC251" s="8" t="s">
        <v>3</v>
      </c>
      <c r="BD251" s="8" t="s">
        <v>3</v>
      </c>
      <c r="BE251" s="8" t="s">
        <v>3</v>
      </c>
      <c r="BF251" s="8" t="s">
        <v>3</v>
      </c>
      <c r="BG251" s="8" t="s">
        <v>3</v>
      </c>
      <c r="BH251" s="8" t="s">
        <v>3</v>
      </c>
      <c r="BI251" s="8" t="s">
        <v>3</v>
      </c>
      <c r="BJ251" s="8" t="s">
        <v>3</v>
      </c>
      <c r="BK251" s="8" t="s">
        <v>3</v>
      </c>
      <c r="BL251" s="8" t="s">
        <v>3</v>
      </c>
      <c r="BM251" s="8" t="s">
        <v>3</v>
      </c>
      <c r="BN251" s="8" t="s">
        <v>3</v>
      </c>
      <c r="BO251" s="8" t="s">
        <v>3</v>
      </c>
      <c r="BP251" s="8" t="s">
        <v>3</v>
      </c>
      <c r="BQ251" s="8"/>
      <c r="BR251" s="8"/>
      <c r="BS251" s="8"/>
      <c r="BT251" s="8"/>
      <c r="BU251" s="8"/>
      <c r="BV251" s="8"/>
      <c r="BW251" s="8"/>
      <c r="BX251" s="8">
        <v>0</v>
      </c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>
        <v>0</v>
      </c>
    </row>
    <row r="253" spans="1:245" x14ac:dyDescent="0.2">
      <c r="A253" s="9">
        <v>52</v>
      </c>
      <c r="B253" s="9">
        <f t="shared" ref="B253:G253" si="176">B258</f>
        <v>1</v>
      </c>
      <c r="C253" s="9">
        <f t="shared" si="176"/>
        <v>4</v>
      </c>
      <c r="D253" s="9">
        <f t="shared" si="176"/>
        <v>251</v>
      </c>
      <c r="E253" s="9">
        <f t="shared" si="176"/>
        <v>0</v>
      </c>
      <c r="F253" s="9" t="str">
        <f t="shared" si="176"/>
        <v>Новый раздел</v>
      </c>
      <c r="G253" s="9" t="str">
        <f t="shared" si="176"/>
        <v>Раздел: Вывоз мусора</v>
      </c>
      <c r="H253" s="9"/>
      <c r="I253" s="9"/>
      <c r="J253" s="9"/>
      <c r="K253" s="9"/>
      <c r="L253" s="9"/>
      <c r="M253" s="9"/>
      <c r="N253" s="9"/>
      <c r="O253" s="9">
        <f t="shared" ref="O253:AT253" si="177">O258</f>
        <v>6196.74</v>
      </c>
      <c r="P253" s="9">
        <f t="shared" si="177"/>
        <v>0</v>
      </c>
      <c r="Q253" s="9">
        <f t="shared" si="177"/>
        <v>4751.66</v>
      </c>
      <c r="R253" s="9">
        <f t="shared" si="177"/>
        <v>520.29999999999995</v>
      </c>
      <c r="S253" s="9">
        <f t="shared" si="177"/>
        <v>1445.08</v>
      </c>
      <c r="T253" s="9">
        <f t="shared" si="177"/>
        <v>0</v>
      </c>
      <c r="U253" s="9">
        <f t="shared" si="177"/>
        <v>2.1280000000000001</v>
      </c>
      <c r="V253" s="9">
        <f t="shared" si="177"/>
        <v>0</v>
      </c>
      <c r="W253" s="9">
        <f t="shared" si="177"/>
        <v>0</v>
      </c>
      <c r="X253" s="9">
        <f t="shared" si="177"/>
        <v>2044</v>
      </c>
      <c r="Y253" s="9">
        <f t="shared" si="177"/>
        <v>1179.23</v>
      </c>
      <c r="Z253" s="9">
        <f t="shared" si="177"/>
        <v>0</v>
      </c>
      <c r="AA253" s="9">
        <f t="shared" si="177"/>
        <v>0</v>
      </c>
      <c r="AB253" s="9">
        <f t="shared" si="177"/>
        <v>6196.74</v>
      </c>
      <c r="AC253" s="9">
        <f t="shared" si="177"/>
        <v>0</v>
      </c>
      <c r="AD253" s="9">
        <f t="shared" si="177"/>
        <v>4751.66</v>
      </c>
      <c r="AE253" s="9">
        <f t="shared" si="177"/>
        <v>520.29999999999995</v>
      </c>
      <c r="AF253" s="9">
        <f t="shared" si="177"/>
        <v>1445.08</v>
      </c>
      <c r="AG253" s="9">
        <f t="shared" si="177"/>
        <v>0</v>
      </c>
      <c r="AH253" s="9">
        <f t="shared" si="177"/>
        <v>2.1280000000000001</v>
      </c>
      <c r="AI253" s="9">
        <f t="shared" si="177"/>
        <v>0</v>
      </c>
      <c r="AJ253" s="9">
        <f t="shared" si="177"/>
        <v>0</v>
      </c>
      <c r="AK253" s="9">
        <f t="shared" si="177"/>
        <v>2044</v>
      </c>
      <c r="AL253" s="9">
        <f t="shared" si="177"/>
        <v>1179.23</v>
      </c>
      <c r="AM253" s="9">
        <f t="shared" si="177"/>
        <v>0</v>
      </c>
      <c r="AN253" s="9">
        <f t="shared" si="177"/>
        <v>0</v>
      </c>
      <c r="AO253" s="9">
        <f t="shared" si="177"/>
        <v>0</v>
      </c>
      <c r="AP253" s="9">
        <f t="shared" si="177"/>
        <v>0</v>
      </c>
      <c r="AQ253" s="9">
        <f t="shared" si="177"/>
        <v>0</v>
      </c>
      <c r="AR253" s="9">
        <f t="shared" si="177"/>
        <v>9419.9699999999993</v>
      </c>
      <c r="AS253" s="9">
        <f t="shared" si="177"/>
        <v>5407.94</v>
      </c>
      <c r="AT253" s="9">
        <f t="shared" si="177"/>
        <v>0</v>
      </c>
      <c r="AU253" s="9">
        <f t="shared" ref="AU253:BZ253" si="178">AU258</f>
        <v>4012.03</v>
      </c>
      <c r="AV253" s="9">
        <f t="shared" si="178"/>
        <v>0</v>
      </c>
      <c r="AW253" s="9">
        <f t="shared" si="178"/>
        <v>0</v>
      </c>
      <c r="AX253" s="9">
        <f t="shared" si="178"/>
        <v>0</v>
      </c>
      <c r="AY253" s="9">
        <f t="shared" si="178"/>
        <v>0</v>
      </c>
      <c r="AZ253" s="9">
        <f t="shared" si="178"/>
        <v>0</v>
      </c>
      <c r="BA253" s="9">
        <f t="shared" si="178"/>
        <v>0</v>
      </c>
      <c r="BB253" s="9">
        <f t="shared" si="178"/>
        <v>0</v>
      </c>
      <c r="BC253" s="9">
        <f t="shared" si="178"/>
        <v>0</v>
      </c>
      <c r="BD253" s="9">
        <f t="shared" si="178"/>
        <v>0</v>
      </c>
      <c r="BE253" s="9">
        <f t="shared" si="178"/>
        <v>0</v>
      </c>
      <c r="BF253" s="9">
        <f t="shared" si="178"/>
        <v>0</v>
      </c>
      <c r="BG253" s="9">
        <f t="shared" si="178"/>
        <v>0</v>
      </c>
      <c r="BH253" s="9">
        <f t="shared" si="178"/>
        <v>0</v>
      </c>
      <c r="BI253" s="9">
        <f t="shared" si="178"/>
        <v>0</v>
      </c>
      <c r="BJ253" s="9">
        <f t="shared" si="178"/>
        <v>0</v>
      </c>
      <c r="BK253" s="9">
        <f t="shared" si="178"/>
        <v>0</v>
      </c>
      <c r="BL253" s="9">
        <f t="shared" si="178"/>
        <v>0</v>
      </c>
      <c r="BM253" s="9">
        <f t="shared" si="178"/>
        <v>0</v>
      </c>
      <c r="BN253" s="9">
        <f t="shared" si="178"/>
        <v>0</v>
      </c>
      <c r="BO253" s="9">
        <f t="shared" si="178"/>
        <v>0</v>
      </c>
      <c r="BP253" s="9">
        <f t="shared" si="178"/>
        <v>0</v>
      </c>
      <c r="BQ253" s="9">
        <f t="shared" si="178"/>
        <v>0</v>
      </c>
      <c r="BR253" s="9">
        <f t="shared" si="178"/>
        <v>0</v>
      </c>
      <c r="BS253" s="9">
        <f t="shared" si="178"/>
        <v>0</v>
      </c>
      <c r="BT253" s="9">
        <f t="shared" si="178"/>
        <v>0</v>
      </c>
      <c r="BU253" s="9">
        <f t="shared" si="178"/>
        <v>0</v>
      </c>
      <c r="BV253" s="9">
        <f t="shared" si="178"/>
        <v>0</v>
      </c>
      <c r="BW253" s="9">
        <f t="shared" si="178"/>
        <v>0</v>
      </c>
      <c r="BX253" s="9">
        <f t="shared" si="178"/>
        <v>0</v>
      </c>
      <c r="BY253" s="9">
        <f t="shared" si="178"/>
        <v>0</v>
      </c>
      <c r="BZ253" s="9">
        <f t="shared" si="178"/>
        <v>0</v>
      </c>
      <c r="CA253" s="9">
        <f t="shared" ref="CA253:DF253" si="179">CA258</f>
        <v>9419.9699999999993</v>
      </c>
      <c r="CB253" s="9">
        <f t="shared" si="179"/>
        <v>5407.94</v>
      </c>
      <c r="CC253" s="9">
        <f t="shared" si="179"/>
        <v>0</v>
      </c>
      <c r="CD253" s="9">
        <f t="shared" si="179"/>
        <v>4012.03</v>
      </c>
      <c r="CE253" s="9">
        <f t="shared" si="179"/>
        <v>0</v>
      </c>
      <c r="CF253" s="9">
        <f t="shared" si="179"/>
        <v>0</v>
      </c>
      <c r="CG253" s="9">
        <f t="shared" si="179"/>
        <v>0</v>
      </c>
      <c r="CH253" s="9">
        <f t="shared" si="179"/>
        <v>0</v>
      </c>
      <c r="CI253" s="9">
        <f t="shared" si="179"/>
        <v>0</v>
      </c>
      <c r="CJ253" s="9">
        <f t="shared" si="179"/>
        <v>0</v>
      </c>
      <c r="CK253" s="9">
        <f t="shared" si="179"/>
        <v>0</v>
      </c>
      <c r="CL253" s="9">
        <f t="shared" si="179"/>
        <v>0</v>
      </c>
      <c r="CM253" s="9">
        <f t="shared" si="179"/>
        <v>0</v>
      </c>
      <c r="CN253" s="9">
        <f t="shared" si="179"/>
        <v>0</v>
      </c>
      <c r="CO253" s="9">
        <f t="shared" si="179"/>
        <v>0</v>
      </c>
      <c r="CP253" s="9">
        <f t="shared" si="179"/>
        <v>0</v>
      </c>
      <c r="CQ253" s="9">
        <f t="shared" si="179"/>
        <v>0</v>
      </c>
      <c r="CR253" s="9">
        <f t="shared" si="179"/>
        <v>0</v>
      </c>
      <c r="CS253" s="9">
        <f t="shared" si="179"/>
        <v>0</v>
      </c>
      <c r="CT253" s="9">
        <f t="shared" si="179"/>
        <v>0</v>
      </c>
      <c r="CU253" s="9">
        <f t="shared" si="179"/>
        <v>0</v>
      </c>
      <c r="CV253" s="9">
        <f t="shared" si="179"/>
        <v>0</v>
      </c>
      <c r="CW253" s="9">
        <f t="shared" si="179"/>
        <v>0</v>
      </c>
      <c r="CX253" s="9">
        <f t="shared" si="179"/>
        <v>0</v>
      </c>
      <c r="CY253" s="9">
        <f t="shared" si="179"/>
        <v>0</v>
      </c>
      <c r="CZ253" s="9">
        <f t="shared" si="179"/>
        <v>0</v>
      </c>
      <c r="DA253" s="9">
        <f t="shared" si="179"/>
        <v>0</v>
      </c>
      <c r="DB253" s="9">
        <f t="shared" si="179"/>
        <v>0</v>
      </c>
      <c r="DC253" s="9">
        <f t="shared" si="179"/>
        <v>0</v>
      </c>
      <c r="DD253" s="9">
        <f t="shared" si="179"/>
        <v>0</v>
      </c>
      <c r="DE253" s="9">
        <f t="shared" si="179"/>
        <v>0</v>
      </c>
      <c r="DF253" s="9">
        <f t="shared" si="179"/>
        <v>0</v>
      </c>
      <c r="DG253" s="10">
        <f t="shared" ref="DG253:EL253" si="180">DG258</f>
        <v>0</v>
      </c>
      <c r="DH253" s="10">
        <f t="shared" si="180"/>
        <v>0</v>
      </c>
      <c r="DI253" s="10">
        <f t="shared" si="180"/>
        <v>0</v>
      </c>
      <c r="DJ253" s="10">
        <f t="shared" si="180"/>
        <v>0</v>
      </c>
      <c r="DK253" s="10">
        <f t="shared" si="180"/>
        <v>0</v>
      </c>
      <c r="DL253" s="10">
        <f t="shared" si="180"/>
        <v>0</v>
      </c>
      <c r="DM253" s="10">
        <f t="shared" si="180"/>
        <v>0</v>
      </c>
      <c r="DN253" s="10">
        <f t="shared" si="180"/>
        <v>0</v>
      </c>
      <c r="DO253" s="10">
        <f t="shared" si="180"/>
        <v>0</v>
      </c>
      <c r="DP253" s="10">
        <f t="shared" si="180"/>
        <v>0</v>
      </c>
      <c r="DQ253" s="10">
        <f t="shared" si="180"/>
        <v>0</v>
      </c>
      <c r="DR253" s="10">
        <f t="shared" si="180"/>
        <v>0</v>
      </c>
      <c r="DS253" s="10">
        <f t="shared" si="180"/>
        <v>0</v>
      </c>
      <c r="DT253" s="10">
        <f t="shared" si="180"/>
        <v>0</v>
      </c>
      <c r="DU253" s="10">
        <f t="shared" si="180"/>
        <v>0</v>
      </c>
      <c r="DV253" s="10">
        <f t="shared" si="180"/>
        <v>0</v>
      </c>
      <c r="DW253" s="10">
        <f t="shared" si="180"/>
        <v>0</v>
      </c>
      <c r="DX253" s="10">
        <f t="shared" si="180"/>
        <v>0</v>
      </c>
      <c r="DY253" s="10">
        <f t="shared" si="180"/>
        <v>0</v>
      </c>
      <c r="DZ253" s="10">
        <f t="shared" si="180"/>
        <v>0</v>
      </c>
      <c r="EA253" s="10">
        <f t="shared" si="180"/>
        <v>0</v>
      </c>
      <c r="EB253" s="10">
        <f t="shared" si="180"/>
        <v>0</v>
      </c>
      <c r="EC253" s="10">
        <f t="shared" si="180"/>
        <v>0</v>
      </c>
      <c r="ED253" s="10">
        <f t="shared" si="180"/>
        <v>0</v>
      </c>
      <c r="EE253" s="10">
        <f t="shared" si="180"/>
        <v>0</v>
      </c>
      <c r="EF253" s="10">
        <f t="shared" si="180"/>
        <v>0</v>
      </c>
      <c r="EG253" s="10">
        <f t="shared" si="180"/>
        <v>0</v>
      </c>
      <c r="EH253" s="10">
        <f t="shared" si="180"/>
        <v>0</v>
      </c>
      <c r="EI253" s="10">
        <f t="shared" si="180"/>
        <v>0</v>
      </c>
      <c r="EJ253" s="10">
        <f t="shared" si="180"/>
        <v>0</v>
      </c>
      <c r="EK253" s="10">
        <f t="shared" si="180"/>
        <v>0</v>
      </c>
      <c r="EL253" s="10">
        <f t="shared" si="180"/>
        <v>0</v>
      </c>
      <c r="EM253" s="10">
        <f t="shared" ref="EM253:FR253" si="181">EM258</f>
        <v>0</v>
      </c>
      <c r="EN253" s="10">
        <f t="shared" si="181"/>
        <v>0</v>
      </c>
      <c r="EO253" s="10">
        <f t="shared" si="181"/>
        <v>0</v>
      </c>
      <c r="EP253" s="10">
        <f t="shared" si="181"/>
        <v>0</v>
      </c>
      <c r="EQ253" s="10">
        <f t="shared" si="181"/>
        <v>0</v>
      </c>
      <c r="ER253" s="10">
        <f t="shared" si="181"/>
        <v>0</v>
      </c>
      <c r="ES253" s="10">
        <f t="shared" si="181"/>
        <v>0</v>
      </c>
      <c r="ET253" s="10">
        <f t="shared" si="181"/>
        <v>0</v>
      </c>
      <c r="EU253" s="10">
        <f t="shared" si="181"/>
        <v>0</v>
      </c>
      <c r="EV253" s="10">
        <f t="shared" si="181"/>
        <v>0</v>
      </c>
      <c r="EW253" s="10">
        <f t="shared" si="181"/>
        <v>0</v>
      </c>
      <c r="EX253" s="10">
        <f t="shared" si="181"/>
        <v>0</v>
      </c>
      <c r="EY253" s="10">
        <f t="shared" si="181"/>
        <v>0</v>
      </c>
      <c r="EZ253" s="10">
        <f t="shared" si="181"/>
        <v>0</v>
      </c>
      <c r="FA253" s="10">
        <f t="shared" si="181"/>
        <v>0</v>
      </c>
      <c r="FB253" s="10">
        <f t="shared" si="181"/>
        <v>0</v>
      </c>
      <c r="FC253" s="10">
        <f t="shared" si="181"/>
        <v>0</v>
      </c>
      <c r="FD253" s="10">
        <f t="shared" si="181"/>
        <v>0</v>
      </c>
      <c r="FE253" s="10">
        <f t="shared" si="181"/>
        <v>0</v>
      </c>
      <c r="FF253" s="10">
        <f t="shared" si="181"/>
        <v>0</v>
      </c>
      <c r="FG253" s="10">
        <f t="shared" si="181"/>
        <v>0</v>
      </c>
      <c r="FH253" s="10">
        <f t="shared" si="181"/>
        <v>0</v>
      </c>
      <c r="FI253" s="10">
        <f t="shared" si="181"/>
        <v>0</v>
      </c>
      <c r="FJ253" s="10">
        <f t="shared" si="181"/>
        <v>0</v>
      </c>
      <c r="FK253" s="10">
        <f t="shared" si="181"/>
        <v>0</v>
      </c>
      <c r="FL253" s="10">
        <f t="shared" si="181"/>
        <v>0</v>
      </c>
      <c r="FM253" s="10">
        <f t="shared" si="181"/>
        <v>0</v>
      </c>
      <c r="FN253" s="10">
        <f t="shared" si="181"/>
        <v>0</v>
      </c>
      <c r="FO253" s="10">
        <f t="shared" si="181"/>
        <v>0</v>
      </c>
      <c r="FP253" s="10">
        <f t="shared" si="181"/>
        <v>0</v>
      </c>
      <c r="FQ253" s="10">
        <f t="shared" si="181"/>
        <v>0</v>
      </c>
      <c r="FR253" s="10">
        <f t="shared" si="181"/>
        <v>0</v>
      </c>
      <c r="FS253" s="10">
        <f t="shared" ref="FS253:GX253" si="182">FS258</f>
        <v>0</v>
      </c>
      <c r="FT253" s="10">
        <f t="shared" si="182"/>
        <v>0</v>
      </c>
      <c r="FU253" s="10">
        <f t="shared" si="182"/>
        <v>0</v>
      </c>
      <c r="FV253" s="10">
        <f t="shared" si="182"/>
        <v>0</v>
      </c>
      <c r="FW253" s="10">
        <f t="shared" si="182"/>
        <v>0</v>
      </c>
      <c r="FX253" s="10">
        <f t="shared" si="182"/>
        <v>0</v>
      </c>
      <c r="FY253" s="10">
        <f t="shared" si="182"/>
        <v>0</v>
      </c>
      <c r="FZ253" s="10">
        <f t="shared" si="182"/>
        <v>0</v>
      </c>
      <c r="GA253" s="10">
        <f t="shared" si="182"/>
        <v>0</v>
      </c>
      <c r="GB253" s="10">
        <f t="shared" si="182"/>
        <v>0</v>
      </c>
      <c r="GC253" s="10">
        <f t="shared" si="182"/>
        <v>0</v>
      </c>
      <c r="GD253" s="10">
        <f t="shared" si="182"/>
        <v>0</v>
      </c>
      <c r="GE253" s="10">
        <f t="shared" si="182"/>
        <v>0</v>
      </c>
      <c r="GF253" s="10">
        <f t="shared" si="182"/>
        <v>0</v>
      </c>
      <c r="GG253" s="10">
        <f t="shared" si="182"/>
        <v>0</v>
      </c>
      <c r="GH253" s="10">
        <f t="shared" si="182"/>
        <v>0</v>
      </c>
      <c r="GI253" s="10">
        <f t="shared" si="182"/>
        <v>0</v>
      </c>
      <c r="GJ253" s="10">
        <f t="shared" si="182"/>
        <v>0</v>
      </c>
      <c r="GK253" s="10">
        <f t="shared" si="182"/>
        <v>0</v>
      </c>
      <c r="GL253" s="10">
        <f t="shared" si="182"/>
        <v>0</v>
      </c>
      <c r="GM253" s="10">
        <f t="shared" si="182"/>
        <v>0</v>
      </c>
      <c r="GN253" s="10">
        <f t="shared" si="182"/>
        <v>0</v>
      </c>
      <c r="GO253" s="10">
        <f t="shared" si="182"/>
        <v>0</v>
      </c>
      <c r="GP253" s="10">
        <f t="shared" si="182"/>
        <v>0</v>
      </c>
      <c r="GQ253" s="10">
        <f t="shared" si="182"/>
        <v>0</v>
      </c>
      <c r="GR253" s="10">
        <f t="shared" si="182"/>
        <v>0</v>
      </c>
      <c r="GS253" s="10">
        <f t="shared" si="182"/>
        <v>0</v>
      </c>
      <c r="GT253" s="10">
        <f t="shared" si="182"/>
        <v>0</v>
      </c>
      <c r="GU253" s="10">
        <f t="shared" si="182"/>
        <v>0</v>
      </c>
      <c r="GV253" s="10">
        <f t="shared" si="182"/>
        <v>0</v>
      </c>
      <c r="GW253" s="10">
        <f t="shared" si="182"/>
        <v>0</v>
      </c>
      <c r="GX253" s="10">
        <f t="shared" si="182"/>
        <v>0</v>
      </c>
    </row>
    <row r="255" spans="1:245" x14ac:dyDescent="0.2">
      <c r="A255" s="2">
        <v>17</v>
      </c>
      <c r="B255" s="2">
        <v>1</v>
      </c>
      <c r="C255" s="2">
        <f>ROW(SmtRes!A132)</f>
        <v>132</v>
      </c>
      <c r="D255" s="2">
        <f>ROW(EtalonRes!A131)</f>
        <v>131</v>
      </c>
      <c r="E255" s="2" t="s">
        <v>316</v>
      </c>
      <c r="F255" s="2" t="s">
        <v>317</v>
      </c>
      <c r="G255" s="2" t="s">
        <v>318</v>
      </c>
      <c r="H255" s="2" t="s">
        <v>319</v>
      </c>
      <c r="I255" s="2">
        <v>1.9</v>
      </c>
      <c r="J255" s="2">
        <v>0</v>
      </c>
      <c r="K255" s="2">
        <v>1.9</v>
      </c>
      <c r="O255" s="2">
        <f>ROUND(CP255,2)</f>
        <v>2184.71</v>
      </c>
      <c r="P255" s="2">
        <f>ROUND((ROUND((AC255*AW255*I255),2)*BC255),2)</f>
        <v>0</v>
      </c>
      <c r="Q255" s="2">
        <f>(ROUND((ROUND(((ET255)*AV255*I255),2)*BB255),2)+ROUND((ROUND(((AE255-(EU255))*AV255*I255),2)*BS255),2))</f>
        <v>739.63</v>
      </c>
      <c r="R255" s="2">
        <f>(ROUND((ROUND(((EU255)*AV255*I255),2)*BS255),2)+ROUND((ROUND(((AE255-(EU255))*AV255*I255),2)*BS255),2))</f>
        <v>520.29999999999995</v>
      </c>
      <c r="S255" s="2">
        <f>ROUND((ROUND((AF255*AV255*I255),2)*BA255),2)</f>
        <v>1445.08</v>
      </c>
      <c r="T255" s="2">
        <f>ROUND(CU255*I255,2)</f>
        <v>0</v>
      </c>
      <c r="U255" s="2">
        <f>CV255*I255</f>
        <v>2.1280000000000001</v>
      </c>
      <c r="V255" s="2">
        <f>CW255*I255</f>
        <v>0</v>
      </c>
      <c r="W255" s="2">
        <f>ROUND(CX255*I255,2)</f>
        <v>0</v>
      </c>
      <c r="X255" s="2">
        <f>(ROUND((((S255+ROUND((ROUND(((EU255)*AV255*I255),2)*BS255),2))*AT255)/100),2)+ROUND(((ROUND((ROUND(((AE255-(EU255))*AV255*I255),2)*BS255),2)*AT255)/100),2))</f>
        <v>2044</v>
      </c>
      <c r="Y255" s="2">
        <f>(ROUND((((S255+ROUND((ROUND(((EU255)*AV255*I255),2)*BS255),2))*AU255)/100),2)+ROUND(((ROUND((ROUND(((AE255-(EU255))*AV255*I255),2)*BS255),2)*AU255)/100),2))</f>
        <v>1179.23</v>
      </c>
      <c r="AA255" s="2">
        <v>56793366</v>
      </c>
      <c r="AB255" s="2">
        <f>ROUND((AC255+AD255+AF255),6)</f>
        <v>30.03</v>
      </c>
      <c r="AC255" s="2">
        <f>ROUND((ES255),6)</f>
        <v>0</v>
      </c>
      <c r="AD255" s="2">
        <f>ROUND((((ET255)-(EU255))+AE255),6)</f>
        <v>16.7</v>
      </c>
      <c r="AE255" s="2">
        <f>ROUND((EU255),6)</f>
        <v>4.8</v>
      </c>
      <c r="AF255" s="2">
        <f>ROUND((EV255),6)</f>
        <v>13.33</v>
      </c>
      <c r="AG255" s="2">
        <f>ROUND((AP255),6)</f>
        <v>0</v>
      </c>
      <c r="AH255" s="2">
        <f>(EW255)</f>
        <v>1.1200000000000001</v>
      </c>
      <c r="AI255" s="2">
        <f>(EX255)</f>
        <v>0</v>
      </c>
      <c r="AJ255" s="2">
        <f>(AS255)</f>
        <v>0</v>
      </c>
      <c r="AK255" s="2">
        <v>30.03</v>
      </c>
      <c r="AL255" s="2">
        <v>0</v>
      </c>
      <c r="AM255" s="2">
        <v>16.7</v>
      </c>
      <c r="AN255" s="2">
        <v>4.8</v>
      </c>
      <c r="AO255" s="2">
        <v>13.33</v>
      </c>
      <c r="AP255" s="2">
        <v>0</v>
      </c>
      <c r="AQ255" s="2">
        <v>1.1200000000000001</v>
      </c>
      <c r="AR255" s="2">
        <v>0</v>
      </c>
      <c r="AS255" s="2">
        <v>0</v>
      </c>
      <c r="AT255" s="2">
        <v>104</v>
      </c>
      <c r="AU255" s="2">
        <v>60</v>
      </c>
      <c r="AV255" s="2">
        <v>1</v>
      </c>
      <c r="AW255" s="2">
        <v>1</v>
      </c>
      <c r="AZ255" s="2">
        <v>1</v>
      </c>
      <c r="BA255" s="2">
        <v>57.05</v>
      </c>
      <c r="BB255" s="2">
        <v>23.31</v>
      </c>
      <c r="BC255" s="2">
        <v>1</v>
      </c>
      <c r="BD255" s="2" t="s">
        <v>3</v>
      </c>
      <c r="BE255" s="2" t="s">
        <v>3</v>
      </c>
      <c r="BF255" s="2" t="s">
        <v>3</v>
      </c>
      <c r="BG255" s="2" t="s">
        <v>3</v>
      </c>
      <c r="BH255" s="2">
        <v>0</v>
      </c>
      <c r="BI255" s="2">
        <v>1</v>
      </c>
      <c r="BJ255" s="2" t="s">
        <v>320</v>
      </c>
      <c r="BM255" s="2">
        <v>105</v>
      </c>
      <c r="BN255" s="2">
        <v>0</v>
      </c>
      <c r="BO255" s="2" t="s">
        <v>317</v>
      </c>
      <c r="BP255" s="2">
        <v>1</v>
      </c>
      <c r="BQ255" s="2">
        <v>60</v>
      </c>
      <c r="BR255" s="2">
        <v>0</v>
      </c>
      <c r="BS255" s="2">
        <v>57.05</v>
      </c>
      <c r="BT255" s="2">
        <v>1</v>
      </c>
      <c r="BU255" s="2">
        <v>1</v>
      </c>
      <c r="BV255" s="2">
        <v>1</v>
      </c>
      <c r="BW255" s="2">
        <v>1</v>
      </c>
      <c r="BX255" s="2">
        <v>1</v>
      </c>
      <c r="BY255" s="2" t="s">
        <v>3</v>
      </c>
      <c r="BZ255" s="2">
        <v>104</v>
      </c>
      <c r="CA255" s="2">
        <v>60</v>
      </c>
      <c r="CB255" s="2" t="s">
        <v>3</v>
      </c>
      <c r="CE255" s="2">
        <v>1566</v>
      </c>
      <c r="CF255" s="2">
        <v>0</v>
      </c>
      <c r="CG255" s="2">
        <v>0</v>
      </c>
      <c r="CM255" s="2">
        <v>0</v>
      </c>
      <c r="CN255" s="2" t="s">
        <v>518</v>
      </c>
      <c r="CO255" s="2">
        <v>0</v>
      </c>
      <c r="CP255" s="2">
        <f>(P255+Q255+S255)</f>
        <v>2184.71</v>
      </c>
      <c r="CQ255" s="2">
        <f>ROUND((ROUND((AC255*AW255*1),2)*BC255),2)</f>
        <v>0</v>
      </c>
      <c r="CR255" s="2">
        <f>(ROUND((ROUND(((ET255)*AV255*1),2)*BB255),2)+ROUND((ROUND(((AE255-(EU255))*AV255*1),2)*BS255),2))</f>
        <v>389.28</v>
      </c>
      <c r="CS255" s="2">
        <f>(ROUND((ROUND(((EU255)*AV255*1),2)*BS255),2)+ROUND((ROUND(((AE255-(EU255))*AV255*1),2)*BS255),2))</f>
        <v>273.83999999999997</v>
      </c>
      <c r="CT255" s="2">
        <f>ROUND((ROUND((AF255*AV255*1),2)*BA255),2)</f>
        <v>760.48</v>
      </c>
      <c r="CU255" s="2">
        <f>AG255</f>
        <v>0</v>
      </c>
      <c r="CV255" s="2">
        <f>(AH255*AV255)</f>
        <v>1.1200000000000001</v>
      </c>
      <c r="CW255" s="2">
        <f>AI255</f>
        <v>0</v>
      </c>
      <c r="CX255" s="2">
        <f>AJ255</f>
        <v>0</v>
      </c>
      <c r="CY255" s="2">
        <f>(ROUND((((S255+ROUND((ROUND(((EU255)*AV255*1),2)*BS255),2))*AT255)/100),2)+ROUND(((ROUND((ROUND(((AE255-(EU255))*AV255*1),2)*BS255),2)*AT255)/100),2))</f>
        <v>1787.68</v>
      </c>
      <c r="CZ255" s="2">
        <f>(ROUND((((S255+ROUND((ROUND(((EU255)*AV255*1),2)*BS255),2))*AU255)/100),2)+ROUND(((ROUND((ROUND(((AE255-(EU255))*AV255*1),2)*BS255),2)*AU255)/100),2))</f>
        <v>1031.3499999999999</v>
      </c>
      <c r="DC255" s="2" t="s">
        <v>3</v>
      </c>
      <c r="DD255" s="2" t="s">
        <v>3</v>
      </c>
      <c r="DE255" s="2" t="s">
        <v>3</v>
      </c>
      <c r="DF255" s="2" t="s">
        <v>3</v>
      </c>
      <c r="DG255" s="2" t="s">
        <v>3</v>
      </c>
      <c r="DH255" s="2" t="s">
        <v>3</v>
      </c>
      <c r="DI255" s="2" t="s">
        <v>3</v>
      </c>
      <c r="DJ255" s="2" t="s">
        <v>3</v>
      </c>
      <c r="DK255" s="2" t="s">
        <v>3</v>
      </c>
      <c r="DL255" s="2" t="s">
        <v>3</v>
      </c>
      <c r="DM255" s="2" t="s">
        <v>3</v>
      </c>
      <c r="DN255" s="2">
        <v>0</v>
      </c>
      <c r="DO255" s="2">
        <v>0</v>
      </c>
      <c r="DP255" s="2">
        <v>1</v>
      </c>
      <c r="DQ255" s="2">
        <v>1</v>
      </c>
      <c r="DU255" s="2">
        <v>1013</v>
      </c>
      <c r="DV255" s="2" t="s">
        <v>319</v>
      </c>
      <c r="DW255" s="2" t="s">
        <v>319</v>
      </c>
      <c r="DX255" s="2">
        <v>1</v>
      </c>
      <c r="DZ255" s="2" t="s">
        <v>3</v>
      </c>
      <c r="EA255" s="2" t="s">
        <v>3</v>
      </c>
      <c r="EB255" s="2" t="s">
        <v>3</v>
      </c>
      <c r="EC255" s="2" t="s">
        <v>3</v>
      </c>
      <c r="EE255" s="2">
        <v>55896192</v>
      </c>
      <c r="EF255" s="2">
        <v>60</v>
      </c>
      <c r="EG255" s="2" t="s">
        <v>25</v>
      </c>
      <c r="EH255" s="2">
        <v>0</v>
      </c>
      <c r="EI255" s="2" t="s">
        <v>3</v>
      </c>
      <c r="EJ255" s="2">
        <v>1</v>
      </c>
      <c r="EK255" s="2">
        <v>105</v>
      </c>
      <c r="EL255" s="2" t="s">
        <v>321</v>
      </c>
      <c r="EM255" s="2" t="s">
        <v>322</v>
      </c>
      <c r="EO255" s="2" t="s">
        <v>28</v>
      </c>
      <c r="EQ255" s="2">
        <v>0</v>
      </c>
      <c r="ER255" s="2">
        <v>30.03</v>
      </c>
      <c r="ES255" s="2">
        <v>0</v>
      </c>
      <c r="ET255" s="2">
        <v>16.7</v>
      </c>
      <c r="EU255" s="2">
        <v>4.8</v>
      </c>
      <c r="EV255" s="2">
        <v>13.33</v>
      </c>
      <c r="EW255" s="2">
        <v>1.1200000000000001</v>
      </c>
      <c r="EX255" s="2">
        <v>0</v>
      </c>
      <c r="EY255" s="2">
        <v>0</v>
      </c>
      <c r="FQ255" s="2">
        <v>0</v>
      </c>
      <c r="FR255" s="2">
        <v>0</v>
      </c>
      <c r="FS255" s="2">
        <v>0</v>
      </c>
      <c r="FX255" s="2">
        <v>104</v>
      </c>
      <c r="FY255" s="2">
        <v>60</v>
      </c>
      <c r="GA255" s="2" t="s">
        <v>3</v>
      </c>
      <c r="GD255" s="2">
        <v>1</v>
      </c>
      <c r="GF255" s="2">
        <v>-260383328</v>
      </c>
      <c r="GG255" s="2">
        <v>2</v>
      </c>
      <c r="GH255" s="2">
        <v>1</v>
      </c>
      <c r="GI255" s="2">
        <v>2</v>
      </c>
      <c r="GJ255" s="2">
        <v>0</v>
      </c>
      <c r="GK255" s="2">
        <v>0</v>
      </c>
      <c r="GL255" s="2">
        <f>ROUND(IF(AND(BH255=3,BI255=3,FS255&lt;&gt;0),P255,0),2)</f>
        <v>0</v>
      </c>
      <c r="GM255" s="2">
        <f>ROUND(O255+X255+Y255,2)+GX255</f>
        <v>5407.94</v>
      </c>
      <c r="GN255" s="2">
        <f>IF(OR(BI255=0,BI255=1),GM255-GX255,0)</f>
        <v>5407.94</v>
      </c>
      <c r="GO255" s="2">
        <f>IF(BI255=2,GM255-GX255,0)</f>
        <v>0</v>
      </c>
      <c r="GP255" s="2">
        <f>IF(BI255=4,GM255-GX255,0)</f>
        <v>0</v>
      </c>
      <c r="GR255" s="2">
        <v>0</v>
      </c>
      <c r="GS255" s="2">
        <v>3</v>
      </c>
      <c r="GT255" s="2">
        <v>0</v>
      </c>
      <c r="GU255" s="2" t="s">
        <v>3</v>
      </c>
      <c r="GV255" s="2">
        <f>ROUND((GT255),6)</f>
        <v>0</v>
      </c>
      <c r="GW255" s="2">
        <v>1</v>
      </c>
      <c r="GX255" s="2">
        <f>ROUND(HC255*I255,2)</f>
        <v>0</v>
      </c>
      <c r="HA255" s="2">
        <v>0</v>
      </c>
      <c r="HB255" s="2">
        <v>0</v>
      </c>
      <c r="HC255" s="2">
        <f>GV255*GW255</f>
        <v>0</v>
      </c>
      <c r="HE255" s="2" t="s">
        <v>3</v>
      </c>
      <c r="HF255" s="2" t="s">
        <v>3</v>
      </c>
      <c r="HM255" s="2" t="s">
        <v>3</v>
      </c>
      <c r="HN255" s="2" t="s">
        <v>3</v>
      </c>
      <c r="HO255" s="2" t="s">
        <v>3</v>
      </c>
      <c r="HP255" s="2" t="s">
        <v>3</v>
      </c>
      <c r="HQ255" s="2" t="s">
        <v>3</v>
      </c>
      <c r="HS255" s="2">
        <v>0</v>
      </c>
      <c r="IK255" s="2">
        <v>0</v>
      </c>
    </row>
    <row r="256" spans="1:245" x14ac:dyDescent="0.2">
      <c r="A256" s="2">
        <v>17</v>
      </c>
      <c r="B256" s="2">
        <v>1</v>
      </c>
      <c r="C256" s="2">
        <f>ROW(SmtRes!A133)</f>
        <v>133</v>
      </c>
      <c r="D256" s="2">
        <f>ROW(EtalonRes!A132)</f>
        <v>132</v>
      </c>
      <c r="E256" s="2" t="s">
        <v>323</v>
      </c>
      <c r="F256" s="2" t="s">
        <v>324</v>
      </c>
      <c r="G256" s="2" t="s">
        <v>325</v>
      </c>
      <c r="H256" s="2" t="s">
        <v>239</v>
      </c>
      <c r="I256" s="2">
        <v>1.9</v>
      </c>
      <c r="J256" s="2">
        <v>0</v>
      </c>
      <c r="K256" s="2">
        <v>1.9</v>
      </c>
      <c r="O256" s="2">
        <f>ROUND(CP256,2)</f>
        <v>4012.03</v>
      </c>
      <c r="P256" s="2">
        <f>ROUND((ROUND((AC256*AW256*I256),2)*BC256),2)</f>
        <v>0</v>
      </c>
      <c r="Q256" s="2">
        <f>(ROUND((ROUND(((ET256)*AV256*I256),2)*BB256),2)+ROUND((ROUND(((AE256-(EU256))*AV256*I256),2)*BS256),2))</f>
        <v>4012.03</v>
      </c>
      <c r="R256" s="2">
        <f>(ROUND((ROUND(((EU256)*AV256*I256),2)*BS256),2)+ROUND((ROUND(((AE256-(EU256))*AV256*I256),2)*BS256),2))</f>
        <v>0</v>
      </c>
      <c r="S256" s="2">
        <f>ROUND((ROUND((AF256*AV256*I256),2)*BA256),2)</f>
        <v>0</v>
      </c>
      <c r="T256" s="2">
        <f>ROUND(CU256*I256,2)</f>
        <v>0</v>
      </c>
      <c r="U256" s="2">
        <f>CV256*I256</f>
        <v>0</v>
      </c>
      <c r="V256" s="2">
        <f>CW256*I256</f>
        <v>0</v>
      </c>
      <c r="W256" s="2">
        <f>ROUND(CX256*I256,2)</f>
        <v>0</v>
      </c>
      <c r="X256" s="2">
        <f>(ROUND((((S256+ROUND((ROUND(((EU256)*AV256*I256),2)*BS256),2))*AT256)/100),2)+ROUND(((ROUND((ROUND(((AE256-(EU256))*AV256*I256),2)*BS256),2)*AT256)/100),2))</f>
        <v>0</v>
      </c>
      <c r="Y256" s="2">
        <f>(ROUND((((S256+ROUND((ROUND(((EU256)*AV256*I256),2)*BS256),2))*AU256)/100),2)+ROUND(((ROUND((ROUND(((AE256-(EU256))*AV256*I256),2)*BS256),2)*AU256)/100),2))</f>
        <v>0</v>
      </c>
      <c r="AA256" s="2">
        <v>56793366</v>
      </c>
      <c r="AB256" s="2">
        <f>ROUND((AC256+AD256+AF256),6)</f>
        <v>115.01</v>
      </c>
      <c r="AC256" s="2">
        <f>ROUND((ES256),6)</f>
        <v>0</v>
      </c>
      <c r="AD256" s="2">
        <f>ROUND((((ET256)-(EU256))+AE256),6)</f>
        <v>115.01</v>
      </c>
      <c r="AE256" s="2">
        <f>ROUND((EU256),6)</f>
        <v>0</v>
      </c>
      <c r="AF256" s="2">
        <f>ROUND((EV256),6)</f>
        <v>0</v>
      </c>
      <c r="AG256" s="2">
        <f>ROUND((AP256),6)</f>
        <v>0</v>
      </c>
      <c r="AH256" s="2">
        <f>(EW256)</f>
        <v>0</v>
      </c>
      <c r="AI256" s="2">
        <f>(EX256)</f>
        <v>0</v>
      </c>
      <c r="AJ256" s="2">
        <f>(AS256)</f>
        <v>0</v>
      </c>
      <c r="AK256" s="2">
        <v>115.01</v>
      </c>
      <c r="AL256" s="2">
        <v>0</v>
      </c>
      <c r="AM256" s="2">
        <v>115.01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94</v>
      </c>
      <c r="AU256" s="2">
        <v>61</v>
      </c>
      <c r="AV256" s="2">
        <v>1</v>
      </c>
      <c r="AW256" s="2">
        <v>1</v>
      </c>
      <c r="AZ256" s="2">
        <v>1</v>
      </c>
      <c r="BA256" s="2">
        <v>1</v>
      </c>
      <c r="BB256" s="2">
        <v>18.36</v>
      </c>
      <c r="BC256" s="2">
        <v>1</v>
      </c>
      <c r="BD256" s="2" t="s">
        <v>3</v>
      </c>
      <c r="BE256" s="2" t="s">
        <v>3</v>
      </c>
      <c r="BF256" s="2" t="s">
        <v>3</v>
      </c>
      <c r="BG256" s="2" t="s">
        <v>3</v>
      </c>
      <c r="BH256" s="2">
        <v>0</v>
      </c>
      <c r="BI256" s="2">
        <v>4</v>
      </c>
      <c r="BJ256" s="2" t="s">
        <v>326</v>
      </c>
      <c r="BM256" s="2">
        <v>188</v>
      </c>
      <c r="BN256" s="2">
        <v>0</v>
      </c>
      <c r="BO256" s="2" t="s">
        <v>324</v>
      </c>
      <c r="BP256" s="2">
        <v>1</v>
      </c>
      <c r="BQ256" s="2">
        <v>150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3</v>
      </c>
      <c r="BZ256" s="2">
        <v>94</v>
      </c>
      <c r="CA256" s="2">
        <v>61</v>
      </c>
      <c r="CB256" s="2" t="s">
        <v>3</v>
      </c>
      <c r="CE256" s="2">
        <v>1566</v>
      </c>
      <c r="CF256" s="2">
        <v>0</v>
      </c>
      <c r="CG256" s="2">
        <v>0</v>
      </c>
      <c r="CM256" s="2">
        <v>0</v>
      </c>
      <c r="CN256" s="2" t="s">
        <v>3</v>
      </c>
      <c r="CO256" s="2">
        <v>0</v>
      </c>
      <c r="CP256" s="2">
        <f>(P256+Q256+S256)</f>
        <v>4012.03</v>
      </c>
      <c r="CQ256" s="2">
        <f>ROUND((ROUND((AC256*AW256*1),2)*BC256),2)</f>
        <v>0</v>
      </c>
      <c r="CR256" s="2">
        <f>(ROUND((ROUND(((ET256)*AV256*1),2)*BB256),2)+ROUND((ROUND(((AE256-(EU256))*AV256*1),2)*BS256),2))</f>
        <v>2111.58</v>
      </c>
      <c r="CS256" s="2">
        <f>(ROUND((ROUND(((EU256)*AV256*1),2)*BS256),2)+ROUND((ROUND(((AE256-(EU256))*AV256*1),2)*BS256),2))</f>
        <v>0</v>
      </c>
      <c r="CT256" s="2">
        <f>ROUND((ROUND((AF256*AV256*1),2)*BA256),2)</f>
        <v>0</v>
      </c>
      <c r="CU256" s="2">
        <f>AG256</f>
        <v>0</v>
      </c>
      <c r="CV256" s="2">
        <f>(AH256*AV256)</f>
        <v>0</v>
      </c>
      <c r="CW256" s="2">
        <f>AI256</f>
        <v>0</v>
      </c>
      <c r="CX256" s="2">
        <f>AJ256</f>
        <v>0</v>
      </c>
      <c r="CY256" s="2">
        <f>(ROUND((((S256+ROUND((ROUND(((EU256)*AV256*1),2)*BS256),2))*AT256)/100),2)+ROUND(((ROUND((ROUND(((AE256-(EU256))*AV256*1),2)*BS256),2)*AT256)/100),2))</f>
        <v>0</v>
      </c>
      <c r="CZ256" s="2">
        <f>(ROUND((((S256+ROUND((ROUND(((EU256)*AV256*1),2)*BS256),2))*AU256)/100),2)+ROUND(((ROUND((ROUND(((AE256-(EU256))*AV256*1),2)*BS256),2)*AU256)/100),2))</f>
        <v>0</v>
      </c>
      <c r="DC256" s="2" t="s">
        <v>3</v>
      </c>
      <c r="DD256" s="2" t="s">
        <v>3</v>
      </c>
      <c r="DE256" s="2" t="s">
        <v>3</v>
      </c>
      <c r="DF256" s="2" t="s">
        <v>3</v>
      </c>
      <c r="DG256" s="2" t="s">
        <v>3</v>
      </c>
      <c r="DH256" s="2" t="s">
        <v>3</v>
      </c>
      <c r="DI256" s="2" t="s">
        <v>3</v>
      </c>
      <c r="DJ256" s="2" t="s">
        <v>3</v>
      </c>
      <c r="DK256" s="2" t="s">
        <v>3</v>
      </c>
      <c r="DL256" s="2" t="s">
        <v>3</v>
      </c>
      <c r="DM256" s="2" t="s">
        <v>3</v>
      </c>
      <c r="DN256" s="2">
        <v>0</v>
      </c>
      <c r="DO256" s="2">
        <v>0</v>
      </c>
      <c r="DP256" s="2">
        <v>1</v>
      </c>
      <c r="DQ256" s="2">
        <v>1</v>
      </c>
      <c r="DU256" s="2">
        <v>1009</v>
      </c>
      <c r="DV256" s="2" t="s">
        <v>239</v>
      </c>
      <c r="DW256" s="2" t="s">
        <v>239</v>
      </c>
      <c r="DX256" s="2">
        <v>1000</v>
      </c>
      <c r="DZ256" s="2" t="s">
        <v>3</v>
      </c>
      <c r="EA256" s="2" t="s">
        <v>3</v>
      </c>
      <c r="EB256" s="2" t="s">
        <v>3</v>
      </c>
      <c r="EC256" s="2" t="s">
        <v>3</v>
      </c>
      <c r="EE256" s="2">
        <v>55896011</v>
      </c>
      <c r="EF256" s="2">
        <v>150</v>
      </c>
      <c r="EG256" s="2" t="s">
        <v>327</v>
      </c>
      <c r="EH256" s="2">
        <v>0</v>
      </c>
      <c r="EI256" s="2" t="s">
        <v>3</v>
      </c>
      <c r="EJ256" s="2">
        <v>4</v>
      </c>
      <c r="EK256" s="2">
        <v>188</v>
      </c>
      <c r="EL256" s="2" t="s">
        <v>328</v>
      </c>
      <c r="EM256" s="2" t="s">
        <v>329</v>
      </c>
      <c r="EO256" s="2" t="s">
        <v>3</v>
      </c>
      <c r="EQ256" s="2">
        <v>0</v>
      </c>
      <c r="ER256" s="2">
        <v>115.01</v>
      </c>
      <c r="ES256" s="2">
        <v>0</v>
      </c>
      <c r="ET256" s="2">
        <v>115.01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FQ256" s="2">
        <v>0</v>
      </c>
      <c r="FR256" s="2">
        <v>0</v>
      </c>
      <c r="FS256" s="2">
        <v>0</v>
      </c>
      <c r="FX256" s="2">
        <v>94</v>
      </c>
      <c r="FY256" s="2">
        <v>61</v>
      </c>
      <c r="GA256" s="2" t="s">
        <v>3</v>
      </c>
      <c r="GD256" s="2">
        <v>1</v>
      </c>
      <c r="GF256" s="2">
        <v>-587833566</v>
      </c>
      <c r="GG256" s="2">
        <v>2</v>
      </c>
      <c r="GH256" s="2">
        <v>1</v>
      </c>
      <c r="GI256" s="2">
        <v>2</v>
      </c>
      <c r="GJ256" s="2">
        <v>0</v>
      </c>
      <c r="GK256" s="2">
        <v>0</v>
      </c>
      <c r="GL256" s="2">
        <f>ROUND(IF(AND(BH256=3,BI256=3,FS256&lt;&gt;0),P256,0),2)</f>
        <v>0</v>
      </c>
      <c r="GM256" s="2">
        <f>ROUND(O256+X256+Y256,2)+GX256</f>
        <v>4012.03</v>
      </c>
      <c r="GN256" s="2">
        <f>IF(OR(BI256=0,BI256=1),GM256-GX256,0)</f>
        <v>0</v>
      </c>
      <c r="GO256" s="2">
        <f>IF(BI256=2,GM256-GX256,0)</f>
        <v>0</v>
      </c>
      <c r="GP256" s="2">
        <f>IF(BI256=4,GM256-GX256,0)</f>
        <v>4012.03</v>
      </c>
      <c r="GR256" s="2">
        <v>0</v>
      </c>
      <c r="GS256" s="2">
        <v>3</v>
      </c>
      <c r="GT256" s="2">
        <v>0</v>
      </c>
      <c r="GU256" s="2" t="s">
        <v>3</v>
      </c>
      <c r="GV256" s="2">
        <f>ROUND((GT256),6)</f>
        <v>0</v>
      </c>
      <c r="GW256" s="2">
        <v>1</v>
      </c>
      <c r="GX256" s="2">
        <f>ROUND(HC256*I256,2)</f>
        <v>0</v>
      </c>
      <c r="HA256" s="2">
        <v>0</v>
      </c>
      <c r="HB256" s="2">
        <v>0</v>
      </c>
      <c r="HC256" s="2">
        <f>GV256*GW256</f>
        <v>0</v>
      </c>
      <c r="HE256" s="2" t="s">
        <v>3</v>
      </c>
      <c r="HF256" s="2" t="s">
        <v>3</v>
      </c>
      <c r="HM256" s="2" t="s">
        <v>3</v>
      </c>
      <c r="HN256" s="2" t="s">
        <v>3</v>
      </c>
      <c r="HO256" s="2" t="s">
        <v>3</v>
      </c>
      <c r="HP256" s="2" t="s">
        <v>3</v>
      </c>
      <c r="HQ256" s="2" t="s">
        <v>3</v>
      </c>
      <c r="HS256" s="2">
        <v>0</v>
      </c>
      <c r="IK256" s="2">
        <v>0</v>
      </c>
    </row>
    <row r="258" spans="1:206" x14ac:dyDescent="0.2">
      <c r="A258" s="9">
        <v>51</v>
      </c>
      <c r="B258" s="9">
        <f>B251</f>
        <v>1</v>
      </c>
      <c r="C258" s="9">
        <f>A251</f>
        <v>4</v>
      </c>
      <c r="D258" s="9">
        <f>ROW(A251)</f>
        <v>251</v>
      </c>
      <c r="E258" s="9"/>
      <c r="F258" s="9" t="str">
        <f>IF(F251&lt;&gt;"",F251,"")</f>
        <v>Новый раздел</v>
      </c>
      <c r="G258" s="9" t="str">
        <f>IF(G251&lt;&gt;"",G251,"")</f>
        <v>Раздел: Вывоз мусора</v>
      </c>
      <c r="H258" s="9">
        <v>0</v>
      </c>
      <c r="I258" s="9"/>
      <c r="J258" s="9"/>
      <c r="K258" s="9"/>
      <c r="L258" s="9"/>
      <c r="M258" s="9"/>
      <c r="N258" s="9"/>
      <c r="O258" s="9">
        <f t="shared" ref="O258:T258" si="183">ROUND(AB258,2)</f>
        <v>6196.74</v>
      </c>
      <c r="P258" s="9">
        <f t="shared" si="183"/>
        <v>0</v>
      </c>
      <c r="Q258" s="9">
        <f t="shared" si="183"/>
        <v>4751.66</v>
      </c>
      <c r="R258" s="9">
        <f t="shared" si="183"/>
        <v>520.29999999999995</v>
      </c>
      <c r="S258" s="9">
        <f t="shared" si="183"/>
        <v>1445.08</v>
      </c>
      <c r="T258" s="9">
        <f t="shared" si="183"/>
        <v>0</v>
      </c>
      <c r="U258" s="9">
        <f>AH258</f>
        <v>2.1280000000000001</v>
      </c>
      <c r="V258" s="9">
        <f>AI258</f>
        <v>0</v>
      </c>
      <c r="W258" s="9">
        <f>ROUND(AJ258,2)</f>
        <v>0</v>
      </c>
      <c r="X258" s="9">
        <f>ROUND(AK258,2)</f>
        <v>2044</v>
      </c>
      <c r="Y258" s="9">
        <f>ROUND(AL258,2)</f>
        <v>1179.23</v>
      </c>
      <c r="Z258" s="9"/>
      <c r="AA258" s="9"/>
      <c r="AB258" s="9">
        <f>ROUND(SUMIF(AA255:AA256,"=56793366",O255:O256),2)</f>
        <v>6196.74</v>
      </c>
      <c r="AC258" s="9">
        <f>ROUND(SUMIF(AA255:AA256,"=56793366",P255:P256),2)</f>
        <v>0</v>
      </c>
      <c r="AD258" s="9">
        <f>ROUND(SUMIF(AA255:AA256,"=56793366",Q255:Q256),2)</f>
        <v>4751.66</v>
      </c>
      <c r="AE258" s="9">
        <f>ROUND(SUMIF(AA255:AA256,"=56793366",R255:R256),2)</f>
        <v>520.29999999999995</v>
      </c>
      <c r="AF258" s="9">
        <f>ROUND(SUMIF(AA255:AA256,"=56793366",S255:S256),2)</f>
        <v>1445.08</v>
      </c>
      <c r="AG258" s="9">
        <f>ROUND(SUMIF(AA255:AA256,"=56793366",T255:T256),2)</f>
        <v>0</v>
      </c>
      <c r="AH258" s="9">
        <f>SUMIF(AA255:AA256,"=56793366",U255:U256)</f>
        <v>2.1280000000000001</v>
      </c>
      <c r="AI258" s="9">
        <f>SUMIF(AA255:AA256,"=56793366",V255:V256)</f>
        <v>0</v>
      </c>
      <c r="AJ258" s="9">
        <f>ROUND(SUMIF(AA255:AA256,"=56793366",W255:W256),2)</f>
        <v>0</v>
      </c>
      <c r="AK258" s="9">
        <f>ROUND(SUMIF(AA255:AA256,"=56793366",X255:X256),2)</f>
        <v>2044</v>
      </c>
      <c r="AL258" s="9">
        <f>ROUND(SUMIF(AA255:AA256,"=56793366",Y255:Y256),2)</f>
        <v>1179.23</v>
      </c>
      <c r="AM258" s="9"/>
      <c r="AN258" s="9"/>
      <c r="AO258" s="9">
        <f t="shared" ref="AO258:BD258" si="184">ROUND(BX258,2)</f>
        <v>0</v>
      </c>
      <c r="AP258" s="9">
        <f t="shared" si="184"/>
        <v>0</v>
      </c>
      <c r="AQ258" s="9">
        <f t="shared" si="184"/>
        <v>0</v>
      </c>
      <c r="AR258" s="9">
        <f t="shared" si="184"/>
        <v>9419.9699999999993</v>
      </c>
      <c r="AS258" s="9">
        <f t="shared" si="184"/>
        <v>5407.94</v>
      </c>
      <c r="AT258" s="9">
        <f t="shared" si="184"/>
        <v>0</v>
      </c>
      <c r="AU258" s="9">
        <f t="shared" si="184"/>
        <v>4012.03</v>
      </c>
      <c r="AV258" s="9">
        <f t="shared" si="184"/>
        <v>0</v>
      </c>
      <c r="AW258" s="9">
        <f t="shared" si="184"/>
        <v>0</v>
      </c>
      <c r="AX258" s="9">
        <f t="shared" si="184"/>
        <v>0</v>
      </c>
      <c r="AY258" s="9">
        <f t="shared" si="184"/>
        <v>0</v>
      </c>
      <c r="AZ258" s="9">
        <f t="shared" si="184"/>
        <v>0</v>
      </c>
      <c r="BA258" s="9">
        <f t="shared" si="184"/>
        <v>0</v>
      </c>
      <c r="BB258" s="9">
        <f t="shared" si="184"/>
        <v>0</v>
      </c>
      <c r="BC258" s="9">
        <f t="shared" si="184"/>
        <v>0</v>
      </c>
      <c r="BD258" s="9">
        <f t="shared" si="184"/>
        <v>0</v>
      </c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>
        <f>ROUND(SUMIF(AA255:AA256,"=56793366",FQ255:FQ256),2)</f>
        <v>0</v>
      </c>
      <c r="BY258" s="9">
        <f>ROUND(SUMIF(AA255:AA256,"=56793366",FR255:FR256),2)</f>
        <v>0</v>
      </c>
      <c r="BZ258" s="9">
        <f>ROUND(SUMIF(AA255:AA256,"=56793366",GL255:GL256),2)</f>
        <v>0</v>
      </c>
      <c r="CA258" s="9">
        <f>ROUND(SUMIF(AA255:AA256,"=56793366",GM255:GM256),2)</f>
        <v>9419.9699999999993</v>
      </c>
      <c r="CB258" s="9">
        <f>ROUND(SUMIF(AA255:AA256,"=56793366",GN255:GN256),2)</f>
        <v>5407.94</v>
      </c>
      <c r="CC258" s="9">
        <f>ROUND(SUMIF(AA255:AA256,"=56793366",GO255:GO256),2)</f>
        <v>0</v>
      </c>
      <c r="CD258" s="9">
        <f>ROUND(SUMIF(AA255:AA256,"=56793366",GP255:GP256),2)</f>
        <v>4012.03</v>
      </c>
      <c r="CE258" s="9">
        <f>AC258-BX258</f>
        <v>0</v>
      </c>
      <c r="CF258" s="9">
        <f>AC258-BY258</f>
        <v>0</v>
      </c>
      <c r="CG258" s="9">
        <f>BX258-BZ258</f>
        <v>0</v>
      </c>
      <c r="CH258" s="9">
        <f>AC258-BX258-BY258+BZ258</f>
        <v>0</v>
      </c>
      <c r="CI258" s="9">
        <f>BY258-BZ258</f>
        <v>0</v>
      </c>
      <c r="CJ258" s="9">
        <f>ROUND(SUMIF(AA255:AA256,"=56793366",GX255:GX256),2)</f>
        <v>0</v>
      </c>
      <c r="CK258" s="9">
        <f>ROUND(SUMIF(AA255:AA256,"=56793366",GY255:GY256),2)</f>
        <v>0</v>
      </c>
      <c r="CL258" s="9">
        <f>ROUND(SUMIF(AA255:AA256,"=56793366",GZ255:GZ256),2)</f>
        <v>0</v>
      </c>
      <c r="CM258" s="9">
        <f>ROUND(SUMIF(AA255:AA256,"=56793366",HD255:HD256),2)</f>
        <v>0</v>
      </c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  <c r="FD258" s="10"/>
      <c r="FE258" s="10"/>
      <c r="FF258" s="10"/>
      <c r="FG258" s="10"/>
      <c r="FH258" s="10"/>
      <c r="FI258" s="10"/>
      <c r="FJ258" s="10"/>
      <c r="FK258" s="10"/>
      <c r="FL258" s="10"/>
      <c r="FM258" s="10"/>
      <c r="FN258" s="10"/>
      <c r="FO258" s="10"/>
      <c r="FP258" s="10"/>
      <c r="FQ258" s="10"/>
      <c r="FR258" s="10"/>
      <c r="FS258" s="10"/>
      <c r="FT258" s="10"/>
      <c r="FU258" s="10"/>
      <c r="FV258" s="10"/>
      <c r="FW258" s="10"/>
      <c r="FX258" s="10"/>
      <c r="FY258" s="10"/>
      <c r="FZ258" s="10"/>
      <c r="GA258" s="10"/>
      <c r="GB258" s="10"/>
      <c r="GC258" s="10"/>
      <c r="GD258" s="10"/>
      <c r="GE258" s="10"/>
      <c r="GF258" s="10"/>
      <c r="GG258" s="10"/>
      <c r="GH258" s="10"/>
      <c r="GI258" s="10"/>
      <c r="GJ258" s="10"/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>
        <v>0</v>
      </c>
    </row>
    <row r="260" spans="1:206" x14ac:dyDescent="0.2">
      <c r="A260" s="11">
        <v>50</v>
      </c>
      <c r="B260" s="11">
        <v>0</v>
      </c>
      <c r="C260" s="11">
        <v>0</v>
      </c>
      <c r="D260" s="11">
        <v>1</v>
      </c>
      <c r="E260" s="11">
        <v>201</v>
      </c>
      <c r="F260" s="11">
        <f>ROUND(Source!O258,O260)</f>
        <v>6196.74</v>
      </c>
      <c r="G260" s="11" t="s">
        <v>61</v>
      </c>
      <c r="H260" s="11" t="s">
        <v>62</v>
      </c>
      <c r="I260" s="11"/>
      <c r="J260" s="11"/>
      <c r="K260" s="11">
        <v>-201</v>
      </c>
      <c r="L260" s="11">
        <v>1</v>
      </c>
      <c r="M260" s="11">
        <v>3</v>
      </c>
      <c r="N260" s="11" t="s">
        <v>3</v>
      </c>
      <c r="O260" s="11">
        <v>2</v>
      </c>
      <c r="P260" s="11"/>
      <c r="Q260" s="11"/>
      <c r="R260" s="11"/>
      <c r="S260" s="11"/>
      <c r="T260" s="11"/>
      <c r="U260" s="11"/>
      <c r="V260" s="11"/>
      <c r="W260" s="11">
        <v>6196.74</v>
      </c>
      <c r="X260" s="11">
        <v>1</v>
      </c>
      <c r="Y260" s="11">
        <v>6196.74</v>
      </c>
      <c r="Z260" s="11"/>
      <c r="AA260" s="11"/>
      <c r="AB260" s="11"/>
    </row>
    <row r="261" spans="1:206" x14ac:dyDescent="0.2">
      <c r="A261" s="11">
        <v>50</v>
      </c>
      <c r="B261" s="11">
        <v>0</v>
      </c>
      <c r="C261" s="11">
        <v>0</v>
      </c>
      <c r="D261" s="11">
        <v>1</v>
      </c>
      <c r="E261" s="11">
        <v>202</v>
      </c>
      <c r="F261" s="11">
        <f>ROUND(Source!P258,O261)</f>
        <v>0</v>
      </c>
      <c r="G261" s="11" t="s">
        <v>63</v>
      </c>
      <c r="H261" s="11" t="s">
        <v>64</v>
      </c>
      <c r="I261" s="11"/>
      <c r="J261" s="11"/>
      <c r="K261" s="11">
        <v>-202</v>
      </c>
      <c r="L261" s="11">
        <v>2</v>
      </c>
      <c r="M261" s="11">
        <v>3</v>
      </c>
      <c r="N261" s="11" t="s">
        <v>3</v>
      </c>
      <c r="O261" s="11">
        <v>2</v>
      </c>
      <c r="P261" s="11"/>
      <c r="Q261" s="11"/>
      <c r="R261" s="11"/>
      <c r="S261" s="11"/>
      <c r="T261" s="11"/>
      <c r="U261" s="11"/>
      <c r="V261" s="11"/>
      <c r="W261" s="11">
        <v>0</v>
      </c>
      <c r="X261" s="11">
        <v>1</v>
      </c>
      <c r="Y261" s="11">
        <v>0</v>
      </c>
      <c r="Z261" s="11"/>
      <c r="AA261" s="11"/>
      <c r="AB261" s="11"/>
    </row>
    <row r="262" spans="1:206" x14ac:dyDescent="0.2">
      <c r="A262" s="11">
        <v>50</v>
      </c>
      <c r="B262" s="11">
        <v>0</v>
      </c>
      <c r="C262" s="11">
        <v>0</v>
      </c>
      <c r="D262" s="11">
        <v>1</v>
      </c>
      <c r="E262" s="11">
        <v>222</v>
      </c>
      <c r="F262" s="11">
        <f>ROUND(Source!AO258,O262)</f>
        <v>0</v>
      </c>
      <c r="G262" s="11" t="s">
        <v>65</v>
      </c>
      <c r="H262" s="11" t="s">
        <v>66</v>
      </c>
      <c r="I262" s="11"/>
      <c r="J262" s="11"/>
      <c r="K262" s="11">
        <v>-222</v>
      </c>
      <c r="L262" s="11">
        <v>3</v>
      </c>
      <c r="M262" s="11">
        <v>3</v>
      </c>
      <c r="N262" s="11" t="s">
        <v>3</v>
      </c>
      <c r="O262" s="11">
        <v>2</v>
      </c>
      <c r="P262" s="11"/>
      <c r="Q262" s="11"/>
      <c r="R262" s="11"/>
      <c r="S262" s="11"/>
      <c r="T262" s="11"/>
      <c r="U262" s="11"/>
      <c r="V262" s="11"/>
      <c r="W262" s="11">
        <v>0</v>
      </c>
      <c r="X262" s="11">
        <v>1</v>
      </c>
      <c r="Y262" s="11">
        <v>0</v>
      </c>
      <c r="Z262" s="11"/>
      <c r="AA262" s="11"/>
      <c r="AB262" s="11"/>
    </row>
    <row r="263" spans="1:206" x14ac:dyDescent="0.2">
      <c r="A263" s="11">
        <v>50</v>
      </c>
      <c r="B263" s="11">
        <v>0</v>
      </c>
      <c r="C263" s="11">
        <v>0</v>
      </c>
      <c r="D263" s="11">
        <v>1</v>
      </c>
      <c r="E263" s="11">
        <v>225</v>
      </c>
      <c r="F263" s="11">
        <f>ROUND(Source!AV258,O263)</f>
        <v>0</v>
      </c>
      <c r="G263" s="11" t="s">
        <v>67</v>
      </c>
      <c r="H263" s="11" t="s">
        <v>68</v>
      </c>
      <c r="I263" s="11"/>
      <c r="J263" s="11"/>
      <c r="K263" s="11">
        <v>-225</v>
      </c>
      <c r="L263" s="11">
        <v>4</v>
      </c>
      <c r="M263" s="11">
        <v>3</v>
      </c>
      <c r="N263" s="11" t="s">
        <v>3</v>
      </c>
      <c r="O263" s="11">
        <v>2</v>
      </c>
      <c r="P263" s="11"/>
      <c r="Q263" s="11"/>
      <c r="R263" s="11"/>
      <c r="S263" s="11"/>
      <c r="T263" s="11"/>
      <c r="U263" s="11"/>
      <c r="V263" s="11"/>
      <c r="W263" s="11">
        <v>0</v>
      </c>
      <c r="X263" s="11">
        <v>1</v>
      </c>
      <c r="Y263" s="11">
        <v>0</v>
      </c>
      <c r="Z263" s="11"/>
      <c r="AA263" s="11"/>
      <c r="AB263" s="11"/>
    </row>
    <row r="264" spans="1:206" x14ac:dyDescent="0.2">
      <c r="A264" s="11">
        <v>50</v>
      </c>
      <c r="B264" s="11">
        <v>0</v>
      </c>
      <c r="C264" s="11">
        <v>0</v>
      </c>
      <c r="D264" s="11">
        <v>1</v>
      </c>
      <c r="E264" s="11">
        <v>226</v>
      </c>
      <c r="F264" s="11">
        <f>ROUND(Source!AW258,O264)</f>
        <v>0</v>
      </c>
      <c r="G264" s="11" t="s">
        <v>69</v>
      </c>
      <c r="H264" s="11" t="s">
        <v>70</v>
      </c>
      <c r="I264" s="11"/>
      <c r="J264" s="11"/>
      <c r="K264" s="11">
        <v>-226</v>
      </c>
      <c r="L264" s="11">
        <v>5</v>
      </c>
      <c r="M264" s="11">
        <v>3</v>
      </c>
      <c r="N264" s="11" t="s">
        <v>3</v>
      </c>
      <c r="O264" s="11">
        <v>2</v>
      </c>
      <c r="P264" s="11"/>
      <c r="Q264" s="11"/>
      <c r="R264" s="11"/>
      <c r="S264" s="11"/>
      <c r="T264" s="11"/>
      <c r="U264" s="11"/>
      <c r="V264" s="11"/>
      <c r="W264" s="11">
        <v>0</v>
      </c>
      <c r="X264" s="11">
        <v>1</v>
      </c>
      <c r="Y264" s="11">
        <v>0</v>
      </c>
      <c r="Z264" s="11"/>
      <c r="AA264" s="11"/>
      <c r="AB264" s="11"/>
    </row>
    <row r="265" spans="1:206" x14ac:dyDescent="0.2">
      <c r="A265" s="11">
        <v>50</v>
      </c>
      <c r="B265" s="11">
        <v>0</v>
      </c>
      <c r="C265" s="11">
        <v>0</v>
      </c>
      <c r="D265" s="11">
        <v>1</v>
      </c>
      <c r="E265" s="11">
        <v>227</v>
      </c>
      <c r="F265" s="11">
        <f>ROUND(Source!AX258,O265)</f>
        <v>0</v>
      </c>
      <c r="G265" s="11" t="s">
        <v>71</v>
      </c>
      <c r="H265" s="11" t="s">
        <v>72</v>
      </c>
      <c r="I265" s="11"/>
      <c r="J265" s="11"/>
      <c r="K265" s="11">
        <v>-227</v>
      </c>
      <c r="L265" s="11">
        <v>6</v>
      </c>
      <c r="M265" s="11">
        <v>3</v>
      </c>
      <c r="N265" s="11" t="s">
        <v>3</v>
      </c>
      <c r="O265" s="11">
        <v>2</v>
      </c>
      <c r="P265" s="11"/>
      <c r="Q265" s="11"/>
      <c r="R265" s="11"/>
      <c r="S265" s="11"/>
      <c r="T265" s="11"/>
      <c r="U265" s="11"/>
      <c r="V265" s="11"/>
      <c r="W265" s="11">
        <v>0</v>
      </c>
      <c r="X265" s="11">
        <v>1</v>
      </c>
      <c r="Y265" s="11">
        <v>0</v>
      </c>
      <c r="Z265" s="11"/>
      <c r="AA265" s="11"/>
      <c r="AB265" s="11"/>
    </row>
    <row r="266" spans="1:206" x14ac:dyDescent="0.2">
      <c r="A266" s="11">
        <v>50</v>
      </c>
      <c r="B266" s="11">
        <v>0</v>
      </c>
      <c r="C266" s="11">
        <v>0</v>
      </c>
      <c r="D266" s="11">
        <v>1</v>
      </c>
      <c r="E266" s="11">
        <v>228</v>
      </c>
      <c r="F266" s="11">
        <f>ROUND(Source!AY258,O266)</f>
        <v>0</v>
      </c>
      <c r="G266" s="11" t="s">
        <v>73</v>
      </c>
      <c r="H266" s="11" t="s">
        <v>74</v>
      </c>
      <c r="I266" s="11"/>
      <c r="J266" s="11"/>
      <c r="K266" s="11">
        <v>-228</v>
      </c>
      <c r="L266" s="11">
        <v>7</v>
      </c>
      <c r="M266" s="11">
        <v>3</v>
      </c>
      <c r="N266" s="11" t="s">
        <v>3</v>
      </c>
      <c r="O266" s="11">
        <v>2</v>
      </c>
      <c r="P266" s="11"/>
      <c r="Q266" s="11"/>
      <c r="R266" s="11"/>
      <c r="S266" s="11"/>
      <c r="T266" s="11"/>
      <c r="U266" s="11"/>
      <c r="V266" s="11"/>
      <c r="W266" s="11">
        <v>0</v>
      </c>
      <c r="X266" s="11">
        <v>1</v>
      </c>
      <c r="Y266" s="11">
        <v>0</v>
      </c>
      <c r="Z266" s="11"/>
      <c r="AA266" s="11"/>
      <c r="AB266" s="11"/>
    </row>
    <row r="267" spans="1:206" x14ac:dyDescent="0.2">
      <c r="A267" s="11">
        <v>50</v>
      </c>
      <c r="B267" s="11">
        <v>0</v>
      </c>
      <c r="C267" s="11">
        <v>0</v>
      </c>
      <c r="D267" s="11">
        <v>1</v>
      </c>
      <c r="E267" s="11">
        <v>216</v>
      </c>
      <c r="F267" s="11">
        <f>ROUND(Source!AP258,O267)</f>
        <v>0</v>
      </c>
      <c r="G267" s="11" t="s">
        <v>75</v>
      </c>
      <c r="H267" s="11" t="s">
        <v>76</v>
      </c>
      <c r="I267" s="11"/>
      <c r="J267" s="11"/>
      <c r="K267" s="11">
        <v>-216</v>
      </c>
      <c r="L267" s="11">
        <v>8</v>
      </c>
      <c r="M267" s="11">
        <v>3</v>
      </c>
      <c r="N267" s="11" t="s">
        <v>3</v>
      </c>
      <c r="O267" s="11">
        <v>2</v>
      </c>
      <c r="P267" s="11"/>
      <c r="Q267" s="11"/>
      <c r="R267" s="11"/>
      <c r="S267" s="11"/>
      <c r="T267" s="11"/>
      <c r="U267" s="11"/>
      <c r="V267" s="11"/>
      <c r="W267" s="11">
        <v>0</v>
      </c>
      <c r="X267" s="11">
        <v>1</v>
      </c>
      <c r="Y267" s="11">
        <v>0</v>
      </c>
      <c r="Z267" s="11"/>
      <c r="AA267" s="11"/>
      <c r="AB267" s="11"/>
    </row>
    <row r="268" spans="1:206" x14ac:dyDescent="0.2">
      <c r="A268" s="11">
        <v>50</v>
      </c>
      <c r="B268" s="11">
        <v>0</v>
      </c>
      <c r="C268" s="11">
        <v>0</v>
      </c>
      <c r="D268" s="11">
        <v>1</v>
      </c>
      <c r="E268" s="11">
        <v>223</v>
      </c>
      <c r="F268" s="11">
        <f>ROUND(Source!AQ258,O268)</f>
        <v>0</v>
      </c>
      <c r="G268" s="11" t="s">
        <v>77</v>
      </c>
      <c r="H268" s="11" t="s">
        <v>78</v>
      </c>
      <c r="I268" s="11"/>
      <c r="J268" s="11"/>
      <c r="K268" s="11">
        <v>-223</v>
      </c>
      <c r="L268" s="11">
        <v>9</v>
      </c>
      <c r="M268" s="11">
        <v>3</v>
      </c>
      <c r="N268" s="11" t="s">
        <v>3</v>
      </c>
      <c r="O268" s="11">
        <v>2</v>
      </c>
      <c r="P268" s="11"/>
      <c r="Q268" s="11"/>
      <c r="R268" s="11"/>
      <c r="S268" s="11"/>
      <c r="T268" s="11"/>
      <c r="U268" s="11"/>
      <c r="V268" s="11"/>
      <c r="W268" s="11">
        <v>0</v>
      </c>
      <c r="X268" s="11">
        <v>1</v>
      </c>
      <c r="Y268" s="11">
        <v>0</v>
      </c>
      <c r="Z268" s="11"/>
      <c r="AA268" s="11"/>
      <c r="AB268" s="11"/>
    </row>
    <row r="269" spans="1:206" x14ac:dyDescent="0.2">
      <c r="A269" s="11">
        <v>50</v>
      </c>
      <c r="B269" s="11">
        <v>0</v>
      </c>
      <c r="C269" s="11">
        <v>0</v>
      </c>
      <c r="D269" s="11">
        <v>1</v>
      </c>
      <c r="E269" s="11">
        <v>229</v>
      </c>
      <c r="F269" s="11">
        <f>ROUND(Source!AZ258,O269)</f>
        <v>0</v>
      </c>
      <c r="G269" s="11" t="s">
        <v>79</v>
      </c>
      <c r="H269" s="11" t="s">
        <v>80</v>
      </c>
      <c r="I269" s="11"/>
      <c r="J269" s="11"/>
      <c r="K269" s="11">
        <v>-229</v>
      </c>
      <c r="L269" s="11">
        <v>10</v>
      </c>
      <c r="M269" s="11">
        <v>3</v>
      </c>
      <c r="N269" s="11" t="s">
        <v>3</v>
      </c>
      <c r="O269" s="11">
        <v>2</v>
      </c>
      <c r="P269" s="11"/>
      <c r="Q269" s="11"/>
      <c r="R269" s="11"/>
      <c r="S269" s="11"/>
      <c r="T269" s="11"/>
      <c r="U269" s="11"/>
      <c r="V269" s="11"/>
      <c r="W269" s="11">
        <v>0</v>
      </c>
      <c r="X269" s="11">
        <v>1</v>
      </c>
      <c r="Y269" s="11">
        <v>0</v>
      </c>
      <c r="Z269" s="11"/>
      <c r="AA269" s="11"/>
      <c r="AB269" s="11"/>
    </row>
    <row r="270" spans="1:206" x14ac:dyDescent="0.2">
      <c r="A270" s="11">
        <v>50</v>
      </c>
      <c r="B270" s="11">
        <v>0</v>
      </c>
      <c r="C270" s="11">
        <v>0</v>
      </c>
      <c r="D270" s="11">
        <v>1</v>
      </c>
      <c r="E270" s="11">
        <v>203</v>
      </c>
      <c r="F270" s="11">
        <f>ROUND(Source!Q258,O270)</f>
        <v>4751.66</v>
      </c>
      <c r="G270" s="11" t="s">
        <v>81</v>
      </c>
      <c r="H270" s="11" t="s">
        <v>82</v>
      </c>
      <c r="I270" s="11"/>
      <c r="J270" s="11"/>
      <c r="K270" s="11">
        <v>-203</v>
      </c>
      <c r="L270" s="11">
        <v>11</v>
      </c>
      <c r="M270" s="11">
        <v>3</v>
      </c>
      <c r="N270" s="11" t="s">
        <v>3</v>
      </c>
      <c r="O270" s="11">
        <v>2</v>
      </c>
      <c r="P270" s="11"/>
      <c r="Q270" s="11"/>
      <c r="R270" s="11"/>
      <c r="S270" s="11"/>
      <c r="T270" s="11"/>
      <c r="U270" s="11"/>
      <c r="V270" s="11"/>
      <c r="W270" s="11">
        <v>4751.66</v>
      </c>
      <c r="X270" s="11">
        <v>1</v>
      </c>
      <c r="Y270" s="11">
        <v>4751.66</v>
      </c>
      <c r="Z270" s="11"/>
      <c r="AA270" s="11"/>
      <c r="AB270" s="11"/>
    </row>
    <row r="271" spans="1:206" x14ac:dyDescent="0.2">
      <c r="A271" s="11">
        <v>50</v>
      </c>
      <c r="B271" s="11">
        <v>0</v>
      </c>
      <c r="C271" s="11">
        <v>0</v>
      </c>
      <c r="D271" s="11">
        <v>1</v>
      </c>
      <c r="E271" s="11">
        <v>231</v>
      </c>
      <c r="F271" s="11">
        <f>ROUND(Source!BB258,O271)</f>
        <v>0</v>
      </c>
      <c r="G271" s="11" t="s">
        <v>83</v>
      </c>
      <c r="H271" s="11" t="s">
        <v>84</v>
      </c>
      <c r="I271" s="11"/>
      <c r="J271" s="11"/>
      <c r="K271" s="11">
        <v>-231</v>
      </c>
      <c r="L271" s="11">
        <v>12</v>
      </c>
      <c r="M271" s="11">
        <v>3</v>
      </c>
      <c r="N271" s="11" t="s">
        <v>3</v>
      </c>
      <c r="O271" s="11">
        <v>2</v>
      </c>
      <c r="P271" s="11"/>
      <c r="Q271" s="11"/>
      <c r="R271" s="11"/>
      <c r="S271" s="11"/>
      <c r="T271" s="11"/>
      <c r="U271" s="11"/>
      <c r="V271" s="11"/>
      <c r="W271" s="11">
        <v>0</v>
      </c>
      <c r="X271" s="11">
        <v>1</v>
      </c>
      <c r="Y271" s="11">
        <v>0</v>
      </c>
      <c r="Z271" s="11"/>
      <c r="AA271" s="11"/>
      <c r="AB271" s="11"/>
    </row>
    <row r="272" spans="1:206" x14ac:dyDescent="0.2">
      <c r="A272" s="11">
        <v>50</v>
      </c>
      <c r="B272" s="11">
        <v>0</v>
      </c>
      <c r="C272" s="11">
        <v>0</v>
      </c>
      <c r="D272" s="11">
        <v>1</v>
      </c>
      <c r="E272" s="11">
        <v>204</v>
      </c>
      <c r="F272" s="11">
        <f>ROUND(Source!R258,O272)</f>
        <v>520.29999999999995</v>
      </c>
      <c r="G272" s="11" t="s">
        <v>85</v>
      </c>
      <c r="H272" s="11" t="s">
        <v>86</v>
      </c>
      <c r="I272" s="11"/>
      <c r="J272" s="11"/>
      <c r="K272" s="11">
        <v>-204</v>
      </c>
      <c r="L272" s="11">
        <v>13</v>
      </c>
      <c r="M272" s="11">
        <v>3</v>
      </c>
      <c r="N272" s="11" t="s">
        <v>3</v>
      </c>
      <c r="O272" s="11">
        <v>2</v>
      </c>
      <c r="P272" s="11"/>
      <c r="Q272" s="11"/>
      <c r="R272" s="11"/>
      <c r="S272" s="11"/>
      <c r="T272" s="11"/>
      <c r="U272" s="11"/>
      <c r="V272" s="11"/>
      <c r="W272" s="11">
        <v>520.29999999999995</v>
      </c>
      <c r="X272" s="11">
        <v>1</v>
      </c>
      <c r="Y272" s="11">
        <v>520.29999999999995</v>
      </c>
      <c r="Z272" s="11"/>
      <c r="AA272" s="11"/>
      <c r="AB272" s="11"/>
    </row>
    <row r="273" spans="1:206" x14ac:dyDescent="0.2">
      <c r="A273" s="11">
        <v>50</v>
      </c>
      <c r="B273" s="11">
        <v>0</v>
      </c>
      <c r="C273" s="11">
        <v>0</v>
      </c>
      <c r="D273" s="11">
        <v>1</v>
      </c>
      <c r="E273" s="11">
        <v>205</v>
      </c>
      <c r="F273" s="11">
        <f>ROUND(Source!S258,O273)</f>
        <v>1445.08</v>
      </c>
      <c r="G273" s="11" t="s">
        <v>87</v>
      </c>
      <c r="H273" s="11" t="s">
        <v>88</v>
      </c>
      <c r="I273" s="11"/>
      <c r="J273" s="11"/>
      <c r="K273" s="11">
        <v>-205</v>
      </c>
      <c r="L273" s="11">
        <v>14</v>
      </c>
      <c r="M273" s="11">
        <v>3</v>
      </c>
      <c r="N273" s="11" t="s">
        <v>3</v>
      </c>
      <c r="O273" s="11">
        <v>2</v>
      </c>
      <c r="P273" s="11"/>
      <c r="Q273" s="11"/>
      <c r="R273" s="11"/>
      <c r="S273" s="11"/>
      <c r="T273" s="11"/>
      <c r="U273" s="11"/>
      <c r="V273" s="11"/>
      <c r="W273" s="11">
        <v>1445.08</v>
      </c>
      <c r="X273" s="11">
        <v>1</v>
      </c>
      <c r="Y273" s="11">
        <v>1445.08</v>
      </c>
      <c r="Z273" s="11"/>
      <c r="AA273" s="11"/>
      <c r="AB273" s="11"/>
    </row>
    <row r="274" spans="1:206" x14ac:dyDescent="0.2">
      <c r="A274" s="11">
        <v>50</v>
      </c>
      <c r="B274" s="11">
        <v>0</v>
      </c>
      <c r="C274" s="11">
        <v>0</v>
      </c>
      <c r="D274" s="11">
        <v>1</v>
      </c>
      <c r="E274" s="11">
        <v>232</v>
      </c>
      <c r="F274" s="11">
        <f>ROUND(Source!BC258,O274)</f>
        <v>0</v>
      </c>
      <c r="G274" s="11" t="s">
        <v>89</v>
      </c>
      <c r="H274" s="11" t="s">
        <v>90</v>
      </c>
      <c r="I274" s="11"/>
      <c r="J274" s="11"/>
      <c r="K274" s="11">
        <v>-232</v>
      </c>
      <c r="L274" s="11">
        <v>15</v>
      </c>
      <c r="M274" s="11">
        <v>3</v>
      </c>
      <c r="N274" s="11" t="s">
        <v>3</v>
      </c>
      <c r="O274" s="11">
        <v>2</v>
      </c>
      <c r="P274" s="11"/>
      <c r="Q274" s="11"/>
      <c r="R274" s="11"/>
      <c r="S274" s="11"/>
      <c r="T274" s="11"/>
      <c r="U274" s="11"/>
      <c r="V274" s="11"/>
      <c r="W274" s="11">
        <v>0</v>
      </c>
      <c r="X274" s="11">
        <v>1</v>
      </c>
      <c r="Y274" s="11">
        <v>0</v>
      </c>
      <c r="Z274" s="11"/>
      <c r="AA274" s="11"/>
      <c r="AB274" s="11"/>
    </row>
    <row r="275" spans="1:206" x14ac:dyDescent="0.2">
      <c r="A275" s="11">
        <v>50</v>
      </c>
      <c r="B275" s="11">
        <v>0</v>
      </c>
      <c r="C275" s="11">
        <v>0</v>
      </c>
      <c r="D275" s="11">
        <v>1</v>
      </c>
      <c r="E275" s="11">
        <v>214</v>
      </c>
      <c r="F275" s="11">
        <f>ROUND(Source!AS258,O275)</f>
        <v>5407.94</v>
      </c>
      <c r="G275" s="11" t="s">
        <v>91</v>
      </c>
      <c r="H275" s="11" t="s">
        <v>92</v>
      </c>
      <c r="I275" s="11"/>
      <c r="J275" s="11"/>
      <c r="K275" s="11">
        <v>-214</v>
      </c>
      <c r="L275" s="11">
        <v>16</v>
      </c>
      <c r="M275" s="11">
        <v>3</v>
      </c>
      <c r="N275" s="11" t="s">
        <v>3</v>
      </c>
      <c r="O275" s="11">
        <v>2</v>
      </c>
      <c r="P275" s="11"/>
      <c r="Q275" s="11"/>
      <c r="R275" s="11"/>
      <c r="S275" s="11"/>
      <c r="T275" s="11"/>
      <c r="U275" s="11"/>
      <c r="V275" s="11"/>
      <c r="W275" s="11">
        <v>5407.94</v>
      </c>
      <c r="X275" s="11">
        <v>1</v>
      </c>
      <c r="Y275" s="11">
        <v>5407.94</v>
      </c>
      <c r="Z275" s="11"/>
      <c r="AA275" s="11"/>
      <c r="AB275" s="11"/>
    </row>
    <row r="276" spans="1:206" x14ac:dyDescent="0.2">
      <c r="A276" s="11">
        <v>50</v>
      </c>
      <c r="B276" s="11">
        <v>0</v>
      </c>
      <c r="C276" s="11">
        <v>0</v>
      </c>
      <c r="D276" s="11">
        <v>1</v>
      </c>
      <c r="E276" s="11">
        <v>215</v>
      </c>
      <c r="F276" s="11">
        <f>ROUND(Source!AT258,O276)</f>
        <v>0</v>
      </c>
      <c r="G276" s="11" t="s">
        <v>93</v>
      </c>
      <c r="H276" s="11" t="s">
        <v>94</v>
      </c>
      <c r="I276" s="11"/>
      <c r="J276" s="11"/>
      <c r="K276" s="11">
        <v>-215</v>
      </c>
      <c r="L276" s="11">
        <v>17</v>
      </c>
      <c r="M276" s="11">
        <v>3</v>
      </c>
      <c r="N276" s="11" t="s">
        <v>3</v>
      </c>
      <c r="O276" s="11">
        <v>2</v>
      </c>
      <c r="P276" s="11"/>
      <c r="Q276" s="11"/>
      <c r="R276" s="11"/>
      <c r="S276" s="11"/>
      <c r="T276" s="11"/>
      <c r="U276" s="11"/>
      <c r="V276" s="11"/>
      <c r="W276" s="11">
        <v>0</v>
      </c>
      <c r="X276" s="11">
        <v>1</v>
      </c>
      <c r="Y276" s="11">
        <v>0</v>
      </c>
      <c r="Z276" s="11"/>
      <c r="AA276" s="11"/>
      <c r="AB276" s="11"/>
    </row>
    <row r="277" spans="1:206" x14ac:dyDescent="0.2">
      <c r="A277" s="11">
        <v>50</v>
      </c>
      <c r="B277" s="11">
        <v>0</v>
      </c>
      <c r="C277" s="11">
        <v>0</v>
      </c>
      <c r="D277" s="11">
        <v>1</v>
      </c>
      <c r="E277" s="11">
        <v>217</v>
      </c>
      <c r="F277" s="11">
        <f>ROUND(Source!AU258,O277)</f>
        <v>4012.03</v>
      </c>
      <c r="G277" s="11" t="s">
        <v>95</v>
      </c>
      <c r="H277" s="11" t="s">
        <v>96</v>
      </c>
      <c r="I277" s="11"/>
      <c r="J277" s="11"/>
      <c r="K277" s="11">
        <v>-217</v>
      </c>
      <c r="L277" s="11">
        <v>18</v>
      </c>
      <c r="M277" s="11">
        <v>3</v>
      </c>
      <c r="N277" s="11" t="s">
        <v>3</v>
      </c>
      <c r="O277" s="11">
        <v>2</v>
      </c>
      <c r="P277" s="11"/>
      <c r="Q277" s="11"/>
      <c r="R277" s="11"/>
      <c r="S277" s="11"/>
      <c r="T277" s="11"/>
      <c r="U277" s="11"/>
      <c r="V277" s="11"/>
      <c r="W277" s="11">
        <v>4012.03</v>
      </c>
      <c r="X277" s="11">
        <v>1</v>
      </c>
      <c r="Y277" s="11">
        <v>4012.03</v>
      </c>
      <c r="Z277" s="11"/>
      <c r="AA277" s="11"/>
      <c r="AB277" s="11"/>
    </row>
    <row r="278" spans="1:206" x14ac:dyDescent="0.2">
      <c r="A278" s="11">
        <v>50</v>
      </c>
      <c r="B278" s="11">
        <v>0</v>
      </c>
      <c r="C278" s="11">
        <v>0</v>
      </c>
      <c r="D278" s="11">
        <v>1</v>
      </c>
      <c r="E278" s="11">
        <v>230</v>
      </c>
      <c r="F278" s="11">
        <f>ROUND(Source!BA258,O278)</f>
        <v>0</v>
      </c>
      <c r="G278" s="11" t="s">
        <v>97</v>
      </c>
      <c r="H278" s="11" t="s">
        <v>98</v>
      </c>
      <c r="I278" s="11"/>
      <c r="J278" s="11"/>
      <c r="K278" s="11">
        <v>-230</v>
      </c>
      <c r="L278" s="11">
        <v>19</v>
      </c>
      <c r="M278" s="11">
        <v>3</v>
      </c>
      <c r="N278" s="11" t="s">
        <v>3</v>
      </c>
      <c r="O278" s="11">
        <v>2</v>
      </c>
      <c r="P278" s="11"/>
      <c r="Q278" s="11"/>
      <c r="R278" s="11"/>
      <c r="S278" s="11"/>
      <c r="T278" s="11"/>
      <c r="U278" s="11"/>
      <c r="V278" s="11"/>
      <c r="W278" s="11">
        <v>0</v>
      </c>
      <c r="X278" s="11">
        <v>1</v>
      </c>
      <c r="Y278" s="11">
        <v>0</v>
      </c>
      <c r="Z278" s="11"/>
      <c r="AA278" s="11"/>
      <c r="AB278" s="11"/>
    </row>
    <row r="279" spans="1:206" x14ac:dyDescent="0.2">
      <c r="A279" s="11">
        <v>50</v>
      </c>
      <c r="B279" s="11">
        <v>0</v>
      </c>
      <c r="C279" s="11">
        <v>0</v>
      </c>
      <c r="D279" s="11">
        <v>1</v>
      </c>
      <c r="E279" s="11">
        <v>206</v>
      </c>
      <c r="F279" s="11">
        <f>ROUND(Source!T258,O279)</f>
        <v>0</v>
      </c>
      <c r="G279" s="11" t="s">
        <v>99</v>
      </c>
      <c r="H279" s="11" t="s">
        <v>100</v>
      </c>
      <c r="I279" s="11"/>
      <c r="J279" s="11"/>
      <c r="K279" s="11">
        <v>-206</v>
      </c>
      <c r="L279" s="11">
        <v>20</v>
      </c>
      <c r="M279" s="11">
        <v>3</v>
      </c>
      <c r="N279" s="11" t="s">
        <v>3</v>
      </c>
      <c r="O279" s="11">
        <v>2</v>
      </c>
      <c r="P279" s="11"/>
      <c r="Q279" s="11"/>
      <c r="R279" s="11"/>
      <c r="S279" s="11"/>
      <c r="T279" s="11"/>
      <c r="U279" s="11"/>
      <c r="V279" s="11"/>
      <c r="W279" s="11">
        <v>0</v>
      </c>
      <c r="X279" s="11">
        <v>1</v>
      </c>
      <c r="Y279" s="11">
        <v>0</v>
      </c>
      <c r="Z279" s="11"/>
      <c r="AA279" s="11"/>
      <c r="AB279" s="11"/>
    </row>
    <row r="280" spans="1:206" x14ac:dyDescent="0.2">
      <c r="A280" s="11">
        <v>50</v>
      </c>
      <c r="B280" s="11">
        <v>0</v>
      </c>
      <c r="C280" s="11">
        <v>0</v>
      </c>
      <c r="D280" s="11">
        <v>1</v>
      </c>
      <c r="E280" s="11">
        <v>207</v>
      </c>
      <c r="F280" s="11">
        <f>Source!U258</f>
        <v>2.1280000000000001</v>
      </c>
      <c r="G280" s="11" t="s">
        <v>101</v>
      </c>
      <c r="H280" s="11" t="s">
        <v>102</v>
      </c>
      <c r="I280" s="11"/>
      <c r="J280" s="11"/>
      <c r="K280" s="11">
        <v>-207</v>
      </c>
      <c r="L280" s="11">
        <v>21</v>
      </c>
      <c r="M280" s="11">
        <v>3</v>
      </c>
      <c r="N280" s="11" t="s">
        <v>3</v>
      </c>
      <c r="O280" s="11">
        <v>-1</v>
      </c>
      <c r="P280" s="11"/>
      <c r="Q280" s="11"/>
      <c r="R280" s="11"/>
      <c r="S280" s="11"/>
      <c r="T280" s="11"/>
      <c r="U280" s="11"/>
      <c r="V280" s="11"/>
      <c r="W280" s="11">
        <v>2.1280000000000001</v>
      </c>
      <c r="X280" s="11">
        <v>1</v>
      </c>
      <c r="Y280" s="11">
        <v>2.1280000000000001</v>
      </c>
      <c r="Z280" s="11"/>
      <c r="AA280" s="11"/>
      <c r="AB280" s="11"/>
    </row>
    <row r="281" spans="1:206" x14ac:dyDescent="0.2">
      <c r="A281" s="11">
        <v>50</v>
      </c>
      <c r="B281" s="11">
        <v>0</v>
      </c>
      <c r="C281" s="11">
        <v>0</v>
      </c>
      <c r="D281" s="11">
        <v>1</v>
      </c>
      <c r="E281" s="11">
        <v>208</v>
      </c>
      <c r="F281" s="11">
        <f>Source!V258</f>
        <v>0</v>
      </c>
      <c r="G281" s="11" t="s">
        <v>103</v>
      </c>
      <c r="H281" s="11" t="s">
        <v>104</v>
      </c>
      <c r="I281" s="11"/>
      <c r="J281" s="11"/>
      <c r="K281" s="11">
        <v>-208</v>
      </c>
      <c r="L281" s="11">
        <v>22</v>
      </c>
      <c r="M281" s="11">
        <v>3</v>
      </c>
      <c r="N281" s="11" t="s">
        <v>3</v>
      </c>
      <c r="O281" s="11">
        <v>-1</v>
      </c>
      <c r="P281" s="11"/>
      <c r="Q281" s="11"/>
      <c r="R281" s="11"/>
      <c r="S281" s="11"/>
      <c r="T281" s="11"/>
      <c r="U281" s="11"/>
      <c r="V281" s="11"/>
      <c r="W281" s="11">
        <v>0</v>
      </c>
      <c r="X281" s="11">
        <v>1</v>
      </c>
      <c r="Y281" s="11">
        <v>0</v>
      </c>
      <c r="Z281" s="11"/>
      <c r="AA281" s="11"/>
      <c r="AB281" s="11"/>
    </row>
    <row r="282" spans="1:206" x14ac:dyDescent="0.2">
      <c r="A282" s="11">
        <v>50</v>
      </c>
      <c r="B282" s="11">
        <v>0</v>
      </c>
      <c r="C282" s="11">
        <v>0</v>
      </c>
      <c r="D282" s="11">
        <v>1</v>
      </c>
      <c r="E282" s="11">
        <v>209</v>
      </c>
      <c r="F282" s="11">
        <f>ROUND(Source!W258,O282)</f>
        <v>0</v>
      </c>
      <c r="G282" s="11" t="s">
        <v>105</v>
      </c>
      <c r="H282" s="11" t="s">
        <v>106</v>
      </c>
      <c r="I282" s="11"/>
      <c r="J282" s="11"/>
      <c r="K282" s="11">
        <v>-209</v>
      </c>
      <c r="L282" s="11">
        <v>23</v>
      </c>
      <c r="M282" s="11">
        <v>3</v>
      </c>
      <c r="N282" s="11" t="s">
        <v>3</v>
      </c>
      <c r="O282" s="11">
        <v>2</v>
      </c>
      <c r="P282" s="11"/>
      <c r="Q282" s="11"/>
      <c r="R282" s="11"/>
      <c r="S282" s="11"/>
      <c r="T282" s="11"/>
      <c r="U282" s="11"/>
      <c r="V282" s="11"/>
      <c r="W282" s="11">
        <v>0</v>
      </c>
      <c r="X282" s="11">
        <v>1</v>
      </c>
      <c r="Y282" s="11">
        <v>0</v>
      </c>
      <c r="Z282" s="11"/>
      <c r="AA282" s="11"/>
      <c r="AB282" s="11"/>
    </row>
    <row r="283" spans="1:206" x14ac:dyDescent="0.2">
      <c r="A283" s="11">
        <v>50</v>
      </c>
      <c r="B283" s="11">
        <v>0</v>
      </c>
      <c r="C283" s="11">
        <v>0</v>
      </c>
      <c r="D283" s="11">
        <v>1</v>
      </c>
      <c r="E283" s="11">
        <v>233</v>
      </c>
      <c r="F283" s="11">
        <f>ROUND(Source!BD258,O283)</f>
        <v>0</v>
      </c>
      <c r="G283" s="11" t="s">
        <v>107</v>
      </c>
      <c r="H283" s="11" t="s">
        <v>108</v>
      </c>
      <c r="I283" s="11"/>
      <c r="J283" s="11"/>
      <c r="K283" s="11">
        <v>-233</v>
      </c>
      <c r="L283" s="11">
        <v>24</v>
      </c>
      <c r="M283" s="11">
        <v>3</v>
      </c>
      <c r="N283" s="11" t="s">
        <v>3</v>
      </c>
      <c r="O283" s="11">
        <v>2</v>
      </c>
      <c r="P283" s="11"/>
      <c r="Q283" s="11"/>
      <c r="R283" s="11"/>
      <c r="S283" s="11"/>
      <c r="T283" s="11"/>
      <c r="U283" s="11"/>
      <c r="V283" s="11"/>
      <c r="W283" s="11">
        <v>0</v>
      </c>
      <c r="X283" s="11">
        <v>1</v>
      </c>
      <c r="Y283" s="11">
        <v>0</v>
      </c>
      <c r="Z283" s="11"/>
      <c r="AA283" s="11"/>
      <c r="AB283" s="11"/>
    </row>
    <row r="284" spans="1:206" x14ac:dyDescent="0.2">
      <c r="A284" s="11">
        <v>50</v>
      </c>
      <c r="B284" s="11">
        <v>0</v>
      </c>
      <c r="C284" s="11">
        <v>0</v>
      </c>
      <c r="D284" s="11">
        <v>1</v>
      </c>
      <c r="E284" s="11">
        <v>210</v>
      </c>
      <c r="F284" s="11">
        <f>ROUND(Source!X258,O284)</f>
        <v>2044</v>
      </c>
      <c r="G284" s="11" t="s">
        <v>109</v>
      </c>
      <c r="H284" s="11" t="s">
        <v>110</v>
      </c>
      <c r="I284" s="11"/>
      <c r="J284" s="11"/>
      <c r="K284" s="11">
        <v>-210</v>
      </c>
      <c r="L284" s="11">
        <v>25</v>
      </c>
      <c r="M284" s="11">
        <v>3</v>
      </c>
      <c r="N284" s="11" t="s">
        <v>3</v>
      </c>
      <c r="O284" s="11">
        <v>2</v>
      </c>
      <c r="P284" s="11"/>
      <c r="Q284" s="11"/>
      <c r="R284" s="11"/>
      <c r="S284" s="11"/>
      <c r="T284" s="11"/>
      <c r="U284" s="11"/>
      <c r="V284" s="11"/>
      <c r="W284" s="11">
        <v>2044</v>
      </c>
      <c r="X284" s="11">
        <v>1</v>
      </c>
      <c r="Y284" s="11">
        <v>2044</v>
      </c>
      <c r="Z284" s="11"/>
      <c r="AA284" s="11"/>
      <c r="AB284" s="11"/>
    </row>
    <row r="285" spans="1:206" x14ac:dyDescent="0.2">
      <c r="A285" s="11">
        <v>50</v>
      </c>
      <c r="B285" s="11">
        <v>0</v>
      </c>
      <c r="C285" s="11">
        <v>0</v>
      </c>
      <c r="D285" s="11">
        <v>1</v>
      </c>
      <c r="E285" s="11">
        <v>211</v>
      </c>
      <c r="F285" s="11">
        <f>ROUND(Source!Y258,O285)</f>
        <v>1179.23</v>
      </c>
      <c r="G285" s="11" t="s">
        <v>111</v>
      </c>
      <c r="H285" s="11" t="s">
        <v>112</v>
      </c>
      <c r="I285" s="11"/>
      <c r="J285" s="11"/>
      <c r="K285" s="11">
        <v>-211</v>
      </c>
      <c r="L285" s="11">
        <v>26</v>
      </c>
      <c r="M285" s="11">
        <v>3</v>
      </c>
      <c r="N285" s="11" t="s">
        <v>3</v>
      </c>
      <c r="O285" s="11">
        <v>2</v>
      </c>
      <c r="P285" s="11"/>
      <c r="Q285" s="11"/>
      <c r="R285" s="11"/>
      <c r="S285" s="11"/>
      <c r="T285" s="11"/>
      <c r="U285" s="11"/>
      <c r="V285" s="11"/>
      <c r="W285" s="11">
        <v>1179.23</v>
      </c>
      <c r="X285" s="11">
        <v>1</v>
      </c>
      <c r="Y285" s="11">
        <v>1179.23</v>
      </c>
      <c r="Z285" s="11"/>
      <c r="AA285" s="11"/>
      <c r="AB285" s="11"/>
    </row>
    <row r="286" spans="1:206" x14ac:dyDescent="0.2">
      <c r="A286" s="11">
        <v>50</v>
      </c>
      <c r="B286" s="11">
        <v>0</v>
      </c>
      <c r="C286" s="11">
        <v>0</v>
      </c>
      <c r="D286" s="11">
        <v>1</v>
      </c>
      <c r="E286" s="11">
        <v>224</v>
      </c>
      <c r="F286" s="11">
        <f>ROUND(Source!AR258,O286)</f>
        <v>9419.9699999999993</v>
      </c>
      <c r="G286" s="11" t="s">
        <v>113</v>
      </c>
      <c r="H286" s="11" t="s">
        <v>114</v>
      </c>
      <c r="I286" s="11"/>
      <c r="J286" s="11"/>
      <c r="K286" s="11">
        <v>-224</v>
      </c>
      <c r="L286" s="11">
        <v>27</v>
      </c>
      <c r="M286" s="11">
        <v>3</v>
      </c>
      <c r="N286" s="11" t="s">
        <v>3</v>
      </c>
      <c r="O286" s="11">
        <v>2</v>
      </c>
      <c r="P286" s="11"/>
      <c r="Q286" s="11"/>
      <c r="R286" s="11"/>
      <c r="S286" s="11"/>
      <c r="T286" s="11"/>
      <c r="U286" s="11"/>
      <c r="V286" s="11"/>
      <c r="W286" s="11">
        <v>9419.9699999999993</v>
      </c>
      <c r="X286" s="11">
        <v>1</v>
      </c>
      <c r="Y286" s="11">
        <v>9419.9699999999993</v>
      </c>
      <c r="Z286" s="11"/>
      <c r="AA286" s="11"/>
      <c r="AB286" s="11"/>
    </row>
    <row r="288" spans="1:206" x14ac:dyDescent="0.2">
      <c r="A288" s="9">
        <v>51</v>
      </c>
      <c r="B288" s="9">
        <f>B20</f>
        <v>1</v>
      </c>
      <c r="C288" s="9">
        <f>A20</f>
        <v>3</v>
      </c>
      <c r="D288" s="9">
        <f>ROW(A20)</f>
        <v>20</v>
      </c>
      <c r="E288" s="9"/>
      <c r="F288" s="9" t="str">
        <f>IF(F20&lt;&gt;"",F20,"")</f>
        <v>Новая локальная смета</v>
      </c>
      <c r="G288" s="9" t="str">
        <f>IF(G20&lt;&gt;"",G20,"")</f>
        <v>Новая локальная смета</v>
      </c>
      <c r="H288" s="9">
        <v>0</v>
      </c>
      <c r="I288" s="9"/>
      <c r="J288" s="9"/>
      <c r="K288" s="9"/>
      <c r="L288" s="9"/>
      <c r="M288" s="9"/>
      <c r="N288" s="9"/>
      <c r="O288" s="9">
        <f t="shared" ref="O288:T288" si="185">ROUND(O221+O258+AB288,2)</f>
        <v>142347.95000000001</v>
      </c>
      <c r="P288" s="9">
        <f t="shared" si="185"/>
        <v>43171.83</v>
      </c>
      <c r="Q288" s="9">
        <f t="shared" si="185"/>
        <v>5062.99</v>
      </c>
      <c r="R288" s="9">
        <f t="shared" si="185"/>
        <v>634.97</v>
      </c>
      <c r="S288" s="9">
        <f t="shared" si="185"/>
        <v>94113.13</v>
      </c>
      <c r="T288" s="9">
        <f t="shared" si="185"/>
        <v>0</v>
      </c>
      <c r="U288" s="9">
        <f>U221+U258+AH288</f>
        <v>144.22983390000002</v>
      </c>
      <c r="V288" s="9">
        <f>V221+V258+AI288</f>
        <v>0</v>
      </c>
      <c r="W288" s="9">
        <f>ROUND(W221+W258+AJ288,2)</f>
        <v>0</v>
      </c>
      <c r="X288" s="9">
        <f>ROUND(X221+X258+AK288,2)</f>
        <v>87425.12</v>
      </c>
      <c r="Y288" s="9">
        <f>ROUND(Y221+Y258+AL288,2)</f>
        <v>44275.45</v>
      </c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>
        <f t="shared" ref="AO288:BD288" si="186">ROUND(AO221+AO258+BX288,2)</f>
        <v>0</v>
      </c>
      <c r="AP288" s="9">
        <f t="shared" si="186"/>
        <v>0</v>
      </c>
      <c r="AQ288" s="9">
        <f t="shared" si="186"/>
        <v>0</v>
      </c>
      <c r="AR288" s="9">
        <f t="shared" si="186"/>
        <v>274048.52</v>
      </c>
      <c r="AS288" s="9">
        <f t="shared" si="186"/>
        <v>270036.49</v>
      </c>
      <c r="AT288" s="9">
        <f t="shared" si="186"/>
        <v>0</v>
      </c>
      <c r="AU288" s="9">
        <f t="shared" si="186"/>
        <v>4012.03</v>
      </c>
      <c r="AV288" s="9">
        <f t="shared" si="186"/>
        <v>43171.83</v>
      </c>
      <c r="AW288" s="9">
        <f t="shared" si="186"/>
        <v>43171.83</v>
      </c>
      <c r="AX288" s="9">
        <f t="shared" si="186"/>
        <v>0</v>
      </c>
      <c r="AY288" s="9">
        <f t="shared" si="186"/>
        <v>43171.83</v>
      </c>
      <c r="AZ288" s="9">
        <f t="shared" si="186"/>
        <v>0</v>
      </c>
      <c r="BA288" s="9">
        <f t="shared" si="186"/>
        <v>0</v>
      </c>
      <c r="BB288" s="9">
        <f t="shared" si="186"/>
        <v>0</v>
      </c>
      <c r="BC288" s="9">
        <f t="shared" si="186"/>
        <v>0</v>
      </c>
      <c r="BD288" s="9">
        <f t="shared" si="186"/>
        <v>0</v>
      </c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  <c r="EY288" s="10"/>
      <c r="EZ288" s="10"/>
      <c r="FA288" s="10"/>
      <c r="FB288" s="10"/>
      <c r="FC288" s="10"/>
      <c r="FD288" s="10"/>
      <c r="FE288" s="10"/>
      <c r="FF288" s="10"/>
      <c r="FG288" s="10"/>
      <c r="FH288" s="10"/>
      <c r="FI288" s="10"/>
      <c r="FJ288" s="10"/>
      <c r="FK288" s="10"/>
      <c r="FL288" s="10"/>
      <c r="FM288" s="10"/>
      <c r="FN288" s="10"/>
      <c r="FO288" s="10"/>
      <c r="FP288" s="10"/>
      <c r="FQ288" s="10"/>
      <c r="FR288" s="10"/>
      <c r="FS288" s="10"/>
      <c r="FT288" s="10"/>
      <c r="FU288" s="10"/>
      <c r="FV288" s="10"/>
      <c r="FW288" s="10"/>
      <c r="FX288" s="10"/>
      <c r="FY288" s="10"/>
      <c r="FZ288" s="10"/>
      <c r="GA288" s="10"/>
      <c r="GB288" s="10"/>
      <c r="GC288" s="10"/>
      <c r="GD288" s="10"/>
      <c r="GE288" s="10"/>
      <c r="GF288" s="10"/>
      <c r="GG288" s="10"/>
      <c r="GH288" s="10"/>
      <c r="GI288" s="10"/>
      <c r="GJ288" s="10"/>
      <c r="GK288" s="10"/>
      <c r="GL288" s="10"/>
      <c r="GM288" s="10"/>
      <c r="GN288" s="10"/>
      <c r="GO288" s="10"/>
      <c r="GP288" s="10"/>
      <c r="GQ288" s="10"/>
      <c r="GR288" s="10"/>
      <c r="GS288" s="10"/>
      <c r="GT288" s="10"/>
      <c r="GU288" s="10"/>
      <c r="GV288" s="10"/>
      <c r="GW288" s="10"/>
      <c r="GX288" s="10">
        <v>0</v>
      </c>
    </row>
    <row r="290" spans="1:28" x14ac:dyDescent="0.2">
      <c r="A290" s="11">
        <v>50</v>
      </c>
      <c r="B290" s="11">
        <v>0</v>
      </c>
      <c r="C290" s="11">
        <v>0</v>
      </c>
      <c r="D290" s="11">
        <v>1</v>
      </c>
      <c r="E290" s="11">
        <v>201</v>
      </c>
      <c r="F290" s="11">
        <f>ROUND(Source!O288,O290)</f>
        <v>142347.95000000001</v>
      </c>
      <c r="G290" s="11" t="s">
        <v>61</v>
      </c>
      <c r="H290" s="11" t="s">
        <v>62</v>
      </c>
      <c r="I290" s="11"/>
      <c r="J290" s="11"/>
      <c r="K290" s="11">
        <v>-201</v>
      </c>
      <c r="L290" s="11">
        <v>1</v>
      </c>
      <c r="M290" s="11">
        <v>3</v>
      </c>
      <c r="N290" s="11" t="s">
        <v>3</v>
      </c>
      <c r="O290" s="11">
        <v>2</v>
      </c>
      <c r="P290" s="11"/>
      <c r="Q290" s="11"/>
      <c r="R290" s="11"/>
      <c r="S290" s="11"/>
      <c r="T290" s="11"/>
      <c r="U290" s="11"/>
      <c r="V290" s="11"/>
      <c r="W290" s="11">
        <v>142347.95000000001</v>
      </c>
      <c r="X290" s="11">
        <v>1</v>
      </c>
      <c r="Y290" s="11">
        <v>142347.95000000001</v>
      </c>
      <c r="Z290" s="11"/>
      <c r="AA290" s="11"/>
      <c r="AB290" s="11"/>
    </row>
    <row r="291" spans="1:28" x14ac:dyDescent="0.2">
      <c r="A291" s="11">
        <v>50</v>
      </c>
      <c r="B291" s="11">
        <v>0</v>
      </c>
      <c r="C291" s="11">
        <v>0</v>
      </c>
      <c r="D291" s="11">
        <v>1</v>
      </c>
      <c r="E291" s="11">
        <v>202</v>
      </c>
      <c r="F291" s="11">
        <f>ROUND(Source!P288,O291)</f>
        <v>43171.83</v>
      </c>
      <c r="G291" s="11" t="s">
        <v>63</v>
      </c>
      <c r="H291" s="11" t="s">
        <v>64</v>
      </c>
      <c r="I291" s="11"/>
      <c r="J291" s="11"/>
      <c r="K291" s="11">
        <v>-202</v>
      </c>
      <c r="L291" s="11">
        <v>2</v>
      </c>
      <c r="M291" s="11">
        <v>3</v>
      </c>
      <c r="N291" s="11" t="s">
        <v>3</v>
      </c>
      <c r="O291" s="11">
        <v>2</v>
      </c>
      <c r="P291" s="11"/>
      <c r="Q291" s="11"/>
      <c r="R291" s="11"/>
      <c r="S291" s="11"/>
      <c r="T291" s="11"/>
      <c r="U291" s="11"/>
      <c r="V291" s="11"/>
      <c r="W291" s="11">
        <v>43171.83</v>
      </c>
      <c r="X291" s="11">
        <v>1</v>
      </c>
      <c r="Y291" s="11">
        <v>43171.83</v>
      </c>
      <c r="Z291" s="11"/>
      <c r="AA291" s="11"/>
      <c r="AB291" s="11"/>
    </row>
    <row r="292" spans="1:28" x14ac:dyDescent="0.2">
      <c r="A292" s="11">
        <v>50</v>
      </c>
      <c r="B292" s="11">
        <v>0</v>
      </c>
      <c r="C292" s="11">
        <v>0</v>
      </c>
      <c r="D292" s="11">
        <v>1</v>
      </c>
      <c r="E292" s="11">
        <v>222</v>
      </c>
      <c r="F292" s="11">
        <f>ROUND(Source!AO288,O292)</f>
        <v>0</v>
      </c>
      <c r="G292" s="11" t="s">
        <v>65</v>
      </c>
      <c r="H292" s="11" t="s">
        <v>66</v>
      </c>
      <c r="I292" s="11"/>
      <c r="J292" s="11"/>
      <c r="K292" s="11">
        <v>-222</v>
      </c>
      <c r="L292" s="11">
        <v>3</v>
      </c>
      <c r="M292" s="11">
        <v>3</v>
      </c>
      <c r="N292" s="11" t="s">
        <v>3</v>
      </c>
      <c r="O292" s="11">
        <v>2</v>
      </c>
      <c r="P292" s="11"/>
      <c r="Q292" s="11"/>
      <c r="R292" s="11"/>
      <c r="S292" s="11"/>
      <c r="T292" s="11"/>
      <c r="U292" s="11"/>
      <c r="V292" s="11"/>
      <c r="W292" s="11">
        <v>0</v>
      </c>
      <c r="X292" s="11">
        <v>1</v>
      </c>
      <c r="Y292" s="11">
        <v>0</v>
      </c>
      <c r="Z292" s="11"/>
      <c r="AA292" s="11"/>
      <c r="AB292" s="11"/>
    </row>
    <row r="293" spans="1:28" x14ac:dyDescent="0.2">
      <c r="A293" s="11">
        <v>50</v>
      </c>
      <c r="B293" s="11">
        <v>0</v>
      </c>
      <c r="C293" s="11">
        <v>0</v>
      </c>
      <c r="D293" s="11">
        <v>1</v>
      </c>
      <c r="E293" s="11">
        <v>225</v>
      </c>
      <c r="F293" s="11">
        <f>ROUND(Source!AV288,O293)</f>
        <v>43171.83</v>
      </c>
      <c r="G293" s="11" t="s">
        <v>67</v>
      </c>
      <c r="H293" s="11" t="s">
        <v>68</v>
      </c>
      <c r="I293" s="11"/>
      <c r="J293" s="11"/>
      <c r="K293" s="11">
        <v>-225</v>
      </c>
      <c r="L293" s="11">
        <v>4</v>
      </c>
      <c r="M293" s="11">
        <v>3</v>
      </c>
      <c r="N293" s="11" t="s">
        <v>3</v>
      </c>
      <c r="O293" s="11">
        <v>2</v>
      </c>
      <c r="P293" s="11"/>
      <c r="Q293" s="11"/>
      <c r="R293" s="11"/>
      <c r="S293" s="11"/>
      <c r="T293" s="11"/>
      <c r="U293" s="11"/>
      <c r="V293" s="11"/>
      <c r="W293" s="11">
        <v>43171.83</v>
      </c>
      <c r="X293" s="11">
        <v>1</v>
      </c>
      <c r="Y293" s="11">
        <v>43171.83</v>
      </c>
      <c r="Z293" s="11"/>
      <c r="AA293" s="11"/>
      <c r="AB293" s="11"/>
    </row>
    <row r="294" spans="1:28" x14ac:dyDescent="0.2">
      <c r="A294" s="11">
        <v>50</v>
      </c>
      <c r="B294" s="11">
        <v>0</v>
      </c>
      <c r="C294" s="11">
        <v>0</v>
      </c>
      <c r="D294" s="11">
        <v>1</v>
      </c>
      <c r="E294" s="11">
        <v>226</v>
      </c>
      <c r="F294" s="11">
        <f>ROUND(Source!AW288,O294)</f>
        <v>43171.83</v>
      </c>
      <c r="G294" s="11" t="s">
        <v>69</v>
      </c>
      <c r="H294" s="11" t="s">
        <v>70</v>
      </c>
      <c r="I294" s="11"/>
      <c r="J294" s="11"/>
      <c r="K294" s="11">
        <v>-226</v>
      </c>
      <c r="L294" s="11">
        <v>5</v>
      </c>
      <c r="M294" s="11">
        <v>3</v>
      </c>
      <c r="N294" s="11" t="s">
        <v>3</v>
      </c>
      <c r="O294" s="11">
        <v>2</v>
      </c>
      <c r="P294" s="11"/>
      <c r="Q294" s="11"/>
      <c r="R294" s="11"/>
      <c r="S294" s="11"/>
      <c r="T294" s="11"/>
      <c r="U294" s="11"/>
      <c r="V294" s="11"/>
      <c r="W294" s="11">
        <v>43171.83</v>
      </c>
      <c r="X294" s="11">
        <v>1</v>
      </c>
      <c r="Y294" s="11">
        <v>43171.83</v>
      </c>
      <c r="Z294" s="11"/>
      <c r="AA294" s="11"/>
      <c r="AB294" s="11"/>
    </row>
    <row r="295" spans="1:28" x14ac:dyDescent="0.2">
      <c r="A295" s="11">
        <v>50</v>
      </c>
      <c r="B295" s="11">
        <v>0</v>
      </c>
      <c r="C295" s="11">
        <v>0</v>
      </c>
      <c r="D295" s="11">
        <v>1</v>
      </c>
      <c r="E295" s="11">
        <v>227</v>
      </c>
      <c r="F295" s="11">
        <f>ROUND(Source!AX288,O295)</f>
        <v>0</v>
      </c>
      <c r="G295" s="11" t="s">
        <v>71</v>
      </c>
      <c r="H295" s="11" t="s">
        <v>72</v>
      </c>
      <c r="I295" s="11"/>
      <c r="J295" s="11"/>
      <c r="K295" s="11">
        <v>-227</v>
      </c>
      <c r="L295" s="11">
        <v>6</v>
      </c>
      <c r="M295" s="11">
        <v>3</v>
      </c>
      <c r="N295" s="11" t="s">
        <v>3</v>
      </c>
      <c r="O295" s="11">
        <v>2</v>
      </c>
      <c r="P295" s="11"/>
      <c r="Q295" s="11"/>
      <c r="R295" s="11"/>
      <c r="S295" s="11"/>
      <c r="T295" s="11"/>
      <c r="U295" s="11"/>
      <c r="V295" s="11"/>
      <c r="W295" s="11">
        <v>0</v>
      </c>
      <c r="X295" s="11">
        <v>1</v>
      </c>
      <c r="Y295" s="11">
        <v>0</v>
      </c>
      <c r="Z295" s="11"/>
      <c r="AA295" s="11"/>
      <c r="AB295" s="11"/>
    </row>
    <row r="296" spans="1:28" x14ac:dyDescent="0.2">
      <c r="A296" s="11">
        <v>50</v>
      </c>
      <c r="B296" s="11">
        <v>0</v>
      </c>
      <c r="C296" s="11">
        <v>0</v>
      </c>
      <c r="D296" s="11">
        <v>1</v>
      </c>
      <c r="E296" s="11">
        <v>228</v>
      </c>
      <c r="F296" s="11">
        <f>ROUND(Source!AY288,O296)</f>
        <v>43171.83</v>
      </c>
      <c r="G296" s="11" t="s">
        <v>73</v>
      </c>
      <c r="H296" s="11" t="s">
        <v>74</v>
      </c>
      <c r="I296" s="11"/>
      <c r="J296" s="11"/>
      <c r="K296" s="11">
        <v>-228</v>
      </c>
      <c r="L296" s="11">
        <v>7</v>
      </c>
      <c r="M296" s="11">
        <v>3</v>
      </c>
      <c r="N296" s="11" t="s">
        <v>3</v>
      </c>
      <c r="O296" s="11">
        <v>2</v>
      </c>
      <c r="P296" s="11"/>
      <c r="Q296" s="11"/>
      <c r="R296" s="11"/>
      <c r="S296" s="11"/>
      <c r="T296" s="11"/>
      <c r="U296" s="11"/>
      <c r="V296" s="11"/>
      <c r="W296" s="11">
        <v>43171.83</v>
      </c>
      <c r="X296" s="11">
        <v>1</v>
      </c>
      <c r="Y296" s="11">
        <v>43171.83</v>
      </c>
      <c r="Z296" s="11"/>
      <c r="AA296" s="11"/>
      <c r="AB296" s="11"/>
    </row>
    <row r="297" spans="1:28" x14ac:dyDescent="0.2">
      <c r="A297" s="11">
        <v>50</v>
      </c>
      <c r="B297" s="11">
        <v>0</v>
      </c>
      <c r="C297" s="11">
        <v>0</v>
      </c>
      <c r="D297" s="11">
        <v>1</v>
      </c>
      <c r="E297" s="11">
        <v>216</v>
      </c>
      <c r="F297" s="11">
        <f>ROUND(Source!AP288,O297)</f>
        <v>0</v>
      </c>
      <c r="G297" s="11" t="s">
        <v>75</v>
      </c>
      <c r="H297" s="11" t="s">
        <v>76</v>
      </c>
      <c r="I297" s="11"/>
      <c r="J297" s="11"/>
      <c r="K297" s="11">
        <v>-216</v>
      </c>
      <c r="L297" s="11">
        <v>8</v>
      </c>
      <c r="M297" s="11">
        <v>3</v>
      </c>
      <c r="N297" s="11" t="s">
        <v>3</v>
      </c>
      <c r="O297" s="11">
        <v>2</v>
      </c>
      <c r="P297" s="11"/>
      <c r="Q297" s="11"/>
      <c r="R297" s="11"/>
      <c r="S297" s="11"/>
      <c r="T297" s="11"/>
      <c r="U297" s="11"/>
      <c r="V297" s="11"/>
      <c r="W297" s="11">
        <v>0</v>
      </c>
      <c r="X297" s="11">
        <v>1</v>
      </c>
      <c r="Y297" s="11">
        <v>0</v>
      </c>
      <c r="Z297" s="11"/>
      <c r="AA297" s="11"/>
      <c r="AB297" s="11"/>
    </row>
    <row r="298" spans="1:28" x14ac:dyDescent="0.2">
      <c r="A298" s="11">
        <v>50</v>
      </c>
      <c r="B298" s="11">
        <v>0</v>
      </c>
      <c r="C298" s="11">
        <v>0</v>
      </c>
      <c r="D298" s="11">
        <v>1</v>
      </c>
      <c r="E298" s="11">
        <v>223</v>
      </c>
      <c r="F298" s="11">
        <f>ROUND(Source!AQ288,O298)</f>
        <v>0</v>
      </c>
      <c r="G298" s="11" t="s">
        <v>77</v>
      </c>
      <c r="H298" s="11" t="s">
        <v>78</v>
      </c>
      <c r="I298" s="11"/>
      <c r="J298" s="11"/>
      <c r="K298" s="11">
        <v>-223</v>
      </c>
      <c r="L298" s="11">
        <v>9</v>
      </c>
      <c r="M298" s="11">
        <v>3</v>
      </c>
      <c r="N298" s="11" t="s">
        <v>3</v>
      </c>
      <c r="O298" s="11">
        <v>2</v>
      </c>
      <c r="P298" s="11"/>
      <c r="Q298" s="11"/>
      <c r="R298" s="11"/>
      <c r="S298" s="11"/>
      <c r="T298" s="11"/>
      <c r="U298" s="11"/>
      <c r="V298" s="11"/>
      <c r="W298" s="11">
        <v>0</v>
      </c>
      <c r="X298" s="11">
        <v>1</v>
      </c>
      <c r="Y298" s="11">
        <v>0</v>
      </c>
      <c r="Z298" s="11"/>
      <c r="AA298" s="11"/>
      <c r="AB298" s="11"/>
    </row>
    <row r="299" spans="1:28" x14ac:dyDescent="0.2">
      <c r="A299" s="11">
        <v>50</v>
      </c>
      <c r="B299" s="11">
        <v>0</v>
      </c>
      <c r="C299" s="11">
        <v>0</v>
      </c>
      <c r="D299" s="11">
        <v>1</v>
      </c>
      <c r="E299" s="11">
        <v>229</v>
      </c>
      <c r="F299" s="11">
        <f>ROUND(Source!AZ288,O299)</f>
        <v>0</v>
      </c>
      <c r="G299" s="11" t="s">
        <v>79</v>
      </c>
      <c r="H299" s="11" t="s">
        <v>80</v>
      </c>
      <c r="I299" s="11"/>
      <c r="J299" s="11"/>
      <c r="K299" s="11">
        <v>-229</v>
      </c>
      <c r="L299" s="11">
        <v>10</v>
      </c>
      <c r="M299" s="11">
        <v>3</v>
      </c>
      <c r="N299" s="11" t="s">
        <v>3</v>
      </c>
      <c r="O299" s="11">
        <v>2</v>
      </c>
      <c r="P299" s="11"/>
      <c r="Q299" s="11"/>
      <c r="R299" s="11"/>
      <c r="S299" s="11"/>
      <c r="T299" s="11"/>
      <c r="U299" s="11"/>
      <c r="V299" s="11"/>
      <c r="W299" s="11">
        <v>0</v>
      </c>
      <c r="X299" s="11">
        <v>1</v>
      </c>
      <c r="Y299" s="11">
        <v>0</v>
      </c>
      <c r="Z299" s="11"/>
      <c r="AA299" s="11"/>
      <c r="AB299" s="11"/>
    </row>
    <row r="300" spans="1:28" x14ac:dyDescent="0.2">
      <c r="A300" s="11">
        <v>50</v>
      </c>
      <c r="B300" s="11">
        <v>0</v>
      </c>
      <c r="C300" s="11">
        <v>0</v>
      </c>
      <c r="D300" s="11">
        <v>1</v>
      </c>
      <c r="E300" s="11">
        <v>203</v>
      </c>
      <c r="F300" s="11">
        <f>ROUND(Source!Q288,O300)</f>
        <v>5062.99</v>
      </c>
      <c r="G300" s="11" t="s">
        <v>81</v>
      </c>
      <c r="H300" s="11" t="s">
        <v>82</v>
      </c>
      <c r="I300" s="11"/>
      <c r="J300" s="11"/>
      <c r="K300" s="11">
        <v>-203</v>
      </c>
      <c r="L300" s="11">
        <v>11</v>
      </c>
      <c r="M300" s="11">
        <v>3</v>
      </c>
      <c r="N300" s="11" t="s">
        <v>3</v>
      </c>
      <c r="O300" s="11">
        <v>2</v>
      </c>
      <c r="P300" s="11"/>
      <c r="Q300" s="11"/>
      <c r="R300" s="11"/>
      <c r="S300" s="11"/>
      <c r="T300" s="11"/>
      <c r="U300" s="11"/>
      <c r="V300" s="11"/>
      <c r="W300" s="11">
        <v>5062.99</v>
      </c>
      <c r="X300" s="11">
        <v>1</v>
      </c>
      <c r="Y300" s="11">
        <v>5062.99</v>
      </c>
      <c r="Z300" s="11"/>
      <c r="AA300" s="11"/>
      <c r="AB300" s="11"/>
    </row>
    <row r="301" spans="1:28" x14ac:dyDescent="0.2">
      <c r="A301" s="11">
        <v>50</v>
      </c>
      <c r="B301" s="11">
        <v>0</v>
      </c>
      <c r="C301" s="11">
        <v>0</v>
      </c>
      <c r="D301" s="11">
        <v>1</v>
      </c>
      <c r="E301" s="11">
        <v>231</v>
      </c>
      <c r="F301" s="11">
        <f>ROUND(Source!BB288,O301)</f>
        <v>0</v>
      </c>
      <c r="G301" s="11" t="s">
        <v>83</v>
      </c>
      <c r="H301" s="11" t="s">
        <v>84</v>
      </c>
      <c r="I301" s="11"/>
      <c r="J301" s="11"/>
      <c r="K301" s="11">
        <v>-231</v>
      </c>
      <c r="L301" s="11">
        <v>12</v>
      </c>
      <c r="M301" s="11">
        <v>3</v>
      </c>
      <c r="N301" s="11" t="s">
        <v>3</v>
      </c>
      <c r="O301" s="11">
        <v>2</v>
      </c>
      <c r="P301" s="11"/>
      <c r="Q301" s="11"/>
      <c r="R301" s="11"/>
      <c r="S301" s="11"/>
      <c r="T301" s="11"/>
      <c r="U301" s="11"/>
      <c r="V301" s="11"/>
      <c r="W301" s="11">
        <v>0</v>
      </c>
      <c r="X301" s="11">
        <v>1</v>
      </c>
      <c r="Y301" s="11">
        <v>0</v>
      </c>
      <c r="Z301" s="11"/>
      <c r="AA301" s="11"/>
      <c r="AB301" s="11"/>
    </row>
    <row r="302" spans="1:28" x14ac:dyDescent="0.2">
      <c r="A302" s="11">
        <v>50</v>
      </c>
      <c r="B302" s="11">
        <v>0</v>
      </c>
      <c r="C302" s="11">
        <v>0</v>
      </c>
      <c r="D302" s="11">
        <v>1</v>
      </c>
      <c r="E302" s="11">
        <v>204</v>
      </c>
      <c r="F302" s="11">
        <f>ROUND(Source!R288,O302)</f>
        <v>634.97</v>
      </c>
      <c r="G302" s="11" t="s">
        <v>85</v>
      </c>
      <c r="H302" s="11" t="s">
        <v>86</v>
      </c>
      <c r="I302" s="11"/>
      <c r="J302" s="11"/>
      <c r="K302" s="11">
        <v>-204</v>
      </c>
      <c r="L302" s="11">
        <v>13</v>
      </c>
      <c r="M302" s="11">
        <v>3</v>
      </c>
      <c r="N302" s="11" t="s">
        <v>3</v>
      </c>
      <c r="O302" s="11">
        <v>2</v>
      </c>
      <c r="P302" s="11"/>
      <c r="Q302" s="11"/>
      <c r="R302" s="11"/>
      <c r="S302" s="11"/>
      <c r="T302" s="11"/>
      <c r="U302" s="11"/>
      <c r="V302" s="11"/>
      <c r="W302" s="11">
        <v>634.97</v>
      </c>
      <c r="X302" s="11">
        <v>1</v>
      </c>
      <c r="Y302" s="11">
        <v>634.97</v>
      </c>
      <c r="Z302" s="11"/>
      <c r="AA302" s="11"/>
      <c r="AB302" s="11"/>
    </row>
    <row r="303" spans="1:28" x14ac:dyDescent="0.2">
      <c r="A303" s="11">
        <v>50</v>
      </c>
      <c r="B303" s="11">
        <v>0</v>
      </c>
      <c r="C303" s="11">
        <v>0</v>
      </c>
      <c r="D303" s="11">
        <v>1</v>
      </c>
      <c r="E303" s="11">
        <v>205</v>
      </c>
      <c r="F303" s="11">
        <f>ROUND(Source!S288,O303)</f>
        <v>94113.13</v>
      </c>
      <c r="G303" s="11" t="s">
        <v>87</v>
      </c>
      <c r="H303" s="11" t="s">
        <v>88</v>
      </c>
      <c r="I303" s="11"/>
      <c r="J303" s="11"/>
      <c r="K303" s="11">
        <v>-205</v>
      </c>
      <c r="L303" s="11">
        <v>14</v>
      </c>
      <c r="M303" s="11">
        <v>3</v>
      </c>
      <c r="N303" s="11" t="s">
        <v>3</v>
      </c>
      <c r="O303" s="11">
        <v>2</v>
      </c>
      <c r="P303" s="11"/>
      <c r="Q303" s="11"/>
      <c r="R303" s="11"/>
      <c r="S303" s="11"/>
      <c r="T303" s="11"/>
      <c r="U303" s="11"/>
      <c r="V303" s="11"/>
      <c r="W303" s="11">
        <v>94113.13</v>
      </c>
      <c r="X303" s="11">
        <v>1</v>
      </c>
      <c r="Y303" s="11">
        <v>94113.13</v>
      </c>
      <c r="Z303" s="11"/>
      <c r="AA303" s="11"/>
      <c r="AB303" s="11"/>
    </row>
    <row r="304" spans="1:28" x14ac:dyDescent="0.2">
      <c r="A304" s="11">
        <v>50</v>
      </c>
      <c r="B304" s="11">
        <v>0</v>
      </c>
      <c r="C304" s="11">
        <v>0</v>
      </c>
      <c r="D304" s="11">
        <v>1</v>
      </c>
      <c r="E304" s="11">
        <v>232</v>
      </c>
      <c r="F304" s="11">
        <f>ROUND(Source!BC288,O304)</f>
        <v>0</v>
      </c>
      <c r="G304" s="11" t="s">
        <v>89</v>
      </c>
      <c r="H304" s="11" t="s">
        <v>90</v>
      </c>
      <c r="I304" s="11"/>
      <c r="J304" s="11"/>
      <c r="K304" s="11">
        <v>-232</v>
      </c>
      <c r="L304" s="11">
        <v>15</v>
      </c>
      <c r="M304" s="11">
        <v>3</v>
      </c>
      <c r="N304" s="11" t="s">
        <v>3</v>
      </c>
      <c r="O304" s="11">
        <v>2</v>
      </c>
      <c r="P304" s="11"/>
      <c r="Q304" s="11"/>
      <c r="R304" s="11"/>
      <c r="S304" s="11"/>
      <c r="T304" s="11"/>
      <c r="U304" s="11"/>
      <c r="V304" s="11"/>
      <c r="W304" s="11">
        <v>0</v>
      </c>
      <c r="X304" s="11">
        <v>1</v>
      </c>
      <c r="Y304" s="11">
        <v>0</v>
      </c>
      <c r="Z304" s="11"/>
      <c r="AA304" s="11"/>
      <c r="AB304" s="11"/>
    </row>
    <row r="305" spans="1:206" x14ac:dyDescent="0.2">
      <c r="A305" s="11">
        <v>50</v>
      </c>
      <c r="B305" s="11">
        <v>0</v>
      </c>
      <c r="C305" s="11">
        <v>0</v>
      </c>
      <c r="D305" s="11">
        <v>1</v>
      </c>
      <c r="E305" s="11">
        <v>214</v>
      </c>
      <c r="F305" s="11">
        <f>ROUND(Source!AS288,O305)</f>
        <v>270036.49</v>
      </c>
      <c r="G305" s="11" t="s">
        <v>91</v>
      </c>
      <c r="H305" s="11" t="s">
        <v>92</v>
      </c>
      <c r="I305" s="11"/>
      <c r="J305" s="11"/>
      <c r="K305" s="11">
        <v>-214</v>
      </c>
      <c r="L305" s="11">
        <v>16</v>
      </c>
      <c r="M305" s="11">
        <v>3</v>
      </c>
      <c r="N305" s="11" t="s">
        <v>3</v>
      </c>
      <c r="O305" s="11">
        <v>2</v>
      </c>
      <c r="P305" s="11"/>
      <c r="Q305" s="11"/>
      <c r="R305" s="11"/>
      <c r="S305" s="11"/>
      <c r="T305" s="11"/>
      <c r="U305" s="11"/>
      <c r="V305" s="11"/>
      <c r="W305" s="11">
        <v>270036.49</v>
      </c>
      <c r="X305" s="11">
        <v>1</v>
      </c>
      <c r="Y305" s="11">
        <v>270036.49</v>
      </c>
      <c r="Z305" s="11"/>
      <c r="AA305" s="11"/>
      <c r="AB305" s="11"/>
    </row>
    <row r="306" spans="1:206" x14ac:dyDescent="0.2">
      <c r="A306" s="11">
        <v>50</v>
      </c>
      <c r="B306" s="11">
        <v>0</v>
      </c>
      <c r="C306" s="11">
        <v>0</v>
      </c>
      <c r="D306" s="11">
        <v>1</v>
      </c>
      <c r="E306" s="11">
        <v>215</v>
      </c>
      <c r="F306" s="11">
        <f>ROUND(Source!AT288,O306)</f>
        <v>0</v>
      </c>
      <c r="G306" s="11" t="s">
        <v>93</v>
      </c>
      <c r="H306" s="11" t="s">
        <v>94</v>
      </c>
      <c r="I306" s="11"/>
      <c r="J306" s="11"/>
      <c r="K306" s="11">
        <v>-215</v>
      </c>
      <c r="L306" s="11">
        <v>17</v>
      </c>
      <c r="M306" s="11">
        <v>3</v>
      </c>
      <c r="N306" s="11" t="s">
        <v>3</v>
      </c>
      <c r="O306" s="11">
        <v>2</v>
      </c>
      <c r="P306" s="11"/>
      <c r="Q306" s="11"/>
      <c r="R306" s="11"/>
      <c r="S306" s="11"/>
      <c r="T306" s="11"/>
      <c r="U306" s="11"/>
      <c r="V306" s="11"/>
      <c r="W306" s="11">
        <v>0</v>
      </c>
      <c r="X306" s="11">
        <v>1</v>
      </c>
      <c r="Y306" s="11">
        <v>0</v>
      </c>
      <c r="Z306" s="11"/>
      <c r="AA306" s="11"/>
      <c r="AB306" s="11"/>
    </row>
    <row r="307" spans="1:206" x14ac:dyDescent="0.2">
      <c r="A307" s="11">
        <v>50</v>
      </c>
      <c r="B307" s="11">
        <v>0</v>
      </c>
      <c r="C307" s="11">
        <v>0</v>
      </c>
      <c r="D307" s="11">
        <v>1</v>
      </c>
      <c r="E307" s="11">
        <v>217</v>
      </c>
      <c r="F307" s="11">
        <f>ROUND(Source!AU288,O307)</f>
        <v>4012.03</v>
      </c>
      <c r="G307" s="11" t="s">
        <v>95</v>
      </c>
      <c r="H307" s="11" t="s">
        <v>96</v>
      </c>
      <c r="I307" s="11"/>
      <c r="J307" s="11"/>
      <c r="K307" s="11">
        <v>-217</v>
      </c>
      <c r="L307" s="11">
        <v>18</v>
      </c>
      <c r="M307" s="11">
        <v>3</v>
      </c>
      <c r="N307" s="11" t="s">
        <v>3</v>
      </c>
      <c r="O307" s="11">
        <v>2</v>
      </c>
      <c r="P307" s="11"/>
      <c r="Q307" s="11"/>
      <c r="R307" s="11"/>
      <c r="S307" s="11"/>
      <c r="T307" s="11"/>
      <c r="U307" s="11"/>
      <c r="V307" s="11"/>
      <c r="W307" s="11">
        <v>4012.03</v>
      </c>
      <c r="X307" s="11">
        <v>1</v>
      </c>
      <c r="Y307" s="11">
        <v>4012.03</v>
      </c>
      <c r="Z307" s="11"/>
      <c r="AA307" s="11"/>
      <c r="AB307" s="11"/>
    </row>
    <row r="308" spans="1:206" x14ac:dyDescent="0.2">
      <c r="A308" s="11">
        <v>50</v>
      </c>
      <c r="B308" s="11">
        <v>0</v>
      </c>
      <c r="C308" s="11">
        <v>0</v>
      </c>
      <c r="D308" s="11">
        <v>1</v>
      </c>
      <c r="E308" s="11">
        <v>230</v>
      </c>
      <c r="F308" s="11">
        <f>ROUND(Source!BA288,O308)</f>
        <v>0</v>
      </c>
      <c r="G308" s="11" t="s">
        <v>97</v>
      </c>
      <c r="H308" s="11" t="s">
        <v>98</v>
      </c>
      <c r="I308" s="11"/>
      <c r="J308" s="11"/>
      <c r="K308" s="11">
        <v>-230</v>
      </c>
      <c r="L308" s="11">
        <v>19</v>
      </c>
      <c r="M308" s="11">
        <v>3</v>
      </c>
      <c r="N308" s="11" t="s">
        <v>3</v>
      </c>
      <c r="O308" s="11">
        <v>2</v>
      </c>
      <c r="P308" s="11"/>
      <c r="Q308" s="11"/>
      <c r="R308" s="11"/>
      <c r="S308" s="11"/>
      <c r="T308" s="11"/>
      <c r="U308" s="11"/>
      <c r="V308" s="11"/>
      <c r="W308" s="11">
        <v>0</v>
      </c>
      <c r="X308" s="11">
        <v>1</v>
      </c>
      <c r="Y308" s="11">
        <v>0</v>
      </c>
      <c r="Z308" s="11"/>
      <c r="AA308" s="11"/>
      <c r="AB308" s="11"/>
    </row>
    <row r="309" spans="1:206" x14ac:dyDescent="0.2">
      <c r="A309" s="11">
        <v>50</v>
      </c>
      <c r="B309" s="11">
        <v>0</v>
      </c>
      <c r="C309" s="11">
        <v>0</v>
      </c>
      <c r="D309" s="11">
        <v>1</v>
      </c>
      <c r="E309" s="11">
        <v>206</v>
      </c>
      <c r="F309" s="11">
        <f>ROUND(Source!T288,O309)</f>
        <v>0</v>
      </c>
      <c r="G309" s="11" t="s">
        <v>99</v>
      </c>
      <c r="H309" s="11" t="s">
        <v>100</v>
      </c>
      <c r="I309" s="11"/>
      <c r="J309" s="11"/>
      <c r="K309" s="11">
        <v>-206</v>
      </c>
      <c r="L309" s="11">
        <v>20</v>
      </c>
      <c r="M309" s="11">
        <v>3</v>
      </c>
      <c r="N309" s="11" t="s">
        <v>3</v>
      </c>
      <c r="O309" s="11">
        <v>2</v>
      </c>
      <c r="P309" s="11"/>
      <c r="Q309" s="11"/>
      <c r="R309" s="11"/>
      <c r="S309" s="11"/>
      <c r="T309" s="11"/>
      <c r="U309" s="11"/>
      <c r="V309" s="11"/>
      <c r="W309" s="11">
        <v>0</v>
      </c>
      <c r="X309" s="11">
        <v>1</v>
      </c>
      <c r="Y309" s="11">
        <v>0</v>
      </c>
      <c r="Z309" s="11"/>
      <c r="AA309" s="11"/>
      <c r="AB309" s="11"/>
    </row>
    <row r="310" spans="1:206" x14ac:dyDescent="0.2">
      <c r="A310" s="11">
        <v>50</v>
      </c>
      <c r="B310" s="11">
        <v>0</v>
      </c>
      <c r="C310" s="11">
        <v>0</v>
      </c>
      <c r="D310" s="11">
        <v>1</v>
      </c>
      <c r="E310" s="11">
        <v>207</v>
      </c>
      <c r="F310" s="11">
        <f>Source!U288</f>
        <v>144.22983390000002</v>
      </c>
      <c r="G310" s="11" t="s">
        <v>101</v>
      </c>
      <c r="H310" s="11" t="s">
        <v>102</v>
      </c>
      <c r="I310" s="11"/>
      <c r="J310" s="11"/>
      <c r="K310" s="11">
        <v>-207</v>
      </c>
      <c r="L310" s="11">
        <v>21</v>
      </c>
      <c r="M310" s="11">
        <v>3</v>
      </c>
      <c r="N310" s="11" t="s">
        <v>3</v>
      </c>
      <c r="O310" s="11">
        <v>-1</v>
      </c>
      <c r="P310" s="11"/>
      <c r="Q310" s="11"/>
      <c r="R310" s="11"/>
      <c r="S310" s="11"/>
      <c r="T310" s="11"/>
      <c r="U310" s="11"/>
      <c r="V310" s="11"/>
      <c r="W310" s="11">
        <v>144.22983390000002</v>
      </c>
      <c r="X310" s="11">
        <v>1</v>
      </c>
      <c r="Y310" s="11">
        <v>144.22983390000002</v>
      </c>
      <c r="Z310" s="11"/>
      <c r="AA310" s="11"/>
      <c r="AB310" s="11"/>
    </row>
    <row r="311" spans="1:206" x14ac:dyDescent="0.2">
      <c r="A311" s="11">
        <v>50</v>
      </c>
      <c r="B311" s="11">
        <v>0</v>
      </c>
      <c r="C311" s="11">
        <v>0</v>
      </c>
      <c r="D311" s="11">
        <v>1</v>
      </c>
      <c r="E311" s="11">
        <v>208</v>
      </c>
      <c r="F311" s="11">
        <f>Source!V288</f>
        <v>0</v>
      </c>
      <c r="G311" s="11" t="s">
        <v>103</v>
      </c>
      <c r="H311" s="11" t="s">
        <v>104</v>
      </c>
      <c r="I311" s="11"/>
      <c r="J311" s="11"/>
      <c r="K311" s="11">
        <v>-208</v>
      </c>
      <c r="L311" s="11">
        <v>22</v>
      </c>
      <c r="M311" s="11">
        <v>3</v>
      </c>
      <c r="N311" s="11" t="s">
        <v>3</v>
      </c>
      <c r="O311" s="11">
        <v>-1</v>
      </c>
      <c r="P311" s="11"/>
      <c r="Q311" s="11"/>
      <c r="R311" s="11"/>
      <c r="S311" s="11"/>
      <c r="T311" s="11"/>
      <c r="U311" s="11"/>
      <c r="V311" s="11"/>
      <c r="W311" s="11">
        <v>0</v>
      </c>
      <c r="X311" s="11">
        <v>1</v>
      </c>
      <c r="Y311" s="11">
        <v>0</v>
      </c>
      <c r="Z311" s="11"/>
      <c r="AA311" s="11"/>
      <c r="AB311" s="11"/>
    </row>
    <row r="312" spans="1:206" x14ac:dyDescent="0.2">
      <c r="A312" s="11">
        <v>50</v>
      </c>
      <c r="B312" s="11">
        <v>0</v>
      </c>
      <c r="C312" s="11">
        <v>0</v>
      </c>
      <c r="D312" s="11">
        <v>1</v>
      </c>
      <c r="E312" s="11">
        <v>209</v>
      </c>
      <c r="F312" s="11">
        <f>ROUND(Source!W288,O312)</f>
        <v>0</v>
      </c>
      <c r="G312" s="11" t="s">
        <v>105</v>
      </c>
      <c r="H312" s="11" t="s">
        <v>106</v>
      </c>
      <c r="I312" s="11"/>
      <c r="J312" s="11"/>
      <c r="K312" s="11">
        <v>-209</v>
      </c>
      <c r="L312" s="11">
        <v>23</v>
      </c>
      <c r="M312" s="11">
        <v>3</v>
      </c>
      <c r="N312" s="11" t="s">
        <v>3</v>
      </c>
      <c r="O312" s="11">
        <v>2</v>
      </c>
      <c r="P312" s="11"/>
      <c r="Q312" s="11"/>
      <c r="R312" s="11"/>
      <c r="S312" s="11"/>
      <c r="T312" s="11"/>
      <c r="U312" s="11"/>
      <c r="V312" s="11"/>
      <c r="W312" s="11">
        <v>0</v>
      </c>
      <c r="X312" s="11">
        <v>1</v>
      </c>
      <c r="Y312" s="11">
        <v>0</v>
      </c>
      <c r="Z312" s="11"/>
      <c r="AA312" s="11"/>
      <c r="AB312" s="11"/>
    </row>
    <row r="313" spans="1:206" x14ac:dyDescent="0.2">
      <c r="A313" s="11">
        <v>50</v>
      </c>
      <c r="B313" s="11">
        <v>0</v>
      </c>
      <c r="C313" s="11">
        <v>0</v>
      </c>
      <c r="D313" s="11">
        <v>1</v>
      </c>
      <c r="E313" s="11">
        <v>233</v>
      </c>
      <c r="F313" s="11">
        <f>ROUND(Source!BD288,O313)</f>
        <v>0</v>
      </c>
      <c r="G313" s="11" t="s">
        <v>107</v>
      </c>
      <c r="H313" s="11" t="s">
        <v>108</v>
      </c>
      <c r="I313" s="11"/>
      <c r="J313" s="11"/>
      <c r="K313" s="11">
        <v>-233</v>
      </c>
      <c r="L313" s="11">
        <v>24</v>
      </c>
      <c r="M313" s="11">
        <v>3</v>
      </c>
      <c r="N313" s="11" t="s">
        <v>3</v>
      </c>
      <c r="O313" s="11">
        <v>2</v>
      </c>
      <c r="P313" s="11"/>
      <c r="Q313" s="11"/>
      <c r="R313" s="11"/>
      <c r="S313" s="11"/>
      <c r="T313" s="11"/>
      <c r="U313" s="11"/>
      <c r="V313" s="11"/>
      <c r="W313" s="11">
        <v>0</v>
      </c>
      <c r="X313" s="11">
        <v>1</v>
      </c>
      <c r="Y313" s="11">
        <v>0</v>
      </c>
      <c r="Z313" s="11"/>
      <c r="AA313" s="11"/>
      <c r="AB313" s="11"/>
    </row>
    <row r="314" spans="1:206" x14ac:dyDescent="0.2">
      <c r="A314" s="11">
        <v>50</v>
      </c>
      <c r="B314" s="11">
        <v>0</v>
      </c>
      <c r="C314" s="11">
        <v>0</v>
      </c>
      <c r="D314" s="11">
        <v>1</v>
      </c>
      <c r="E314" s="11">
        <v>210</v>
      </c>
      <c r="F314" s="11">
        <f>ROUND(Source!X288,O314)</f>
        <v>87425.12</v>
      </c>
      <c r="G314" s="11" t="s">
        <v>109</v>
      </c>
      <c r="H314" s="11" t="s">
        <v>110</v>
      </c>
      <c r="I314" s="11"/>
      <c r="J314" s="11"/>
      <c r="K314" s="11">
        <v>-210</v>
      </c>
      <c r="L314" s="11">
        <v>25</v>
      </c>
      <c r="M314" s="11">
        <v>3</v>
      </c>
      <c r="N314" s="11" t="s">
        <v>3</v>
      </c>
      <c r="O314" s="11">
        <v>2</v>
      </c>
      <c r="P314" s="11"/>
      <c r="Q314" s="11"/>
      <c r="R314" s="11"/>
      <c r="S314" s="11"/>
      <c r="T314" s="11"/>
      <c r="U314" s="11"/>
      <c r="V314" s="11"/>
      <c r="W314" s="11">
        <v>87425.12</v>
      </c>
      <c r="X314" s="11">
        <v>1</v>
      </c>
      <c r="Y314" s="11">
        <v>87425.12</v>
      </c>
      <c r="Z314" s="11"/>
      <c r="AA314" s="11"/>
      <c r="AB314" s="11"/>
    </row>
    <row r="315" spans="1:206" x14ac:dyDescent="0.2">
      <c r="A315" s="11">
        <v>50</v>
      </c>
      <c r="B315" s="11">
        <v>0</v>
      </c>
      <c r="C315" s="11">
        <v>0</v>
      </c>
      <c r="D315" s="11">
        <v>1</v>
      </c>
      <c r="E315" s="11">
        <v>211</v>
      </c>
      <c r="F315" s="11">
        <f>ROUND(Source!Y288,O315)</f>
        <v>44275.45</v>
      </c>
      <c r="G315" s="11" t="s">
        <v>111</v>
      </c>
      <c r="H315" s="11" t="s">
        <v>112</v>
      </c>
      <c r="I315" s="11"/>
      <c r="J315" s="11"/>
      <c r="K315" s="11">
        <v>-211</v>
      </c>
      <c r="L315" s="11">
        <v>26</v>
      </c>
      <c r="M315" s="11">
        <v>3</v>
      </c>
      <c r="N315" s="11" t="s">
        <v>3</v>
      </c>
      <c r="O315" s="11">
        <v>2</v>
      </c>
      <c r="P315" s="11"/>
      <c r="Q315" s="11"/>
      <c r="R315" s="11"/>
      <c r="S315" s="11"/>
      <c r="T315" s="11"/>
      <c r="U315" s="11"/>
      <c r="V315" s="11"/>
      <c r="W315" s="11">
        <v>44275.45</v>
      </c>
      <c r="X315" s="11">
        <v>1</v>
      </c>
      <c r="Y315" s="11">
        <v>44275.45</v>
      </c>
      <c r="Z315" s="11"/>
      <c r="AA315" s="11"/>
      <c r="AB315" s="11"/>
    </row>
    <row r="316" spans="1:206" x14ac:dyDescent="0.2">
      <c r="A316" s="11">
        <v>50</v>
      </c>
      <c r="B316" s="11">
        <v>0</v>
      </c>
      <c r="C316" s="11">
        <v>0</v>
      </c>
      <c r="D316" s="11">
        <v>1</v>
      </c>
      <c r="E316" s="11">
        <v>224</v>
      </c>
      <c r="F316" s="11">
        <f>ROUND(Source!AR288,O316)</f>
        <v>274048.52</v>
      </c>
      <c r="G316" s="11" t="s">
        <v>113</v>
      </c>
      <c r="H316" s="11" t="s">
        <v>114</v>
      </c>
      <c r="I316" s="11"/>
      <c r="J316" s="11"/>
      <c r="K316" s="11">
        <v>-224</v>
      </c>
      <c r="L316" s="11">
        <v>27</v>
      </c>
      <c r="M316" s="11">
        <v>3</v>
      </c>
      <c r="N316" s="11" t="s">
        <v>3</v>
      </c>
      <c r="O316" s="11">
        <v>2</v>
      </c>
      <c r="P316" s="11"/>
      <c r="Q316" s="11"/>
      <c r="R316" s="11"/>
      <c r="S316" s="11"/>
      <c r="T316" s="11"/>
      <c r="U316" s="11"/>
      <c r="V316" s="11"/>
      <c r="W316" s="11">
        <v>274048.52</v>
      </c>
      <c r="X316" s="11">
        <v>1</v>
      </c>
      <c r="Y316" s="11">
        <v>274048.52</v>
      </c>
      <c r="Z316" s="11"/>
      <c r="AA316" s="11"/>
      <c r="AB316" s="11"/>
    </row>
    <row r="318" spans="1:206" x14ac:dyDescent="0.2">
      <c r="A318" s="9">
        <v>51</v>
      </c>
      <c r="B318" s="9">
        <f>B12</f>
        <v>362</v>
      </c>
      <c r="C318" s="9">
        <f>A12</f>
        <v>1</v>
      </c>
      <c r="D318" s="9">
        <f>ROW(A12)</f>
        <v>12</v>
      </c>
      <c r="E318" s="9"/>
      <c r="F318" s="9" t="str">
        <f>IF(F12&lt;&gt;"",F12,"")</f>
        <v>ДО</v>
      </c>
      <c r="G318" s="9" t="str">
        <f>IF(G12&lt;&gt;"",G12,"")</f>
        <v>Текущий ремонт кабинета № 809а замена дверного блока</v>
      </c>
      <c r="H318" s="9">
        <v>0</v>
      </c>
      <c r="I318" s="9"/>
      <c r="J318" s="9"/>
      <c r="K318" s="9"/>
      <c r="L318" s="9"/>
      <c r="M318" s="9"/>
      <c r="N318" s="9"/>
      <c r="O318" s="9">
        <f t="shared" ref="O318:T318" si="187">ROUND(O288,2)</f>
        <v>142347.95000000001</v>
      </c>
      <c r="P318" s="9">
        <f t="shared" si="187"/>
        <v>43171.83</v>
      </c>
      <c r="Q318" s="9">
        <f t="shared" si="187"/>
        <v>5062.99</v>
      </c>
      <c r="R318" s="9">
        <f t="shared" si="187"/>
        <v>634.97</v>
      </c>
      <c r="S318" s="9">
        <f t="shared" si="187"/>
        <v>94113.13</v>
      </c>
      <c r="T318" s="9">
        <f t="shared" si="187"/>
        <v>0</v>
      </c>
      <c r="U318" s="9">
        <f>U288</f>
        <v>144.22983390000002</v>
      </c>
      <c r="V318" s="9">
        <f>V288</f>
        <v>0</v>
      </c>
      <c r="W318" s="9">
        <f>ROUND(W288,2)</f>
        <v>0</v>
      </c>
      <c r="X318" s="9">
        <f>ROUND(X288,2)</f>
        <v>87425.12</v>
      </c>
      <c r="Y318" s="9">
        <f>ROUND(Y288,2)</f>
        <v>44275.45</v>
      </c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>
        <f t="shared" ref="AO318:BD318" si="188">ROUND(AO288,2)</f>
        <v>0</v>
      </c>
      <c r="AP318" s="9">
        <f t="shared" si="188"/>
        <v>0</v>
      </c>
      <c r="AQ318" s="9">
        <f t="shared" si="188"/>
        <v>0</v>
      </c>
      <c r="AR318" s="9">
        <f t="shared" si="188"/>
        <v>274048.52</v>
      </c>
      <c r="AS318" s="9">
        <f t="shared" si="188"/>
        <v>270036.49</v>
      </c>
      <c r="AT318" s="9">
        <f t="shared" si="188"/>
        <v>0</v>
      </c>
      <c r="AU318" s="9">
        <f t="shared" si="188"/>
        <v>4012.03</v>
      </c>
      <c r="AV318" s="9">
        <f t="shared" si="188"/>
        <v>43171.83</v>
      </c>
      <c r="AW318" s="9">
        <f t="shared" si="188"/>
        <v>43171.83</v>
      </c>
      <c r="AX318" s="9">
        <f t="shared" si="188"/>
        <v>0</v>
      </c>
      <c r="AY318" s="9">
        <f t="shared" si="188"/>
        <v>43171.83</v>
      </c>
      <c r="AZ318" s="9">
        <f t="shared" si="188"/>
        <v>0</v>
      </c>
      <c r="BA318" s="9">
        <f t="shared" si="188"/>
        <v>0</v>
      </c>
      <c r="BB318" s="9">
        <f t="shared" si="188"/>
        <v>0</v>
      </c>
      <c r="BC318" s="9">
        <f t="shared" si="188"/>
        <v>0</v>
      </c>
      <c r="BD318" s="9">
        <f t="shared" si="188"/>
        <v>0</v>
      </c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  <c r="EY318" s="10"/>
      <c r="EZ318" s="10"/>
      <c r="FA318" s="10"/>
      <c r="FB318" s="10"/>
      <c r="FC318" s="10"/>
      <c r="FD318" s="10"/>
      <c r="FE318" s="10"/>
      <c r="FF318" s="10"/>
      <c r="FG318" s="10"/>
      <c r="FH318" s="10"/>
      <c r="FI318" s="10"/>
      <c r="FJ318" s="10"/>
      <c r="FK318" s="10"/>
      <c r="FL318" s="10"/>
      <c r="FM318" s="10"/>
      <c r="FN318" s="10"/>
      <c r="FO318" s="10"/>
      <c r="FP318" s="10"/>
      <c r="FQ318" s="10"/>
      <c r="FR318" s="10"/>
      <c r="FS318" s="10"/>
      <c r="FT318" s="10"/>
      <c r="FU318" s="10"/>
      <c r="FV318" s="10"/>
      <c r="FW318" s="10"/>
      <c r="FX318" s="10"/>
      <c r="FY318" s="10"/>
      <c r="FZ318" s="10"/>
      <c r="GA318" s="10"/>
      <c r="GB318" s="10"/>
      <c r="GC318" s="10"/>
      <c r="GD318" s="10"/>
      <c r="GE318" s="10"/>
      <c r="GF318" s="10"/>
      <c r="GG318" s="10"/>
      <c r="GH318" s="10"/>
      <c r="GI318" s="10"/>
      <c r="GJ318" s="10"/>
      <c r="GK318" s="10"/>
      <c r="GL318" s="10"/>
      <c r="GM318" s="10"/>
      <c r="GN318" s="10"/>
      <c r="GO318" s="10"/>
      <c r="GP318" s="10"/>
      <c r="GQ318" s="10"/>
      <c r="GR318" s="10"/>
      <c r="GS318" s="10"/>
      <c r="GT318" s="10"/>
      <c r="GU318" s="10"/>
      <c r="GV318" s="10"/>
      <c r="GW318" s="10"/>
      <c r="GX318" s="10">
        <v>0</v>
      </c>
    </row>
    <row r="320" spans="1:206" x14ac:dyDescent="0.2">
      <c r="A320" s="11">
        <v>50</v>
      </c>
      <c r="B320" s="11">
        <v>0</v>
      </c>
      <c r="C320" s="11">
        <v>0</v>
      </c>
      <c r="D320" s="11">
        <v>1</v>
      </c>
      <c r="E320" s="11">
        <v>201</v>
      </c>
      <c r="F320" s="11">
        <f>ROUND(Source!O318,O320)</f>
        <v>142347.95000000001</v>
      </c>
      <c r="G320" s="11" t="s">
        <v>61</v>
      </c>
      <c r="H320" s="11" t="s">
        <v>62</v>
      </c>
      <c r="I320" s="11"/>
      <c r="J320" s="11"/>
      <c r="K320" s="11">
        <v>201</v>
      </c>
      <c r="L320" s="11">
        <v>1</v>
      </c>
      <c r="M320" s="11">
        <v>3</v>
      </c>
      <c r="N320" s="11" t="s">
        <v>3</v>
      </c>
      <c r="O320" s="11">
        <v>2</v>
      </c>
      <c r="P320" s="11"/>
      <c r="Q320" s="11"/>
      <c r="R320" s="11"/>
      <c r="S320" s="11"/>
      <c r="T320" s="11"/>
      <c r="U320" s="11"/>
      <c r="V320" s="11"/>
      <c r="W320" s="11">
        <v>142347.95000000001</v>
      </c>
      <c r="X320" s="11">
        <v>1</v>
      </c>
      <c r="Y320" s="11">
        <v>142347.95000000001</v>
      </c>
      <c r="Z320" s="11"/>
      <c r="AA320" s="11"/>
      <c r="AB320" s="11"/>
    </row>
    <row r="321" spans="1:28" x14ac:dyDescent="0.2">
      <c r="A321" s="11">
        <v>50</v>
      </c>
      <c r="B321" s="11">
        <v>0</v>
      </c>
      <c r="C321" s="11">
        <v>0</v>
      </c>
      <c r="D321" s="11">
        <v>1</v>
      </c>
      <c r="E321" s="11">
        <v>202</v>
      </c>
      <c r="F321" s="11">
        <f>ROUND(Source!P318,O321)</f>
        <v>43171.83</v>
      </c>
      <c r="G321" s="11" t="s">
        <v>63</v>
      </c>
      <c r="H321" s="11" t="s">
        <v>64</v>
      </c>
      <c r="I321" s="11"/>
      <c r="J321" s="11"/>
      <c r="K321" s="11">
        <v>202</v>
      </c>
      <c r="L321" s="11">
        <v>2</v>
      </c>
      <c r="M321" s="11">
        <v>3</v>
      </c>
      <c r="N321" s="11" t="s">
        <v>3</v>
      </c>
      <c r="O321" s="11">
        <v>2</v>
      </c>
      <c r="P321" s="11"/>
      <c r="Q321" s="11"/>
      <c r="R321" s="11"/>
      <c r="S321" s="11"/>
      <c r="T321" s="11"/>
      <c r="U321" s="11"/>
      <c r="V321" s="11"/>
      <c r="W321" s="11">
        <v>43171.83</v>
      </c>
      <c r="X321" s="11">
        <v>1</v>
      </c>
      <c r="Y321" s="11">
        <v>43171.83</v>
      </c>
      <c r="Z321" s="11"/>
      <c r="AA321" s="11"/>
      <c r="AB321" s="11"/>
    </row>
    <row r="322" spans="1:28" x14ac:dyDescent="0.2">
      <c r="A322" s="11">
        <v>50</v>
      </c>
      <c r="B322" s="11">
        <v>0</v>
      </c>
      <c r="C322" s="11">
        <v>0</v>
      </c>
      <c r="D322" s="11">
        <v>1</v>
      </c>
      <c r="E322" s="11">
        <v>222</v>
      </c>
      <c r="F322" s="11">
        <f>ROUND(Source!AO318,O322)</f>
        <v>0</v>
      </c>
      <c r="G322" s="11" t="s">
        <v>65</v>
      </c>
      <c r="H322" s="11" t="s">
        <v>66</v>
      </c>
      <c r="I322" s="11"/>
      <c r="J322" s="11"/>
      <c r="K322" s="11">
        <v>222</v>
      </c>
      <c r="L322" s="11">
        <v>3</v>
      </c>
      <c r="M322" s="11">
        <v>3</v>
      </c>
      <c r="N322" s="11" t="s">
        <v>3</v>
      </c>
      <c r="O322" s="11">
        <v>2</v>
      </c>
      <c r="P322" s="11"/>
      <c r="Q322" s="11"/>
      <c r="R322" s="11"/>
      <c r="S322" s="11"/>
      <c r="T322" s="11"/>
      <c r="U322" s="11"/>
      <c r="V322" s="11"/>
      <c r="W322" s="11">
        <v>0</v>
      </c>
      <c r="X322" s="11">
        <v>1</v>
      </c>
      <c r="Y322" s="11">
        <v>0</v>
      </c>
      <c r="Z322" s="11"/>
      <c r="AA322" s="11"/>
      <c r="AB322" s="11"/>
    </row>
    <row r="323" spans="1:28" x14ac:dyDescent="0.2">
      <c r="A323" s="11">
        <v>50</v>
      </c>
      <c r="B323" s="11">
        <v>0</v>
      </c>
      <c r="C323" s="11">
        <v>0</v>
      </c>
      <c r="D323" s="11">
        <v>1</v>
      </c>
      <c r="E323" s="11">
        <v>225</v>
      </c>
      <c r="F323" s="11">
        <f>ROUND(Source!AV318,O323)</f>
        <v>43171.83</v>
      </c>
      <c r="G323" s="11" t="s">
        <v>67</v>
      </c>
      <c r="H323" s="11" t="s">
        <v>68</v>
      </c>
      <c r="I323" s="11"/>
      <c r="J323" s="11"/>
      <c r="K323" s="11">
        <v>225</v>
      </c>
      <c r="L323" s="11">
        <v>4</v>
      </c>
      <c r="M323" s="11">
        <v>3</v>
      </c>
      <c r="N323" s="11" t="s">
        <v>3</v>
      </c>
      <c r="O323" s="11">
        <v>2</v>
      </c>
      <c r="P323" s="11"/>
      <c r="Q323" s="11"/>
      <c r="R323" s="11"/>
      <c r="S323" s="11"/>
      <c r="T323" s="11"/>
      <c r="U323" s="11"/>
      <c r="V323" s="11"/>
      <c r="W323" s="11">
        <v>43171.83</v>
      </c>
      <c r="X323" s="11">
        <v>1</v>
      </c>
      <c r="Y323" s="11">
        <v>43171.83</v>
      </c>
      <c r="Z323" s="11"/>
      <c r="AA323" s="11"/>
      <c r="AB323" s="11"/>
    </row>
    <row r="324" spans="1:28" x14ac:dyDescent="0.2">
      <c r="A324" s="11">
        <v>50</v>
      </c>
      <c r="B324" s="11">
        <v>0</v>
      </c>
      <c r="C324" s="11">
        <v>0</v>
      </c>
      <c r="D324" s="11">
        <v>1</v>
      </c>
      <c r="E324" s="11">
        <v>226</v>
      </c>
      <c r="F324" s="11">
        <f>ROUND(Source!AW318,O324)</f>
        <v>43171.83</v>
      </c>
      <c r="G324" s="11" t="s">
        <v>69</v>
      </c>
      <c r="H324" s="11" t="s">
        <v>70</v>
      </c>
      <c r="I324" s="11"/>
      <c r="J324" s="11"/>
      <c r="K324" s="11">
        <v>226</v>
      </c>
      <c r="L324" s="11">
        <v>5</v>
      </c>
      <c r="M324" s="11">
        <v>3</v>
      </c>
      <c r="N324" s="11" t="s">
        <v>3</v>
      </c>
      <c r="O324" s="11">
        <v>2</v>
      </c>
      <c r="P324" s="11"/>
      <c r="Q324" s="11"/>
      <c r="R324" s="11"/>
      <c r="S324" s="11"/>
      <c r="T324" s="11"/>
      <c r="U324" s="11"/>
      <c r="V324" s="11"/>
      <c r="W324" s="11">
        <v>43171.83</v>
      </c>
      <c r="X324" s="11">
        <v>1</v>
      </c>
      <c r="Y324" s="11">
        <v>43171.83</v>
      </c>
      <c r="Z324" s="11"/>
      <c r="AA324" s="11"/>
      <c r="AB324" s="11"/>
    </row>
    <row r="325" spans="1:28" x14ac:dyDescent="0.2">
      <c r="A325" s="11">
        <v>50</v>
      </c>
      <c r="B325" s="11">
        <v>0</v>
      </c>
      <c r="C325" s="11">
        <v>0</v>
      </c>
      <c r="D325" s="11">
        <v>1</v>
      </c>
      <c r="E325" s="11">
        <v>227</v>
      </c>
      <c r="F325" s="11">
        <f>ROUND(Source!AX318,O325)</f>
        <v>0</v>
      </c>
      <c r="G325" s="11" t="s">
        <v>71</v>
      </c>
      <c r="H325" s="11" t="s">
        <v>72</v>
      </c>
      <c r="I325" s="11"/>
      <c r="J325" s="11"/>
      <c r="K325" s="11">
        <v>227</v>
      </c>
      <c r="L325" s="11">
        <v>6</v>
      </c>
      <c r="M325" s="11">
        <v>3</v>
      </c>
      <c r="N325" s="11" t="s">
        <v>3</v>
      </c>
      <c r="O325" s="11">
        <v>2</v>
      </c>
      <c r="P325" s="11"/>
      <c r="Q325" s="11"/>
      <c r="R325" s="11"/>
      <c r="S325" s="11"/>
      <c r="T325" s="11"/>
      <c r="U325" s="11"/>
      <c r="V325" s="11"/>
      <c r="W325" s="11">
        <v>0</v>
      </c>
      <c r="X325" s="11">
        <v>1</v>
      </c>
      <c r="Y325" s="11">
        <v>0</v>
      </c>
      <c r="Z325" s="11"/>
      <c r="AA325" s="11"/>
      <c r="AB325" s="11"/>
    </row>
    <row r="326" spans="1:28" x14ac:dyDescent="0.2">
      <c r="A326" s="11">
        <v>50</v>
      </c>
      <c r="B326" s="11">
        <v>0</v>
      </c>
      <c r="C326" s="11">
        <v>0</v>
      </c>
      <c r="D326" s="11">
        <v>1</v>
      </c>
      <c r="E326" s="11">
        <v>228</v>
      </c>
      <c r="F326" s="11">
        <f>ROUND(Source!AY318,O326)</f>
        <v>43171.83</v>
      </c>
      <c r="G326" s="11" t="s">
        <v>73</v>
      </c>
      <c r="H326" s="11" t="s">
        <v>74</v>
      </c>
      <c r="I326" s="11"/>
      <c r="J326" s="11"/>
      <c r="K326" s="11">
        <v>228</v>
      </c>
      <c r="L326" s="11">
        <v>7</v>
      </c>
      <c r="M326" s="11">
        <v>3</v>
      </c>
      <c r="N326" s="11" t="s">
        <v>3</v>
      </c>
      <c r="O326" s="11">
        <v>2</v>
      </c>
      <c r="P326" s="11"/>
      <c r="Q326" s="11"/>
      <c r="R326" s="11"/>
      <c r="S326" s="11"/>
      <c r="T326" s="11"/>
      <c r="U326" s="11"/>
      <c r="V326" s="11"/>
      <c r="W326" s="11">
        <v>43171.83</v>
      </c>
      <c r="X326" s="11">
        <v>1</v>
      </c>
      <c r="Y326" s="11">
        <v>43171.83</v>
      </c>
      <c r="Z326" s="11"/>
      <c r="AA326" s="11"/>
      <c r="AB326" s="11"/>
    </row>
    <row r="327" spans="1:28" x14ac:dyDescent="0.2">
      <c r="A327" s="11">
        <v>50</v>
      </c>
      <c r="B327" s="11">
        <v>0</v>
      </c>
      <c r="C327" s="11">
        <v>0</v>
      </c>
      <c r="D327" s="11">
        <v>1</v>
      </c>
      <c r="E327" s="11">
        <v>216</v>
      </c>
      <c r="F327" s="11">
        <f>ROUND(Source!AP318,O327)</f>
        <v>0</v>
      </c>
      <c r="G327" s="11" t="s">
        <v>75</v>
      </c>
      <c r="H327" s="11" t="s">
        <v>76</v>
      </c>
      <c r="I327" s="11"/>
      <c r="J327" s="11"/>
      <c r="K327" s="11">
        <v>216</v>
      </c>
      <c r="L327" s="11">
        <v>8</v>
      </c>
      <c r="M327" s="11">
        <v>3</v>
      </c>
      <c r="N327" s="11" t="s">
        <v>3</v>
      </c>
      <c r="O327" s="11">
        <v>2</v>
      </c>
      <c r="P327" s="11"/>
      <c r="Q327" s="11"/>
      <c r="R327" s="11"/>
      <c r="S327" s="11"/>
      <c r="T327" s="11"/>
      <c r="U327" s="11"/>
      <c r="V327" s="11"/>
      <c r="W327" s="11">
        <v>0</v>
      </c>
      <c r="X327" s="11">
        <v>1</v>
      </c>
      <c r="Y327" s="11">
        <v>0</v>
      </c>
      <c r="Z327" s="11"/>
      <c r="AA327" s="11"/>
      <c r="AB327" s="11"/>
    </row>
    <row r="328" spans="1:28" x14ac:dyDescent="0.2">
      <c r="A328" s="11">
        <v>50</v>
      </c>
      <c r="B328" s="11">
        <v>0</v>
      </c>
      <c r="C328" s="11">
        <v>0</v>
      </c>
      <c r="D328" s="11">
        <v>1</v>
      </c>
      <c r="E328" s="11">
        <v>223</v>
      </c>
      <c r="F328" s="11">
        <f>ROUND(Source!AQ318,O328)</f>
        <v>0</v>
      </c>
      <c r="G328" s="11" t="s">
        <v>77</v>
      </c>
      <c r="H328" s="11" t="s">
        <v>78</v>
      </c>
      <c r="I328" s="11"/>
      <c r="J328" s="11"/>
      <c r="K328" s="11">
        <v>223</v>
      </c>
      <c r="L328" s="11">
        <v>9</v>
      </c>
      <c r="M328" s="11">
        <v>3</v>
      </c>
      <c r="N328" s="11" t="s">
        <v>3</v>
      </c>
      <c r="O328" s="11">
        <v>2</v>
      </c>
      <c r="P328" s="11"/>
      <c r="Q328" s="11"/>
      <c r="R328" s="11"/>
      <c r="S328" s="11"/>
      <c r="T328" s="11"/>
      <c r="U328" s="11"/>
      <c r="V328" s="11"/>
      <c r="W328" s="11">
        <v>0</v>
      </c>
      <c r="X328" s="11">
        <v>1</v>
      </c>
      <c r="Y328" s="11">
        <v>0</v>
      </c>
      <c r="Z328" s="11"/>
      <c r="AA328" s="11"/>
      <c r="AB328" s="11"/>
    </row>
    <row r="329" spans="1:28" x14ac:dyDescent="0.2">
      <c r="A329" s="11">
        <v>50</v>
      </c>
      <c r="B329" s="11">
        <v>0</v>
      </c>
      <c r="C329" s="11">
        <v>0</v>
      </c>
      <c r="D329" s="11">
        <v>1</v>
      </c>
      <c r="E329" s="11">
        <v>229</v>
      </c>
      <c r="F329" s="11">
        <f>ROUND(Source!AZ318,O329)</f>
        <v>0</v>
      </c>
      <c r="G329" s="11" t="s">
        <v>79</v>
      </c>
      <c r="H329" s="11" t="s">
        <v>80</v>
      </c>
      <c r="I329" s="11"/>
      <c r="J329" s="11"/>
      <c r="K329" s="11">
        <v>229</v>
      </c>
      <c r="L329" s="11">
        <v>10</v>
      </c>
      <c r="M329" s="11">
        <v>3</v>
      </c>
      <c r="N329" s="11" t="s">
        <v>3</v>
      </c>
      <c r="O329" s="11">
        <v>2</v>
      </c>
      <c r="P329" s="11"/>
      <c r="Q329" s="11"/>
      <c r="R329" s="11"/>
      <c r="S329" s="11"/>
      <c r="T329" s="11"/>
      <c r="U329" s="11"/>
      <c r="V329" s="11"/>
      <c r="W329" s="11">
        <v>0</v>
      </c>
      <c r="X329" s="11">
        <v>1</v>
      </c>
      <c r="Y329" s="11">
        <v>0</v>
      </c>
      <c r="Z329" s="11"/>
      <c r="AA329" s="11"/>
      <c r="AB329" s="11"/>
    </row>
    <row r="330" spans="1:28" x14ac:dyDescent="0.2">
      <c r="A330" s="11">
        <v>50</v>
      </c>
      <c r="B330" s="11">
        <v>0</v>
      </c>
      <c r="C330" s="11">
        <v>0</v>
      </c>
      <c r="D330" s="11">
        <v>1</v>
      </c>
      <c r="E330" s="11">
        <v>203</v>
      </c>
      <c r="F330" s="11">
        <f>ROUND(Source!Q318,O330)</f>
        <v>5062.99</v>
      </c>
      <c r="G330" s="11" t="s">
        <v>81</v>
      </c>
      <c r="H330" s="11" t="s">
        <v>82</v>
      </c>
      <c r="I330" s="11"/>
      <c r="J330" s="11"/>
      <c r="K330" s="11">
        <v>203</v>
      </c>
      <c r="L330" s="11">
        <v>11</v>
      </c>
      <c r="M330" s="11">
        <v>3</v>
      </c>
      <c r="N330" s="11" t="s">
        <v>3</v>
      </c>
      <c r="O330" s="11">
        <v>2</v>
      </c>
      <c r="P330" s="11"/>
      <c r="Q330" s="11"/>
      <c r="R330" s="11"/>
      <c r="S330" s="11"/>
      <c r="T330" s="11"/>
      <c r="U330" s="11"/>
      <c r="V330" s="11"/>
      <c r="W330" s="11">
        <v>5062.99</v>
      </c>
      <c r="X330" s="11">
        <v>1</v>
      </c>
      <c r="Y330" s="11">
        <v>5062.99</v>
      </c>
      <c r="Z330" s="11"/>
      <c r="AA330" s="11"/>
      <c r="AB330" s="11"/>
    </row>
    <row r="331" spans="1:28" x14ac:dyDescent="0.2">
      <c r="A331" s="11">
        <v>50</v>
      </c>
      <c r="B331" s="11">
        <v>0</v>
      </c>
      <c r="C331" s="11">
        <v>0</v>
      </c>
      <c r="D331" s="11">
        <v>1</v>
      </c>
      <c r="E331" s="11">
        <v>231</v>
      </c>
      <c r="F331" s="11">
        <f>ROUND(Source!BB318,O331)</f>
        <v>0</v>
      </c>
      <c r="G331" s="11" t="s">
        <v>83</v>
      </c>
      <c r="H331" s="11" t="s">
        <v>84</v>
      </c>
      <c r="I331" s="11"/>
      <c r="J331" s="11"/>
      <c r="K331" s="11">
        <v>231</v>
      </c>
      <c r="L331" s="11">
        <v>12</v>
      </c>
      <c r="M331" s="11">
        <v>3</v>
      </c>
      <c r="N331" s="11" t="s">
        <v>3</v>
      </c>
      <c r="O331" s="11">
        <v>2</v>
      </c>
      <c r="P331" s="11"/>
      <c r="Q331" s="11"/>
      <c r="R331" s="11"/>
      <c r="S331" s="11"/>
      <c r="T331" s="11"/>
      <c r="U331" s="11"/>
      <c r="V331" s="11"/>
      <c r="W331" s="11">
        <v>0</v>
      </c>
      <c r="X331" s="11">
        <v>1</v>
      </c>
      <c r="Y331" s="11">
        <v>0</v>
      </c>
      <c r="Z331" s="11"/>
      <c r="AA331" s="11"/>
      <c r="AB331" s="11"/>
    </row>
    <row r="332" spans="1:28" x14ac:dyDescent="0.2">
      <c r="A332" s="11">
        <v>50</v>
      </c>
      <c r="B332" s="11">
        <v>0</v>
      </c>
      <c r="C332" s="11">
        <v>0</v>
      </c>
      <c r="D332" s="11">
        <v>1</v>
      </c>
      <c r="E332" s="11">
        <v>204</v>
      </c>
      <c r="F332" s="11">
        <f>ROUND(Source!R318,O332)</f>
        <v>634.97</v>
      </c>
      <c r="G332" s="11" t="s">
        <v>85</v>
      </c>
      <c r="H332" s="11" t="s">
        <v>86</v>
      </c>
      <c r="I332" s="11"/>
      <c r="J332" s="11"/>
      <c r="K332" s="11">
        <v>204</v>
      </c>
      <c r="L332" s="11">
        <v>13</v>
      </c>
      <c r="M332" s="11">
        <v>3</v>
      </c>
      <c r="N332" s="11" t="s">
        <v>3</v>
      </c>
      <c r="O332" s="11">
        <v>2</v>
      </c>
      <c r="P332" s="11"/>
      <c r="Q332" s="11"/>
      <c r="R332" s="11"/>
      <c r="S332" s="11"/>
      <c r="T332" s="11"/>
      <c r="U332" s="11"/>
      <c r="V332" s="11"/>
      <c r="W332" s="11">
        <v>634.97</v>
      </c>
      <c r="X332" s="11">
        <v>1</v>
      </c>
      <c r="Y332" s="11">
        <v>634.97</v>
      </c>
      <c r="Z332" s="11"/>
      <c r="AA332" s="11"/>
      <c r="AB332" s="11"/>
    </row>
    <row r="333" spans="1:28" x14ac:dyDescent="0.2">
      <c r="A333" s="11">
        <v>50</v>
      </c>
      <c r="B333" s="11">
        <v>0</v>
      </c>
      <c r="C333" s="11">
        <v>0</v>
      </c>
      <c r="D333" s="11">
        <v>1</v>
      </c>
      <c r="E333" s="11">
        <v>205</v>
      </c>
      <c r="F333" s="11">
        <f>ROUND(Source!S318,O333)</f>
        <v>94113.13</v>
      </c>
      <c r="G333" s="11" t="s">
        <v>87</v>
      </c>
      <c r="H333" s="11" t="s">
        <v>88</v>
      </c>
      <c r="I333" s="11"/>
      <c r="J333" s="11"/>
      <c r="K333" s="11">
        <v>205</v>
      </c>
      <c r="L333" s="11">
        <v>14</v>
      </c>
      <c r="M333" s="11">
        <v>3</v>
      </c>
      <c r="N333" s="11" t="s">
        <v>3</v>
      </c>
      <c r="O333" s="11">
        <v>2</v>
      </c>
      <c r="P333" s="11"/>
      <c r="Q333" s="11"/>
      <c r="R333" s="11"/>
      <c r="S333" s="11"/>
      <c r="T333" s="11"/>
      <c r="U333" s="11"/>
      <c r="V333" s="11"/>
      <c r="W333" s="11">
        <v>94113.13</v>
      </c>
      <c r="X333" s="11">
        <v>1</v>
      </c>
      <c r="Y333" s="11">
        <v>94113.13</v>
      </c>
      <c r="Z333" s="11"/>
      <c r="AA333" s="11"/>
      <c r="AB333" s="11"/>
    </row>
    <row r="334" spans="1:28" x14ac:dyDescent="0.2">
      <c r="A334" s="11">
        <v>50</v>
      </c>
      <c r="B334" s="11">
        <v>0</v>
      </c>
      <c r="C334" s="11">
        <v>0</v>
      </c>
      <c r="D334" s="11">
        <v>1</v>
      </c>
      <c r="E334" s="11">
        <v>232</v>
      </c>
      <c r="F334" s="11">
        <f>ROUND(Source!BC318,O334)</f>
        <v>0</v>
      </c>
      <c r="G334" s="11" t="s">
        <v>89</v>
      </c>
      <c r="H334" s="11" t="s">
        <v>90</v>
      </c>
      <c r="I334" s="11"/>
      <c r="J334" s="11"/>
      <c r="K334" s="11">
        <v>232</v>
      </c>
      <c r="L334" s="11">
        <v>15</v>
      </c>
      <c r="M334" s="11">
        <v>3</v>
      </c>
      <c r="N334" s="11" t="s">
        <v>3</v>
      </c>
      <c r="O334" s="11">
        <v>2</v>
      </c>
      <c r="P334" s="11"/>
      <c r="Q334" s="11"/>
      <c r="R334" s="11"/>
      <c r="S334" s="11"/>
      <c r="T334" s="11"/>
      <c r="U334" s="11"/>
      <c r="V334" s="11"/>
      <c r="W334" s="11">
        <v>0</v>
      </c>
      <c r="X334" s="11">
        <v>1</v>
      </c>
      <c r="Y334" s="11">
        <v>0</v>
      </c>
      <c r="Z334" s="11"/>
      <c r="AA334" s="11"/>
      <c r="AB334" s="11"/>
    </row>
    <row r="335" spans="1:28" x14ac:dyDescent="0.2">
      <c r="A335" s="11">
        <v>50</v>
      </c>
      <c r="B335" s="11">
        <v>0</v>
      </c>
      <c r="C335" s="11">
        <v>0</v>
      </c>
      <c r="D335" s="11">
        <v>1</v>
      </c>
      <c r="E335" s="11">
        <v>214</v>
      </c>
      <c r="F335" s="11">
        <f>ROUND(Source!AS318,O335)</f>
        <v>270036.49</v>
      </c>
      <c r="G335" s="11" t="s">
        <v>91</v>
      </c>
      <c r="H335" s="11" t="s">
        <v>92</v>
      </c>
      <c r="I335" s="11"/>
      <c r="J335" s="11"/>
      <c r="K335" s="11">
        <v>214</v>
      </c>
      <c r="L335" s="11">
        <v>16</v>
      </c>
      <c r="M335" s="11">
        <v>3</v>
      </c>
      <c r="N335" s="11" t="s">
        <v>3</v>
      </c>
      <c r="O335" s="11">
        <v>2</v>
      </c>
      <c r="P335" s="11"/>
      <c r="Q335" s="11"/>
      <c r="R335" s="11"/>
      <c r="S335" s="11"/>
      <c r="T335" s="11"/>
      <c r="U335" s="11"/>
      <c r="V335" s="11"/>
      <c r="W335" s="11">
        <v>270036.49</v>
      </c>
      <c r="X335" s="11">
        <v>1</v>
      </c>
      <c r="Y335" s="11">
        <v>270036.49</v>
      </c>
      <c r="Z335" s="11"/>
      <c r="AA335" s="11"/>
      <c r="AB335" s="11"/>
    </row>
    <row r="336" spans="1:28" x14ac:dyDescent="0.2">
      <c r="A336" s="11">
        <v>50</v>
      </c>
      <c r="B336" s="11">
        <v>0</v>
      </c>
      <c r="C336" s="11">
        <v>0</v>
      </c>
      <c r="D336" s="11">
        <v>1</v>
      </c>
      <c r="E336" s="11">
        <v>215</v>
      </c>
      <c r="F336" s="11">
        <f>ROUND(Source!AT318,O336)</f>
        <v>0</v>
      </c>
      <c r="G336" s="11" t="s">
        <v>93</v>
      </c>
      <c r="H336" s="11" t="s">
        <v>94</v>
      </c>
      <c r="I336" s="11"/>
      <c r="J336" s="11"/>
      <c r="K336" s="11">
        <v>215</v>
      </c>
      <c r="L336" s="11">
        <v>17</v>
      </c>
      <c r="M336" s="11">
        <v>3</v>
      </c>
      <c r="N336" s="11" t="s">
        <v>3</v>
      </c>
      <c r="O336" s="11">
        <v>2</v>
      </c>
      <c r="P336" s="11"/>
      <c r="Q336" s="11"/>
      <c r="R336" s="11"/>
      <c r="S336" s="11"/>
      <c r="T336" s="11"/>
      <c r="U336" s="11"/>
      <c r="V336" s="11"/>
      <c r="W336" s="11">
        <v>0</v>
      </c>
      <c r="X336" s="11">
        <v>1</v>
      </c>
      <c r="Y336" s="11">
        <v>0</v>
      </c>
      <c r="Z336" s="11"/>
      <c r="AA336" s="11"/>
      <c r="AB336" s="11"/>
    </row>
    <row r="337" spans="1:28" x14ac:dyDescent="0.2">
      <c r="A337" s="11">
        <v>50</v>
      </c>
      <c r="B337" s="11">
        <v>0</v>
      </c>
      <c r="C337" s="11">
        <v>0</v>
      </c>
      <c r="D337" s="11">
        <v>1</v>
      </c>
      <c r="E337" s="11">
        <v>217</v>
      </c>
      <c r="F337" s="11">
        <f>ROUND(Source!AU318,O337)</f>
        <v>4012.03</v>
      </c>
      <c r="G337" s="11" t="s">
        <v>95</v>
      </c>
      <c r="H337" s="11" t="s">
        <v>96</v>
      </c>
      <c r="I337" s="11"/>
      <c r="J337" s="11"/>
      <c r="K337" s="11">
        <v>217</v>
      </c>
      <c r="L337" s="11">
        <v>18</v>
      </c>
      <c r="M337" s="11">
        <v>3</v>
      </c>
      <c r="N337" s="11" t="s">
        <v>3</v>
      </c>
      <c r="O337" s="11">
        <v>2</v>
      </c>
      <c r="P337" s="11"/>
      <c r="Q337" s="11"/>
      <c r="R337" s="11"/>
      <c r="S337" s="11"/>
      <c r="T337" s="11"/>
      <c r="U337" s="11"/>
      <c r="V337" s="11"/>
      <c r="W337" s="11">
        <v>4012.03</v>
      </c>
      <c r="X337" s="11">
        <v>1</v>
      </c>
      <c r="Y337" s="11">
        <v>4012.03</v>
      </c>
      <c r="Z337" s="11"/>
      <c r="AA337" s="11"/>
      <c r="AB337" s="11"/>
    </row>
    <row r="338" spans="1:28" x14ac:dyDescent="0.2">
      <c r="A338" s="11">
        <v>50</v>
      </c>
      <c r="B338" s="11">
        <v>0</v>
      </c>
      <c r="C338" s="11">
        <v>0</v>
      </c>
      <c r="D338" s="11">
        <v>1</v>
      </c>
      <c r="E338" s="11">
        <v>230</v>
      </c>
      <c r="F338" s="11">
        <f>ROUND(Source!BA318,O338)</f>
        <v>0</v>
      </c>
      <c r="G338" s="11" t="s">
        <v>97</v>
      </c>
      <c r="H338" s="11" t="s">
        <v>98</v>
      </c>
      <c r="I338" s="11"/>
      <c r="J338" s="11"/>
      <c r="K338" s="11">
        <v>230</v>
      </c>
      <c r="L338" s="11">
        <v>19</v>
      </c>
      <c r="M338" s="11">
        <v>3</v>
      </c>
      <c r="N338" s="11" t="s">
        <v>3</v>
      </c>
      <c r="O338" s="11">
        <v>2</v>
      </c>
      <c r="P338" s="11"/>
      <c r="Q338" s="11"/>
      <c r="R338" s="11"/>
      <c r="S338" s="11"/>
      <c r="T338" s="11"/>
      <c r="U338" s="11"/>
      <c r="V338" s="11"/>
      <c r="W338" s="11">
        <v>0</v>
      </c>
      <c r="X338" s="11">
        <v>1</v>
      </c>
      <c r="Y338" s="11">
        <v>0</v>
      </c>
      <c r="Z338" s="11"/>
      <c r="AA338" s="11"/>
      <c r="AB338" s="11"/>
    </row>
    <row r="339" spans="1:28" x14ac:dyDescent="0.2">
      <c r="A339" s="11">
        <v>50</v>
      </c>
      <c r="B339" s="11">
        <v>0</v>
      </c>
      <c r="C339" s="11">
        <v>0</v>
      </c>
      <c r="D339" s="11">
        <v>1</v>
      </c>
      <c r="E339" s="11">
        <v>206</v>
      </c>
      <c r="F339" s="11">
        <f>ROUND(Source!T318,O339)</f>
        <v>0</v>
      </c>
      <c r="G339" s="11" t="s">
        <v>99</v>
      </c>
      <c r="H339" s="11" t="s">
        <v>100</v>
      </c>
      <c r="I339" s="11"/>
      <c r="J339" s="11"/>
      <c r="K339" s="11">
        <v>206</v>
      </c>
      <c r="L339" s="11">
        <v>20</v>
      </c>
      <c r="M339" s="11">
        <v>3</v>
      </c>
      <c r="N339" s="11" t="s">
        <v>3</v>
      </c>
      <c r="O339" s="11">
        <v>2</v>
      </c>
      <c r="P339" s="11"/>
      <c r="Q339" s="11"/>
      <c r="R339" s="11"/>
      <c r="S339" s="11"/>
      <c r="T339" s="11"/>
      <c r="U339" s="11"/>
      <c r="V339" s="11"/>
      <c r="W339" s="11">
        <v>0</v>
      </c>
      <c r="X339" s="11">
        <v>1</v>
      </c>
      <c r="Y339" s="11">
        <v>0</v>
      </c>
      <c r="Z339" s="11"/>
      <c r="AA339" s="11"/>
      <c r="AB339" s="11"/>
    </row>
    <row r="340" spans="1:28" x14ac:dyDescent="0.2">
      <c r="A340" s="11">
        <v>50</v>
      </c>
      <c r="B340" s="11">
        <v>0</v>
      </c>
      <c r="C340" s="11">
        <v>0</v>
      </c>
      <c r="D340" s="11">
        <v>1</v>
      </c>
      <c r="E340" s="11">
        <v>207</v>
      </c>
      <c r="F340" s="11">
        <f>Source!U318</f>
        <v>144.22983390000002</v>
      </c>
      <c r="G340" s="11" t="s">
        <v>101</v>
      </c>
      <c r="H340" s="11" t="s">
        <v>102</v>
      </c>
      <c r="I340" s="11"/>
      <c r="J340" s="11"/>
      <c r="K340" s="11">
        <v>207</v>
      </c>
      <c r="L340" s="11">
        <v>21</v>
      </c>
      <c r="M340" s="11">
        <v>3</v>
      </c>
      <c r="N340" s="11" t="s">
        <v>3</v>
      </c>
      <c r="O340" s="11">
        <v>-1</v>
      </c>
      <c r="P340" s="11"/>
      <c r="Q340" s="11"/>
      <c r="R340" s="11"/>
      <c r="S340" s="11"/>
      <c r="T340" s="11"/>
      <c r="U340" s="11"/>
      <c r="V340" s="11"/>
      <c r="W340" s="11">
        <v>144.22983390000002</v>
      </c>
      <c r="X340" s="11">
        <v>1</v>
      </c>
      <c r="Y340" s="11">
        <v>144.22983390000002</v>
      </c>
      <c r="Z340" s="11"/>
      <c r="AA340" s="11"/>
      <c r="AB340" s="11"/>
    </row>
    <row r="341" spans="1:28" x14ac:dyDescent="0.2">
      <c r="A341" s="11">
        <v>50</v>
      </c>
      <c r="B341" s="11">
        <v>0</v>
      </c>
      <c r="C341" s="11">
        <v>0</v>
      </c>
      <c r="D341" s="11">
        <v>1</v>
      </c>
      <c r="E341" s="11">
        <v>208</v>
      </c>
      <c r="F341" s="11">
        <f>Source!V318</f>
        <v>0</v>
      </c>
      <c r="G341" s="11" t="s">
        <v>103</v>
      </c>
      <c r="H341" s="11" t="s">
        <v>104</v>
      </c>
      <c r="I341" s="11"/>
      <c r="J341" s="11"/>
      <c r="K341" s="11">
        <v>208</v>
      </c>
      <c r="L341" s="11">
        <v>22</v>
      </c>
      <c r="M341" s="11">
        <v>3</v>
      </c>
      <c r="N341" s="11" t="s">
        <v>3</v>
      </c>
      <c r="O341" s="11">
        <v>-1</v>
      </c>
      <c r="P341" s="11"/>
      <c r="Q341" s="11"/>
      <c r="R341" s="11"/>
      <c r="S341" s="11"/>
      <c r="T341" s="11"/>
      <c r="U341" s="11"/>
      <c r="V341" s="11"/>
      <c r="W341" s="11">
        <v>0</v>
      </c>
      <c r="X341" s="11">
        <v>1</v>
      </c>
      <c r="Y341" s="11">
        <v>0</v>
      </c>
      <c r="Z341" s="11"/>
      <c r="AA341" s="11"/>
      <c r="AB341" s="11"/>
    </row>
    <row r="342" spans="1:28" x14ac:dyDescent="0.2">
      <c r="A342" s="11">
        <v>50</v>
      </c>
      <c r="B342" s="11">
        <v>0</v>
      </c>
      <c r="C342" s="11">
        <v>0</v>
      </c>
      <c r="D342" s="11">
        <v>1</v>
      </c>
      <c r="E342" s="11">
        <v>209</v>
      </c>
      <c r="F342" s="11">
        <f>ROUND(Source!W318,O342)</f>
        <v>0</v>
      </c>
      <c r="G342" s="11" t="s">
        <v>105</v>
      </c>
      <c r="H342" s="11" t="s">
        <v>106</v>
      </c>
      <c r="I342" s="11"/>
      <c r="J342" s="11"/>
      <c r="K342" s="11">
        <v>209</v>
      </c>
      <c r="L342" s="11">
        <v>23</v>
      </c>
      <c r="M342" s="11">
        <v>3</v>
      </c>
      <c r="N342" s="11" t="s">
        <v>3</v>
      </c>
      <c r="O342" s="11">
        <v>2</v>
      </c>
      <c r="P342" s="11"/>
      <c r="Q342" s="11"/>
      <c r="R342" s="11"/>
      <c r="S342" s="11"/>
      <c r="T342" s="11"/>
      <c r="U342" s="11"/>
      <c r="V342" s="11"/>
      <c r="W342" s="11">
        <v>0</v>
      </c>
      <c r="X342" s="11">
        <v>1</v>
      </c>
      <c r="Y342" s="11">
        <v>0</v>
      </c>
      <c r="Z342" s="11"/>
      <c r="AA342" s="11"/>
      <c r="AB342" s="11"/>
    </row>
    <row r="343" spans="1:28" x14ac:dyDescent="0.2">
      <c r="A343" s="11">
        <v>50</v>
      </c>
      <c r="B343" s="11">
        <v>0</v>
      </c>
      <c r="C343" s="11">
        <v>0</v>
      </c>
      <c r="D343" s="11">
        <v>1</v>
      </c>
      <c r="E343" s="11">
        <v>233</v>
      </c>
      <c r="F343" s="11">
        <f>ROUND(Source!BD318,O343)</f>
        <v>0</v>
      </c>
      <c r="G343" s="11" t="s">
        <v>107</v>
      </c>
      <c r="H343" s="11" t="s">
        <v>108</v>
      </c>
      <c r="I343" s="11"/>
      <c r="J343" s="11"/>
      <c r="K343" s="11">
        <v>233</v>
      </c>
      <c r="L343" s="11">
        <v>24</v>
      </c>
      <c r="M343" s="11">
        <v>3</v>
      </c>
      <c r="N343" s="11" t="s">
        <v>3</v>
      </c>
      <c r="O343" s="11">
        <v>2</v>
      </c>
      <c r="P343" s="11"/>
      <c r="Q343" s="11"/>
      <c r="R343" s="11"/>
      <c r="S343" s="11"/>
      <c r="T343" s="11"/>
      <c r="U343" s="11"/>
      <c r="V343" s="11"/>
      <c r="W343" s="11">
        <v>0</v>
      </c>
      <c r="X343" s="11">
        <v>1</v>
      </c>
      <c r="Y343" s="11">
        <v>0</v>
      </c>
      <c r="Z343" s="11"/>
      <c r="AA343" s="11"/>
      <c r="AB343" s="11"/>
    </row>
    <row r="344" spans="1:28" x14ac:dyDescent="0.2">
      <c r="A344" s="11">
        <v>50</v>
      </c>
      <c r="B344" s="11">
        <v>0</v>
      </c>
      <c r="C344" s="11">
        <v>0</v>
      </c>
      <c r="D344" s="11">
        <v>1</v>
      </c>
      <c r="E344" s="11">
        <v>210</v>
      </c>
      <c r="F344" s="11">
        <f>ROUND(Source!X318,O344)</f>
        <v>87425.12</v>
      </c>
      <c r="G344" s="11" t="s">
        <v>109</v>
      </c>
      <c r="H344" s="11" t="s">
        <v>110</v>
      </c>
      <c r="I344" s="11"/>
      <c r="J344" s="11"/>
      <c r="K344" s="11">
        <v>210</v>
      </c>
      <c r="L344" s="11">
        <v>25</v>
      </c>
      <c r="M344" s="11">
        <v>3</v>
      </c>
      <c r="N344" s="11" t="s">
        <v>3</v>
      </c>
      <c r="O344" s="11">
        <v>2</v>
      </c>
      <c r="P344" s="11"/>
      <c r="Q344" s="11"/>
      <c r="R344" s="11"/>
      <c r="S344" s="11"/>
      <c r="T344" s="11"/>
      <c r="U344" s="11"/>
      <c r="V344" s="11"/>
      <c r="W344" s="11">
        <v>87425.12</v>
      </c>
      <c r="X344" s="11">
        <v>1</v>
      </c>
      <c r="Y344" s="11">
        <v>87425.12</v>
      </c>
      <c r="Z344" s="11"/>
      <c r="AA344" s="11"/>
      <c r="AB344" s="11"/>
    </row>
    <row r="345" spans="1:28" x14ac:dyDescent="0.2">
      <c r="A345" s="11">
        <v>50</v>
      </c>
      <c r="B345" s="11">
        <v>0</v>
      </c>
      <c r="C345" s="11">
        <v>0</v>
      </c>
      <c r="D345" s="11">
        <v>1</v>
      </c>
      <c r="E345" s="11">
        <v>211</v>
      </c>
      <c r="F345" s="11">
        <f>ROUND(Source!Y318,O345)</f>
        <v>44275.45</v>
      </c>
      <c r="G345" s="11" t="s">
        <v>111</v>
      </c>
      <c r="H345" s="11" t="s">
        <v>112</v>
      </c>
      <c r="I345" s="11"/>
      <c r="J345" s="11"/>
      <c r="K345" s="11">
        <v>211</v>
      </c>
      <c r="L345" s="11">
        <v>26</v>
      </c>
      <c r="M345" s="11">
        <v>3</v>
      </c>
      <c r="N345" s="11" t="s">
        <v>3</v>
      </c>
      <c r="O345" s="11">
        <v>2</v>
      </c>
      <c r="P345" s="11"/>
      <c r="Q345" s="11"/>
      <c r="R345" s="11"/>
      <c r="S345" s="11"/>
      <c r="T345" s="11"/>
      <c r="U345" s="11"/>
      <c r="V345" s="11"/>
      <c r="W345" s="11">
        <v>44275.45</v>
      </c>
      <c r="X345" s="11">
        <v>1</v>
      </c>
      <c r="Y345" s="11">
        <v>44275.45</v>
      </c>
      <c r="Z345" s="11"/>
      <c r="AA345" s="11"/>
      <c r="AB345" s="11"/>
    </row>
    <row r="346" spans="1:28" x14ac:dyDescent="0.2">
      <c r="A346" s="11">
        <v>50</v>
      </c>
      <c r="B346" s="11">
        <v>0</v>
      </c>
      <c r="C346" s="11">
        <v>0</v>
      </c>
      <c r="D346" s="11">
        <v>1</v>
      </c>
      <c r="E346" s="11">
        <v>224</v>
      </c>
      <c r="F346" s="11">
        <f>ROUND(Source!AR318,O346)</f>
        <v>274048.52</v>
      </c>
      <c r="G346" s="11" t="s">
        <v>113</v>
      </c>
      <c r="H346" s="11" t="s">
        <v>114</v>
      </c>
      <c r="I346" s="11"/>
      <c r="J346" s="11"/>
      <c r="K346" s="11">
        <v>224</v>
      </c>
      <c r="L346" s="11">
        <v>27</v>
      </c>
      <c r="M346" s="11">
        <v>3</v>
      </c>
      <c r="N346" s="11" t="s">
        <v>3</v>
      </c>
      <c r="O346" s="11">
        <v>2</v>
      </c>
      <c r="P346" s="11"/>
      <c r="Q346" s="11"/>
      <c r="R346" s="11"/>
      <c r="S346" s="11"/>
      <c r="T346" s="11"/>
      <c r="U346" s="11"/>
      <c r="V346" s="11"/>
      <c r="W346" s="11">
        <v>274048.52</v>
      </c>
      <c r="X346" s="11">
        <v>1</v>
      </c>
      <c r="Y346" s="11">
        <v>274048.52</v>
      </c>
      <c r="Z346" s="11"/>
      <c r="AA346" s="11"/>
      <c r="AB346" s="11"/>
    </row>
    <row r="347" spans="1:28" x14ac:dyDescent="0.2">
      <c r="A347" s="11">
        <v>50</v>
      </c>
      <c r="B347" s="11">
        <v>1</v>
      </c>
      <c r="C347" s="11">
        <v>0</v>
      </c>
      <c r="D347" s="11">
        <v>2</v>
      </c>
      <c r="E347" s="11">
        <v>0</v>
      </c>
      <c r="F347" s="11">
        <f>ROUND(F346,O347)</f>
        <v>274048.52</v>
      </c>
      <c r="G347" s="11" t="s">
        <v>330</v>
      </c>
      <c r="H347" s="11" t="s">
        <v>331</v>
      </c>
      <c r="I347" s="11"/>
      <c r="J347" s="11"/>
      <c r="K347" s="11">
        <v>212</v>
      </c>
      <c r="L347" s="11">
        <v>28</v>
      </c>
      <c r="M347" s="11">
        <v>0</v>
      </c>
      <c r="N347" s="11" t="s">
        <v>3</v>
      </c>
      <c r="O347" s="11">
        <v>2</v>
      </c>
      <c r="P347" s="11"/>
      <c r="Q347" s="11"/>
      <c r="R347" s="11"/>
      <c r="S347" s="11"/>
      <c r="T347" s="11"/>
      <c r="U347" s="11"/>
      <c r="V347" s="11"/>
      <c r="W347" s="11">
        <v>274048.52</v>
      </c>
      <c r="X347" s="11">
        <v>1</v>
      </c>
      <c r="Y347" s="11">
        <v>274048.52</v>
      </c>
      <c r="Z347" s="11"/>
      <c r="AA347" s="11"/>
      <c r="AB347" s="11"/>
    </row>
    <row r="348" spans="1:28" x14ac:dyDescent="0.2">
      <c r="A348" s="11">
        <v>50</v>
      </c>
      <c r="B348" s="11">
        <v>1</v>
      </c>
      <c r="C348" s="11">
        <v>0</v>
      </c>
      <c r="D348" s="11">
        <v>2</v>
      </c>
      <c r="E348" s="11">
        <v>0</v>
      </c>
      <c r="F348" s="11">
        <f>ROUND(F347*0.22,O348)</f>
        <v>60290.67</v>
      </c>
      <c r="G348" s="11" t="s">
        <v>332</v>
      </c>
      <c r="H348" s="11" t="s">
        <v>333</v>
      </c>
      <c r="I348" s="11"/>
      <c r="J348" s="11"/>
      <c r="K348" s="11">
        <v>212</v>
      </c>
      <c r="L348" s="11">
        <v>29</v>
      </c>
      <c r="M348" s="11">
        <v>0</v>
      </c>
      <c r="N348" s="11" t="s">
        <v>3</v>
      </c>
      <c r="O348" s="11">
        <v>2</v>
      </c>
      <c r="P348" s="11"/>
      <c r="Q348" s="11"/>
      <c r="R348" s="11"/>
      <c r="S348" s="11"/>
      <c r="T348" s="11"/>
      <c r="U348" s="11"/>
      <c r="V348" s="11"/>
      <c r="W348" s="11">
        <v>60290.67</v>
      </c>
      <c r="X348" s="11">
        <v>1</v>
      </c>
      <c r="Y348" s="11">
        <v>60290.67</v>
      </c>
      <c r="Z348" s="11"/>
      <c r="AA348" s="11"/>
      <c r="AB348" s="11"/>
    </row>
    <row r="349" spans="1:28" x14ac:dyDescent="0.2">
      <c r="A349" s="11">
        <v>50</v>
      </c>
      <c r="B349" s="11">
        <v>1</v>
      </c>
      <c r="C349" s="11">
        <v>0</v>
      </c>
      <c r="D349" s="11">
        <v>2</v>
      </c>
      <c r="E349" s="11">
        <v>213</v>
      </c>
      <c r="F349" s="11">
        <f>ROUND(F347+F348,O349)</f>
        <v>334339.19</v>
      </c>
      <c r="G349" s="11" t="s">
        <v>334</v>
      </c>
      <c r="H349" s="11" t="s">
        <v>113</v>
      </c>
      <c r="I349" s="11"/>
      <c r="J349" s="11"/>
      <c r="K349" s="11">
        <v>212</v>
      </c>
      <c r="L349" s="11">
        <v>30</v>
      </c>
      <c r="M349" s="11">
        <v>0</v>
      </c>
      <c r="N349" s="11" t="s">
        <v>3</v>
      </c>
      <c r="O349" s="11">
        <v>2</v>
      </c>
      <c r="P349" s="11"/>
      <c r="Q349" s="11"/>
      <c r="R349" s="11"/>
      <c r="S349" s="11"/>
      <c r="T349" s="11"/>
      <c r="U349" s="11"/>
      <c r="V349" s="11"/>
      <c r="W349" s="11">
        <v>334339.19</v>
      </c>
      <c r="X349" s="11">
        <v>1</v>
      </c>
      <c r="Y349" s="11">
        <v>334339.19</v>
      </c>
      <c r="Z349" s="11"/>
      <c r="AA349" s="11"/>
      <c r="AB349" s="11"/>
    </row>
    <row r="352" spans="1:28" x14ac:dyDescent="0.2">
      <c r="A352" s="2">
        <v>70</v>
      </c>
      <c r="B352" s="2">
        <v>1</v>
      </c>
      <c r="D352" s="2">
        <v>1</v>
      </c>
      <c r="E352" s="2" t="s">
        <v>335</v>
      </c>
      <c r="F352" s="2" t="s">
        <v>336</v>
      </c>
      <c r="G352" s="2">
        <v>0</v>
      </c>
      <c r="H352" s="2">
        <v>0</v>
      </c>
      <c r="I352" s="2" t="s">
        <v>3</v>
      </c>
      <c r="J352" s="2">
        <v>1</v>
      </c>
      <c r="K352" s="2">
        <v>0</v>
      </c>
      <c r="L352" s="2" t="s">
        <v>3</v>
      </c>
      <c r="M352" s="2" t="s">
        <v>3</v>
      </c>
      <c r="N352" s="2">
        <v>0</v>
      </c>
      <c r="P352" s="2" t="s">
        <v>3</v>
      </c>
    </row>
    <row r="353" spans="1:50" x14ac:dyDescent="0.2">
      <c r="A353" s="2">
        <v>70</v>
      </c>
      <c r="B353" s="2">
        <v>1</v>
      </c>
      <c r="D353" s="2">
        <v>2</v>
      </c>
      <c r="E353" s="2" t="s">
        <v>337</v>
      </c>
      <c r="F353" s="2" t="s">
        <v>338</v>
      </c>
      <c r="G353" s="2">
        <v>1</v>
      </c>
      <c r="H353" s="2">
        <v>0</v>
      </c>
      <c r="I353" s="2" t="s">
        <v>3</v>
      </c>
      <c r="J353" s="2">
        <v>1</v>
      </c>
      <c r="K353" s="2">
        <v>0</v>
      </c>
      <c r="L353" s="2" t="s">
        <v>3</v>
      </c>
      <c r="M353" s="2" t="s">
        <v>3</v>
      </c>
      <c r="N353" s="2">
        <v>0</v>
      </c>
      <c r="P353" s="2" t="s">
        <v>3</v>
      </c>
    </row>
    <row r="354" spans="1:50" x14ac:dyDescent="0.2">
      <c r="A354" s="2">
        <v>70</v>
      </c>
      <c r="B354" s="2">
        <v>1</v>
      </c>
      <c r="D354" s="2">
        <v>3</v>
      </c>
      <c r="E354" s="2" t="s">
        <v>339</v>
      </c>
      <c r="F354" s="2" t="s">
        <v>340</v>
      </c>
      <c r="G354" s="2">
        <v>0</v>
      </c>
      <c r="H354" s="2">
        <v>0</v>
      </c>
      <c r="I354" s="2" t="s">
        <v>3</v>
      </c>
      <c r="J354" s="2">
        <v>0</v>
      </c>
      <c r="K354" s="2">
        <v>0</v>
      </c>
      <c r="L354" s="2" t="s">
        <v>3</v>
      </c>
      <c r="M354" s="2" t="s">
        <v>3</v>
      </c>
      <c r="N354" s="2">
        <v>0</v>
      </c>
      <c r="P354" s="2" t="s">
        <v>3</v>
      </c>
    </row>
    <row r="355" spans="1:50" x14ac:dyDescent="0.2">
      <c r="A355" s="2">
        <v>70</v>
      </c>
      <c r="B355" s="2">
        <v>1</v>
      </c>
      <c r="D355" s="2">
        <v>4</v>
      </c>
      <c r="E355" s="2" t="s">
        <v>341</v>
      </c>
      <c r="F355" s="2" t="s">
        <v>342</v>
      </c>
      <c r="G355" s="2">
        <v>1</v>
      </c>
      <c r="H355" s="2">
        <v>0</v>
      </c>
      <c r="I355" s="2" t="s">
        <v>3</v>
      </c>
      <c r="J355" s="2">
        <v>0</v>
      </c>
      <c r="K355" s="2">
        <v>0</v>
      </c>
      <c r="L355" s="2" t="s">
        <v>3</v>
      </c>
      <c r="M355" s="2" t="s">
        <v>3</v>
      </c>
      <c r="N355" s="2">
        <v>0</v>
      </c>
      <c r="P355" s="2" t="s">
        <v>3</v>
      </c>
    </row>
    <row r="356" spans="1:50" x14ac:dyDescent="0.2">
      <c r="A356" s="2">
        <v>70</v>
      </c>
      <c r="B356" s="2">
        <v>1</v>
      </c>
      <c r="D356" s="2">
        <v>5</v>
      </c>
      <c r="E356" s="2" t="s">
        <v>343</v>
      </c>
      <c r="F356" s="2" t="s">
        <v>344</v>
      </c>
      <c r="G356" s="2">
        <v>1</v>
      </c>
      <c r="H356" s="2">
        <v>0</v>
      </c>
      <c r="I356" s="2" t="s">
        <v>3</v>
      </c>
      <c r="J356" s="2">
        <v>0</v>
      </c>
      <c r="K356" s="2">
        <v>0</v>
      </c>
      <c r="L356" s="2" t="s">
        <v>3</v>
      </c>
      <c r="M356" s="2" t="s">
        <v>3</v>
      </c>
      <c r="N356" s="2">
        <v>0</v>
      </c>
      <c r="P356" s="2" t="s">
        <v>3</v>
      </c>
    </row>
    <row r="357" spans="1:50" x14ac:dyDescent="0.2">
      <c r="A357" s="2">
        <v>70</v>
      </c>
      <c r="B357" s="2">
        <v>1</v>
      </c>
      <c r="D357" s="2">
        <v>6</v>
      </c>
      <c r="E357" s="2" t="s">
        <v>345</v>
      </c>
      <c r="F357" s="2" t="s">
        <v>346</v>
      </c>
      <c r="G357" s="2">
        <v>0</v>
      </c>
      <c r="H357" s="2">
        <v>0</v>
      </c>
      <c r="I357" s="2" t="s">
        <v>3</v>
      </c>
      <c r="J357" s="2">
        <v>0</v>
      </c>
      <c r="K357" s="2">
        <v>0</v>
      </c>
      <c r="L357" s="2" t="s">
        <v>3</v>
      </c>
      <c r="M357" s="2" t="s">
        <v>3</v>
      </c>
      <c r="N357" s="2">
        <v>0</v>
      </c>
      <c r="P357" s="2" t="s">
        <v>3</v>
      </c>
    </row>
    <row r="358" spans="1:50" x14ac:dyDescent="0.2">
      <c r="A358" s="2">
        <v>70</v>
      </c>
      <c r="B358" s="2">
        <v>1</v>
      </c>
      <c r="D358" s="2">
        <v>7</v>
      </c>
      <c r="E358" s="2" t="s">
        <v>347</v>
      </c>
      <c r="F358" s="2" t="s">
        <v>348</v>
      </c>
      <c r="G358" s="2">
        <v>0</v>
      </c>
      <c r="H358" s="2">
        <v>0</v>
      </c>
      <c r="I358" s="2" t="s">
        <v>3</v>
      </c>
      <c r="J358" s="2">
        <v>0</v>
      </c>
      <c r="K358" s="2">
        <v>0</v>
      </c>
      <c r="L358" s="2" t="s">
        <v>3</v>
      </c>
      <c r="M358" s="2" t="s">
        <v>3</v>
      </c>
      <c r="N358" s="2">
        <v>0</v>
      </c>
      <c r="P358" s="2" t="s">
        <v>3</v>
      </c>
    </row>
    <row r="360" spans="1:50" x14ac:dyDescent="0.2">
      <c r="A360" s="2">
        <v>-1</v>
      </c>
    </row>
    <row r="362" spans="1:50" x14ac:dyDescent="0.2">
      <c r="A362" s="10">
        <v>75</v>
      </c>
      <c r="B362" s="10" t="s">
        <v>349</v>
      </c>
      <c r="C362" s="10">
        <v>2026</v>
      </c>
      <c r="D362" s="10">
        <v>0</v>
      </c>
      <c r="E362" s="10">
        <v>4</v>
      </c>
      <c r="F362" s="10"/>
      <c r="G362" s="10">
        <v>0</v>
      </c>
      <c r="H362" s="10">
        <v>1</v>
      </c>
      <c r="I362" s="10">
        <v>1</v>
      </c>
      <c r="J362" s="10">
        <v>3</v>
      </c>
      <c r="K362" s="10">
        <v>0</v>
      </c>
      <c r="L362" s="10">
        <v>0</v>
      </c>
      <c r="M362" s="10">
        <v>0</v>
      </c>
      <c r="N362" s="10">
        <v>56793366</v>
      </c>
      <c r="O362" s="10">
        <v>1</v>
      </c>
    </row>
    <row r="363" spans="1:50" x14ac:dyDescent="0.2">
      <c r="A363" s="12">
        <v>1</v>
      </c>
      <c r="B363" s="12" t="s">
        <v>350</v>
      </c>
      <c r="C363" s="12" t="s">
        <v>351</v>
      </c>
      <c r="D363" s="12">
        <v>2026</v>
      </c>
      <c r="E363" s="12">
        <v>4</v>
      </c>
      <c r="F363" s="12">
        <v>1</v>
      </c>
      <c r="G363" s="12">
        <v>1</v>
      </c>
      <c r="H363" s="12">
        <v>0</v>
      </c>
      <c r="I363" s="12">
        <v>2</v>
      </c>
      <c r="J363" s="12">
        <v>1</v>
      </c>
      <c r="K363" s="12">
        <v>1</v>
      </c>
      <c r="L363" s="12">
        <v>1</v>
      </c>
      <c r="M363" s="12">
        <v>1</v>
      </c>
      <c r="N363" s="12">
        <v>1</v>
      </c>
      <c r="O363" s="12">
        <v>1</v>
      </c>
      <c r="P363" s="12">
        <v>1</v>
      </c>
      <c r="Q363" s="12">
        <v>1</v>
      </c>
      <c r="R363" s="12" t="s">
        <v>3</v>
      </c>
      <c r="S363" s="12" t="s">
        <v>3</v>
      </c>
      <c r="T363" s="12" t="s">
        <v>3</v>
      </c>
      <c r="U363" s="12" t="s">
        <v>3</v>
      </c>
      <c r="V363" s="12" t="s">
        <v>3</v>
      </c>
      <c r="W363" s="12" t="s">
        <v>3</v>
      </c>
      <c r="X363" s="12" t="s">
        <v>3</v>
      </c>
      <c r="Y363" s="12" t="s">
        <v>3</v>
      </c>
      <c r="Z363" s="12" t="s">
        <v>3</v>
      </c>
      <c r="AA363" s="12" t="s">
        <v>352</v>
      </c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>
        <v>56793367</v>
      </c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</row>
    <row r="367" spans="1:50" x14ac:dyDescent="0.2">
      <c r="A367" s="2">
        <v>65</v>
      </c>
      <c r="C367" s="2">
        <v>1</v>
      </c>
      <c r="D367" s="2">
        <v>0</v>
      </c>
      <c r="E367" s="2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5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353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66202</v>
      </c>
      <c r="M1">
        <v>10</v>
      </c>
      <c r="N1">
        <v>12</v>
      </c>
      <c r="O1">
        <v>1</v>
      </c>
      <c r="P1">
        <v>0</v>
      </c>
      <c r="Q1">
        <v>0</v>
      </c>
    </row>
    <row r="12" spans="1:133" x14ac:dyDescent="0.2">
      <c r="A12" s="1">
        <v>1</v>
      </c>
      <c r="B12" s="1">
        <v>54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4098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18882568</v>
      </c>
      <c r="CI12" s="1" t="s">
        <v>3</v>
      </c>
      <c r="CJ12" s="1" t="s">
        <v>3</v>
      </c>
      <c r="CK12" s="1">
        <v>81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41660</v>
      </c>
      <c r="CT12" s="1">
        <v>1</v>
      </c>
      <c r="CU12" s="1">
        <v>81</v>
      </c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56793366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14</v>
      </c>
      <c r="D16" s="6" t="s">
        <v>14</v>
      </c>
      <c r="E16" s="7">
        <f>ROUND((Source!F305)/1000,2)</f>
        <v>270.04000000000002</v>
      </c>
      <c r="F16" s="7">
        <f>ROUND((Source!F306)/1000,2)</f>
        <v>0</v>
      </c>
      <c r="G16" s="7">
        <f>ROUND((Source!F297)/1000,2)</f>
        <v>0</v>
      </c>
      <c r="H16" s="7">
        <f>ROUND((Source!F307)/1000+(Source!F308)/1000,2)</f>
        <v>4.01</v>
      </c>
      <c r="I16" s="7">
        <f>E16+F16+G16+H16</f>
        <v>274.05</v>
      </c>
      <c r="J16" s="7">
        <f>ROUND((Source!F303+Source!F302)/1000,2)</f>
        <v>94.75</v>
      </c>
      <c r="K16" s="7">
        <v>185.52</v>
      </c>
      <c r="L16" s="7">
        <v>0</v>
      </c>
      <c r="M16" s="7">
        <v>0</v>
      </c>
      <c r="N16" s="7">
        <f>I16+L16+M16</f>
        <v>274.05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142347.95000000001</v>
      </c>
      <c r="AU16" s="7">
        <v>43171.83</v>
      </c>
      <c r="AV16" s="7">
        <v>0</v>
      </c>
      <c r="AW16" s="7">
        <v>0</v>
      </c>
      <c r="AX16" s="7">
        <v>0</v>
      </c>
      <c r="AY16" s="7">
        <v>5062.99</v>
      </c>
      <c r="AZ16" s="7">
        <v>634.97</v>
      </c>
      <c r="BA16" s="7">
        <v>94113.13</v>
      </c>
      <c r="BB16" s="7">
        <v>270036.49</v>
      </c>
      <c r="BC16" s="7">
        <v>0</v>
      </c>
      <c r="BD16" s="7">
        <v>4012.03</v>
      </c>
      <c r="BE16" s="7">
        <v>0</v>
      </c>
      <c r="BF16" s="7">
        <v>144.22983390000002</v>
      </c>
      <c r="BG16" s="7">
        <v>0</v>
      </c>
      <c r="BH16" s="7">
        <v>0</v>
      </c>
      <c r="BI16" s="7">
        <v>87425.12</v>
      </c>
      <c r="BJ16" s="7">
        <v>44275.45</v>
      </c>
      <c r="BK16" s="7">
        <v>274048.52</v>
      </c>
    </row>
    <row r="18" spans="1:16" x14ac:dyDescent="0.2">
      <c r="A18">
        <v>51</v>
      </c>
      <c r="E18">
        <v>270.04000000000002</v>
      </c>
      <c r="F18">
        <v>0</v>
      </c>
      <c r="G18">
        <v>0</v>
      </c>
      <c r="H18">
        <v>4.01</v>
      </c>
      <c r="I18">
        <v>274.05</v>
      </c>
      <c r="J18">
        <v>94.75</v>
      </c>
      <c r="K18">
        <v>185.52</v>
      </c>
      <c r="L18">
        <v>0</v>
      </c>
      <c r="M18">
        <v>0</v>
      </c>
      <c r="N18">
        <v>274.05</v>
      </c>
    </row>
    <row r="20" spans="1:16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142347.95000000001</v>
      </c>
      <c r="G20" s="4" t="s">
        <v>61</v>
      </c>
      <c r="H20" s="4" t="s">
        <v>62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6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43171.83</v>
      </c>
      <c r="G21" s="4" t="s">
        <v>63</v>
      </c>
      <c r="H21" s="4" t="s">
        <v>64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6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65</v>
      </c>
      <c r="H22" s="4" t="s">
        <v>66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6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43171.83</v>
      </c>
      <c r="G23" s="4" t="s">
        <v>67</v>
      </c>
      <c r="H23" s="4" t="s">
        <v>68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6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43171.83</v>
      </c>
      <c r="G24" s="4" t="s">
        <v>69</v>
      </c>
      <c r="H24" s="4" t="s">
        <v>70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6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71</v>
      </c>
      <c r="H25" s="4" t="s">
        <v>72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6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43171.83</v>
      </c>
      <c r="G26" s="4" t="s">
        <v>73</v>
      </c>
      <c r="H26" s="4" t="s">
        <v>74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6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75</v>
      </c>
      <c r="H27" s="4" t="s">
        <v>76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6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77</v>
      </c>
      <c r="H28" s="4" t="s">
        <v>78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6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79</v>
      </c>
      <c r="H29" s="4" t="s">
        <v>80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6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5062.99</v>
      </c>
      <c r="G30" s="4" t="s">
        <v>81</v>
      </c>
      <c r="H30" s="4" t="s">
        <v>82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6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83</v>
      </c>
      <c r="H31" s="4" t="s">
        <v>84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6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634.97</v>
      </c>
      <c r="G32" s="4" t="s">
        <v>85</v>
      </c>
      <c r="H32" s="4" t="s">
        <v>86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94113.13</v>
      </c>
      <c r="G33" s="4" t="s">
        <v>87</v>
      </c>
      <c r="H33" s="4" t="s">
        <v>88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89</v>
      </c>
      <c r="H34" s="4" t="s">
        <v>90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270036.49</v>
      </c>
      <c r="G35" s="4" t="s">
        <v>91</v>
      </c>
      <c r="H35" s="4" t="s">
        <v>92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93</v>
      </c>
      <c r="H36" s="4" t="s">
        <v>94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4012.03</v>
      </c>
      <c r="G37" s="4" t="s">
        <v>95</v>
      </c>
      <c r="H37" s="4" t="s">
        <v>96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97</v>
      </c>
      <c r="H38" s="4" t="s">
        <v>98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99</v>
      </c>
      <c r="H39" s="4" t="s">
        <v>100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144.22983390000002</v>
      </c>
      <c r="G40" s="4" t="s">
        <v>101</v>
      </c>
      <c r="H40" s="4" t="s">
        <v>102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103</v>
      </c>
      <c r="H41" s="4" t="s">
        <v>104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105</v>
      </c>
      <c r="H42" s="4" t="s">
        <v>106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107</v>
      </c>
      <c r="H43" s="4" t="s">
        <v>108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87425.12</v>
      </c>
      <c r="G44" s="4" t="s">
        <v>109</v>
      </c>
      <c r="H44" s="4" t="s">
        <v>110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44275.45</v>
      </c>
      <c r="G45" s="4" t="s">
        <v>111</v>
      </c>
      <c r="H45" s="4" t="s">
        <v>112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274048.52</v>
      </c>
      <c r="G46" s="4" t="s">
        <v>113</v>
      </c>
      <c r="H46" s="4" t="s">
        <v>114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 x14ac:dyDescent="0.2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274048.52</v>
      </c>
      <c r="G47" s="4" t="s">
        <v>330</v>
      </c>
      <c r="H47" s="4" t="s">
        <v>331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 x14ac:dyDescent="0.2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60290.67</v>
      </c>
      <c r="G48" s="4" t="s">
        <v>332</v>
      </c>
      <c r="H48" s="4" t="s">
        <v>333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49" spans="1:50" x14ac:dyDescent="0.2">
      <c r="A49" s="4">
        <v>50</v>
      </c>
      <c r="B49" s="4">
        <v>1</v>
      </c>
      <c r="C49" s="4">
        <v>0</v>
      </c>
      <c r="D49" s="4">
        <v>2</v>
      </c>
      <c r="E49" s="4">
        <v>213</v>
      </c>
      <c r="F49" s="4">
        <v>334339.19</v>
      </c>
      <c r="G49" s="4" t="s">
        <v>334</v>
      </c>
      <c r="H49" s="4" t="s">
        <v>113</v>
      </c>
      <c r="I49" s="4"/>
      <c r="J49" s="4"/>
      <c r="K49" s="4">
        <v>212</v>
      </c>
      <c r="L49" s="4">
        <v>30</v>
      </c>
      <c r="M49" s="4">
        <v>0</v>
      </c>
      <c r="N49" s="4" t="s">
        <v>3</v>
      </c>
      <c r="O49" s="4">
        <v>2</v>
      </c>
      <c r="P49" s="4"/>
    </row>
    <row r="51" spans="1:50" x14ac:dyDescent="0.2">
      <c r="A51">
        <v>-1</v>
      </c>
    </row>
    <row r="54" spans="1:50" x14ac:dyDescent="0.2">
      <c r="A54" s="3">
        <v>75</v>
      </c>
      <c r="B54" s="3" t="s">
        <v>349</v>
      </c>
      <c r="C54" s="3">
        <v>2026</v>
      </c>
      <c r="D54" s="3">
        <v>0</v>
      </c>
      <c r="E54" s="3">
        <v>4</v>
      </c>
      <c r="F54" s="3"/>
      <c r="G54" s="3">
        <v>0</v>
      </c>
      <c r="H54" s="3">
        <v>1</v>
      </c>
      <c r="I54" s="3">
        <v>1</v>
      </c>
      <c r="J54" s="3">
        <v>3</v>
      </c>
      <c r="K54" s="3">
        <v>0</v>
      </c>
      <c r="L54" s="3">
        <v>0</v>
      </c>
      <c r="M54" s="3">
        <v>0</v>
      </c>
      <c r="N54" s="3">
        <v>56793366</v>
      </c>
      <c r="O54" s="3">
        <v>1</v>
      </c>
    </row>
    <row r="55" spans="1:50" x14ac:dyDescent="0.2">
      <c r="A55" s="5">
        <v>1</v>
      </c>
      <c r="B55" s="5" t="s">
        <v>350</v>
      </c>
      <c r="C55" s="5" t="s">
        <v>351</v>
      </c>
      <c r="D55" s="5">
        <v>2026</v>
      </c>
      <c r="E55" s="5">
        <v>4</v>
      </c>
      <c r="F55" s="5">
        <v>1</v>
      </c>
      <c r="G55" s="5">
        <v>1</v>
      </c>
      <c r="H55" s="5">
        <v>0</v>
      </c>
      <c r="I55" s="5">
        <v>2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 t="s">
        <v>3</v>
      </c>
      <c r="S55" s="5" t="s">
        <v>3</v>
      </c>
      <c r="T55" s="5" t="s">
        <v>3</v>
      </c>
      <c r="U55" s="5" t="s">
        <v>3</v>
      </c>
      <c r="V55" s="5" t="s">
        <v>3</v>
      </c>
      <c r="W55" s="5" t="s">
        <v>3</v>
      </c>
      <c r="X55" s="5" t="s">
        <v>3</v>
      </c>
      <c r="Y55" s="5" t="s">
        <v>3</v>
      </c>
      <c r="Z55" s="5" t="s">
        <v>3</v>
      </c>
      <c r="AA55" s="5" t="s">
        <v>352</v>
      </c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56793367</v>
      </c>
      <c r="AO55" s="5"/>
      <c r="AP55" s="5"/>
      <c r="AQ55" s="5"/>
      <c r="AR55" s="5"/>
      <c r="AS55" s="5"/>
      <c r="AT55" s="5"/>
      <c r="AU55" s="5"/>
      <c r="AV55" s="5"/>
      <c r="AW55" s="5"/>
      <c r="AX55" s="5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3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ROW(Source!A32)</f>
        <v>32</v>
      </c>
      <c r="B1">
        <v>56793366</v>
      </c>
      <c r="C1">
        <v>56793604</v>
      </c>
      <c r="D1">
        <v>55926487</v>
      </c>
      <c r="E1">
        <v>1081</v>
      </c>
      <c r="F1">
        <v>1</v>
      </c>
      <c r="G1">
        <v>1081</v>
      </c>
      <c r="H1">
        <v>1</v>
      </c>
      <c r="I1" t="s">
        <v>354</v>
      </c>
      <c r="J1" t="s">
        <v>3</v>
      </c>
      <c r="K1" t="s">
        <v>355</v>
      </c>
      <c r="L1">
        <v>1191</v>
      </c>
      <c r="N1">
        <v>1013</v>
      </c>
      <c r="O1" t="s">
        <v>356</v>
      </c>
      <c r="P1" t="s">
        <v>356</v>
      </c>
      <c r="Q1">
        <v>1</v>
      </c>
      <c r="W1">
        <v>0</v>
      </c>
      <c r="X1">
        <v>476480486</v>
      </c>
      <c r="Y1">
        <f>AT1</f>
        <v>196.03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196.03</v>
      </c>
      <c r="AU1" t="s">
        <v>3</v>
      </c>
      <c r="AV1">
        <v>1</v>
      </c>
      <c r="AW1">
        <v>2</v>
      </c>
      <c r="AX1">
        <v>56793607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ROUND(AT1*Source!I32*AH1*AL1,2)</f>
        <v>0</v>
      </c>
      <c r="CV1">
        <f>ROUND(Y1*Source!I32,9)</f>
        <v>1.9602999999999999</v>
      </c>
      <c r="CW1">
        <v>0</v>
      </c>
      <c r="CX1">
        <f>ROUND(Y1*Source!I32,9)</f>
        <v>1.9602999999999999</v>
      </c>
      <c r="CY1">
        <f>AD1</f>
        <v>0</v>
      </c>
      <c r="CZ1">
        <f>AH1</f>
        <v>0</v>
      </c>
      <c r="DA1">
        <f>AL1</f>
        <v>1</v>
      </c>
      <c r="DB1">
        <f>ROUND(ROUND(AT1*CZ1,2),6)</f>
        <v>0</v>
      </c>
      <c r="DC1">
        <f>ROUND(ROUND(AT1*AG1,2),6)</f>
        <v>0</v>
      </c>
      <c r="DD1" t="s">
        <v>3</v>
      </c>
      <c r="DE1" t="s">
        <v>3</v>
      </c>
      <c r="DF1">
        <f>ROUND(ROUND(AE1,2)*CX1,2)</f>
        <v>0</v>
      </c>
      <c r="DG1">
        <f t="shared" ref="DG1:DG12" si="0">ROUND(ROUND(AF1,2)*CX1,2)</f>
        <v>0</v>
      </c>
      <c r="DH1">
        <f t="shared" ref="DH1:DH12" si="1">ROUND(ROUND(AG1,2)*CX1,2)</f>
        <v>0</v>
      </c>
      <c r="DI1">
        <f t="shared" ref="DI1:DI32" si="2">ROUND(ROUND(AH1,2)*CX1,2)</f>
        <v>0</v>
      </c>
      <c r="DJ1">
        <f>DI1</f>
        <v>0</v>
      </c>
      <c r="DK1">
        <v>0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ROW(Source!A32)</f>
        <v>32</v>
      </c>
      <c r="B2">
        <v>56793366</v>
      </c>
      <c r="C2">
        <v>56793604</v>
      </c>
      <c r="D2">
        <v>55926471</v>
      </c>
      <c r="E2">
        <v>1081</v>
      </c>
      <c r="F2">
        <v>1</v>
      </c>
      <c r="G2">
        <v>1081</v>
      </c>
      <c r="H2">
        <v>3</v>
      </c>
      <c r="I2" t="s">
        <v>357</v>
      </c>
      <c r="J2" t="s">
        <v>3</v>
      </c>
      <c r="K2" t="s">
        <v>358</v>
      </c>
      <c r="L2">
        <v>1348</v>
      </c>
      <c r="N2">
        <v>1009</v>
      </c>
      <c r="O2" t="s">
        <v>239</v>
      </c>
      <c r="P2" t="s">
        <v>239</v>
      </c>
      <c r="Q2">
        <v>1000</v>
      </c>
      <c r="W2">
        <v>0</v>
      </c>
      <c r="X2">
        <v>1489638031</v>
      </c>
      <c r="Y2">
        <f>(AT2*1)</f>
        <v>10.5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10.5</v>
      </c>
      <c r="AU2" t="s">
        <v>24</v>
      </c>
      <c r="AV2">
        <v>0</v>
      </c>
      <c r="AW2">
        <v>2</v>
      </c>
      <c r="AX2">
        <v>56793608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ROUND(Y2*Source!I32,9)</f>
        <v>0.105</v>
      </c>
      <c r="CY2">
        <f>AA2</f>
        <v>0</v>
      </c>
      <c r="CZ2">
        <f>AE2</f>
        <v>0</v>
      </c>
      <c r="DA2">
        <f>AI2</f>
        <v>1</v>
      </c>
      <c r="DB2">
        <f>ROUND((ROUND(AT2*CZ2,2)*1),6)</f>
        <v>0</v>
      </c>
      <c r="DC2">
        <f>ROUND((ROUND(AT2*AG2,2)*1),6)</f>
        <v>0</v>
      </c>
      <c r="DD2" t="s">
        <v>3</v>
      </c>
      <c r="DE2" t="s">
        <v>3</v>
      </c>
      <c r="DF2">
        <f>ROUND(ROUND(AE2,2)*CX2,2)</f>
        <v>0</v>
      </c>
      <c r="DG2">
        <f t="shared" si="0"/>
        <v>0</v>
      </c>
      <c r="DH2">
        <f t="shared" si="1"/>
        <v>0</v>
      </c>
      <c r="DI2">
        <f t="shared" si="2"/>
        <v>0</v>
      </c>
      <c r="DJ2">
        <f>DF2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ROW(Source!A33)</f>
        <v>33</v>
      </c>
      <c r="B3">
        <v>56793366</v>
      </c>
      <c r="C3">
        <v>56793609</v>
      </c>
      <c r="D3">
        <v>55926487</v>
      </c>
      <c r="E3">
        <v>1081</v>
      </c>
      <c r="F3">
        <v>1</v>
      </c>
      <c r="G3">
        <v>1081</v>
      </c>
      <c r="H3">
        <v>1</v>
      </c>
      <c r="I3" t="s">
        <v>354</v>
      </c>
      <c r="J3" t="s">
        <v>3</v>
      </c>
      <c r="K3" t="s">
        <v>355</v>
      </c>
      <c r="L3">
        <v>1191</v>
      </c>
      <c r="N3">
        <v>1013</v>
      </c>
      <c r="O3" t="s">
        <v>356</v>
      </c>
      <c r="P3" t="s">
        <v>356</v>
      </c>
      <c r="Q3">
        <v>1</v>
      </c>
      <c r="W3">
        <v>0</v>
      </c>
      <c r="X3">
        <v>476480486</v>
      </c>
      <c r="Y3">
        <f>AT3</f>
        <v>36.28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36.28</v>
      </c>
      <c r="AU3" t="s">
        <v>3</v>
      </c>
      <c r="AV3">
        <v>1</v>
      </c>
      <c r="AW3">
        <v>2</v>
      </c>
      <c r="AX3">
        <v>56793612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U3">
        <f>ROUND(AT3*Source!I33*AH3*AL3,2)</f>
        <v>0</v>
      </c>
      <c r="CV3">
        <f>ROUND(Y3*Source!I33,9)</f>
        <v>0.65303999999999995</v>
      </c>
      <c r="CW3">
        <v>0</v>
      </c>
      <c r="CX3">
        <f>ROUND(Y3*Source!I33,9)</f>
        <v>0.65303999999999995</v>
      </c>
      <c r="CY3">
        <f>AD3</f>
        <v>0</v>
      </c>
      <c r="CZ3">
        <f>AH3</f>
        <v>0</v>
      </c>
      <c r="DA3">
        <f>AL3</f>
        <v>1</v>
      </c>
      <c r="DB3">
        <f>ROUND(ROUND(AT3*CZ3,2),6)</f>
        <v>0</v>
      </c>
      <c r="DC3">
        <f>ROUND(ROUND(AT3*AG3,2),6)</f>
        <v>0</v>
      </c>
      <c r="DD3" t="s">
        <v>3</v>
      </c>
      <c r="DE3" t="s">
        <v>3</v>
      </c>
      <c r="DF3">
        <f>ROUND(ROUND(AE3,2)*CX3,2)</f>
        <v>0</v>
      </c>
      <c r="DG3">
        <f t="shared" si="0"/>
        <v>0</v>
      </c>
      <c r="DH3">
        <f t="shared" si="1"/>
        <v>0</v>
      </c>
      <c r="DI3">
        <f t="shared" si="2"/>
        <v>0</v>
      </c>
      <c r="DJ3">
        <f>DI3</f>
        <v>0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ROW(Source!A33)</f>
        <v>33</v>
      </c>
      <c r="B4">
        <v>56793366</v>
      </c>
      <c r="C4">
        <v>56793609</v>
      </c>
      <c r="D4">
        <v>55926471</v>
      </c>
      <c r="E4">
        <v>1081</v>
      </c>
      <c r="F4">
        <v>1</v>
      </c>
      <c r="G4">
        <v>1081</v>
      </c>
      <c r="H4">
        <v>3</v>
      </c>
      <c r="I4" t="s">
        <v>357</v>
      </c>
      <c r="J4" t="s">
        <v>3</v>
      </c>
      <c r="K4" t="s">
        <v>358</v>
      </c>
      <c r="L4">
        <v>1348</v>
      </c>
      <c r="N4">
        <v>1009</v>
      </c>
      <c r="O4" t="s">
        <v>239</v>
      </c>
      <c r="P4" t="s">
        <v>239</v>
      </c>
      <c r="Q4">
        <v>1000</v>
      </c>
      <c r="W4">
        <v>0</v>
      </c>
      <c r="X4">
        <v>1489638031</v>
      </c>
      <c r="Y4">
        <f>(AT4*1)</f>
        <v>1.18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1.18</v>
      </c>
      <c r="AU4" t="s">
        <v>24</v>
      </c>
      <c r="AV4">
        <v>0</v>
      </c>
      <c r="AW4">
        <v>2</v>
      </c>
      <c r="AX4">
        <v>56793613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v>0</v>
      </c>
      <c r="CX4">
        <f>ROUND(Y4*Source!I33,9)</f>
        <v>2.1239999999999998E-2</v>
      </c>
      <c r="CY4">
        <f>AA4</f>
        <v>0</v>
      </c>
      <c r="CZ4">
        <f>AE4</f>
        <v>0</v>
      </c>
      <c r="DA4">
        <f>AI4</f>
        <v>1</v>
      </c>
      <c r="DB4">
        <f>ROUND((ROUND(AT4*CZ4,2)*1),6)</f>
        <v>0</v>
      </c>
      <c r="DC4">
        <f>ROUND((ROUND(AT4*AG4,2)*1),6)</f>
        <v>0</v>
      </c>
      <c r="DD4" t="s">
        <v>3</v>
      </c>
      <c r="DE4" t="s">
        <v>3</v>
      </c>
      <c r="DF4">
        <f>ROUND(ROUND(AE4,2)*CX4,2)</f>
        <v>0</v>
      </c>
      <c r="DG4">
        <f t="shared" si="0"/>
        <v>0</v>
      </c>
      <c r="DH4">
        <f t="shared" si="1"/>
        <v>0</v>
      </c>
      <c r="DI4">
        <f t="shared" si="2"/>
        <v>0</v>
      </c>
      <c r="DJ4">
        <f>DF4</f>
        <v>0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ROW(Source!A34)</f>
        <v>34</v>
      </c>
      <c r="B5">
        <v>56793366</v>
      </c>
      <c r="C5">
        <v>56793614</v>
      </c>
      <c r="D5">
        <v>55926487</v>
      </c>
      <c r="E5">
        <v>1081</v>
      </c>
      <c r="F5">
        <v>1</v>
      </c>
      <c r="G5">
        <v>1081</v>
      </c>
      <c r="H5">
        <v>1</v>
      </c>
      <c r="I5" t="s">
        <v>354</v>
      </c>
      <c r="J5" t="s">
        <v>3</v>
      </c>
      <c r="K5" t="s">
        <v>355</v>
      </c>
      <c r="L5">
        <v>1191</v>
      </c>
      <c r="N5">
        <v>1013</v>
      </c>
      <c r="O5" t="s">
        <v>356</v>
      </c>
      <c r="P5" t="s">
        <v>356</v>
      </c>
      <c r="Q5">
        <v>1</v>
      </c>
      <c r="W5">
        <v>0</v>
      </c>
      <c r="X5">
        <v>476480486</v>
      </c>
      <c r="Y5">
        <f>AT5</f>
        <v>193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193</v>
      </c>
      <c r="AU5" t="s">
        <v>3</v>
      </c>
      <c r="AV5">
        <v>1</v>
      </c>
      <c r="AW5">
        <v>2</v>
      </c>
      <c r="AX5">
        <v>56793622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U5">
        <f>ROUND(AT5*Source!I34*AH5*AL5,2)</f>
        <v>0</v>
      </c>
      <c r="CV5">
        <f>ROUND(Y5*Source!I34,9)</f>
        <v>3.86</v>
      </c>
      <c r="CW5">
        <v>0</v>
      </c>
      <c r="CX5">
        <f>ROUND(Y5*Source!I34,9)</f>
        <v>3.86</v>
      </c>
      <c r="CY5">
        <f>AD5</f>
        <v>0</v>
      </c>
      <c r="CZ5">
        <f>AH5</f>
        <v>0</v>
      </c>
      <c r="DA5">
        <f>AL5</f>
        <v>1</v>
      </c>
      <c r="DB5">
        <f>ROUND(ROUND(AT5*CZ5,2),6)</f>
        <v>0</v>
      </c>
      <c r="DC5">
        <f>ROUND(ROUND(AT5*AG5,2),6)</f>
        <v>0</v>
      </c>
      <c r="DD5" t="s">
        <v>3</v>
      </c>
      <c r="DE5" t="s">
        <v>3</v>
      </c>
      <c r="DF5">
        <f>ROUND(ROUND(AE5,2)*CX5,2)</f>
        <v>0</v>
      </c>
      <c r="DG5">
        <f t="shared" si="0"/>
        <v>0</v>
      </c>
      <c r="DH5">
        <f t="shared" si="1"/>
        <v>0</v>
      </c>
      <c r="DI5">
        <f t="shared" si="2"/>
        <v>0</v>
      </c>
      <c r="DJ5">
        <f>DI5</f>
        <v>0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ROW(Source!A34)</f>
        <v>34</v>
      </c>
      <c r="B6">
        <v>56793366</v>
      </c>
      <c r="C6">
        <v>56793614</v>
      </c>
      <c r="D6">
        <v>55962038</v>
      </c>
      <c r="E6">
        <v>1</v>
      </c>
      <c r="F6">
        <v>1</v>
      </c>
      <c r="G6">
        <v>1081</v>
      </c>
      <c r="H6">
        <v>3</v>
      </c>
      <c r="I6" t="s">
        <v>359</v>
      </c>
      <c r="J6" t="s">
        <v>360</v>
      </c>
      <c r="K6" t="s">
        <v>519</v>
      </c>
      <c r="L6">
        <v>1327</v>
      </c>
      <c r="N6">
        <v>1005</v>
      </c>
      <c r="O6" t="s">
        <v>174</v>
      </c>
      <c r="P6" t="s">
        <v>174</v>
      </c>
      <c r="Q6">
        <v>1</v>
      </c>
      <c r="W6">
        <v>0</v>
      </c>
      <c r="X6">
        <v>-1144644450</v>
      </c>
      <c r="Y6">
        <f t="shared" ref="Y6:Y11" si="3">(AT6*1)</f>
        <v>57.1</v>
      </c>
      <c r="AA6">
        <v>47.28</v>
      </c>
      <c r="AB6">
        <v>0</v>
      </c>
      <c r="AC6">
        <v>0</v>
      </c>
      <c r="AD6">
        <v>0</v>
      </c>
      <c r="AE6">
        <v>4.18</v>
      </c>
      <c r="AF6">
        <v>0</v>
      </c>
      <c r="AG6">
        <v>0</v>
      </c>
      <c r="AH6">
        <v>0</v>
      </c>
      <c r="AI6">
        <v>11.31</v>
      </c>
      <c r="AJ6">
        <v>1</v>
      </c>
      <c r="AK6">
        <v>1</v>
      </c>
      <c r="AL6">
        <v>1</v>
      </c>
      <c r="AM6">
        <v>2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57.1</v>
      </c>
      <c r="AU6" t="s">
        <v>24</v>
      </c>
      <c r="AV6">
        <v>0</v>
      </c>
      <c r="AW6">
        <v>2</v>
      </c>
      <c r="AX6">
        <v>56793623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ROUND(Y6*Source!I34,9)</f>
        <v>1.1419999999999999</v>
      </c>
      <c r="CY6">
        <f t="shared" ref="CY6:CY11" si="4">AA6</f>
        <v>47.28</v>
      </c>
      <c r="CZ6">
        <f t="shared" ref="CZ6:CZ11" si="5">AE6</f>
        <v>4.18</v>
      </c>
      <c r="DA6">
        <f t="shared" ref="DA6:DA11" si="6">AI6</f>
        <v>11.31</v>
      </c>
      <c r="DB6">
        <f t="shared" ref="DB6:DB11" si="7">ROUND((ROUND(AT6*CZ6,2)*1),6)</f>
        <v>238.68</v>
      </c>
      <c r="DC6">
        <f t="shared" ref="DC6:DC11" si="8">ROUND((ROUND(AT6*AG6,2)*1),6)</f>
        <v>0</v>
      </c>
      <c r="DD6" t="s">
        <v>3</v>
      </c>
      <c r="DE6" t="s">
        <v>3</v>
      </c>
      <c r="DF6">
        <f>ROUND(ROUND(AE6*AI6,2)*CX6,2)</f>
        <v>53.99</v>
      </c>
      <c r="DG6">
        <f t="shared" si="0"/>
        <v>0</v>
      </c>
      <c r="DH6">
        <f t="shared" si="1"/>
        <v>0</v>
      </c>
      <c r="DI6">
        <f t="shared" si="2"/>
        <v>0</v>
      </c>
      <c r="DJ6">
        <f t="shared" ref="DJ6:DJ11" si="9">DF6</f>
        <v>53.99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ROW(Source!A34)</f>
        <v>34</v>
      </c>
      <c r="B7">
        <v>56793366</v>
      </c>
      <c r="C7">
        <v>56793614</v>
      </c>
      <c r="D7">
        <v>55961439</v>
      </c>
      <c r="E7">
        <v>1</v>
      </c>
      <c r="F7">
        <v>1</v>
      </c>
      <c r="G7">
        <v>1081</v>
      </c>
      <c r="H7">
        <v>3</v>
      </c>
      <c r="I7" t="s">
        <v>362</v>
      </c>
      <c r="J7" t="s">
        <v>363</v>
      </c>
      <c r="K7" t="s">
        <v>364</v>
      </c>
      <c r="L7">
        <v>1348</v>
      </c>
      <c r="N7">
        <v>1009</v>
      </c>
      <c r="O7" t="s">
        <v>239</v>
      </c>
      <c r="P7" t="s">
        <v>239</v>
      </c>
      <c r="Q7">
        <v>1000</v>
      </c>
      <c r="W7">
        <v>0</v>
      </c>
      <c r="X7">
        <v>-105361351</v>
      </c>
      <c r="Y7">
        <f t="shared" si="3"/>
        <v>1.2E-4</v>
      </c>
      <c r="AA7">
        <v>79521.17</v>
      </c>
      <c r="AB7">
        <v>0</v>
      </c>
      <c r="AC7">
        <v>0</v>
      </c>
      <c r="AD7">
        <v>0</v>
      </c>
      <c r="AE7">
        <v>6512.79</v>
      </c>
      <c r="AF7">
        <v>0</v>
      </c>
      <c r="AG7">
        <v>0</v>
      </c>
      <c r="AH7">
        <v>0</v>
      </c>
      <c r="AI7">
        <v>12.21</v>
      </c>
      <c r="AJ7">
        <v>1</v>
      </c>
      <c r="AK7">
        <v>1</v>
      </c>
      <c r="AL7">
        <v>1</v>
      </c>
      <c r="AM7">
        <v>2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1.2E-4</v>
      </c>
      <c r="AU7" t="s">
        <v>24</v>
      </c>
      <c r="AV7">
        <v>0</v>
      </c>
      <c r="AW7">
        <v>2</v>
      </c>
      <c r="AX7">
        <v>56793624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ROUND(Y7*Source!I34,9)</f>
        <v>2.3999999999999999E-6</v>
      </c>
      <c r="CY7">
        <f t="shared" si="4"/>
        <v>79521.17</v>
      </c>
      <c r="CZ7">
        <f t="shared" si="5"/>
        <v>6512.79</v>
      </c>
      <c r="DA7">
        <f t="shared" si="6"/>
        <v>12.21</v>
      </c>
      <c r="DB7">
        <f t="shared" si="7"/>
        <v>0.78</v>
      </c>
      <c r="DC7">
        <f t="shared" si="8"/>
        <v>0</v>
      </c>
      <c r="DD7" t="s">
        <v>3</v>
      </c>
      <c r="DE7" t="s">
        <v>3</v>
      </c>
      <c r="DF7">
        <f>ROUND(ROUND(AE7*AI7,2)*CX7,2)</f>
        <v>0.19</v>
      </c>
      <c r="DG7">
        <f t="shared" si="0"/>
        <v>0</v>
      </c>
      <c r="DH7">
        <f t="shared" si="1"/>
        <v>0</v>
      </c>
      <c r="DI7">
        <f t="shared" si="2"/>
        <v>0</v>
      </c>
      <c r="DJ7">
        <f t="shared" si="9"/>
        <v>0.19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ROW(Source!A34)</f>
        <v>34</v>
      </c>
      <c r="B8">
        <v>56793366</v>
      </c>
      <c r="C8">
        <v>56793614</v>
      </c>
      <c r="D8">
        <v>55961451</v>
      </c>
      <c r="E8">
        <v>1</v>
      </c>
      <c r="F8">
        <v>1</v>
      </c>
      <c r="G8">
        <v>1081</v>
      </c>
      <c r="H8">
        <v>3</v>
      </c>
      <c r="I8" t="s">
        <v>365</v>
      </c>
      <c r="J8" t="s">
        <v>366</v>
      </c>
      <c r="K8" t="s">
        <v>367</v>
      </c>
      <c r="L8">
        <v>1348</v>
      </c>
      <c r="N8">
        <v>1009</v>
      </c>
      <c r="O8" t="s">
        <v>239</v>
      </c>
      <c r="P8" t="s">
        <v>239</v>
      </c>
      <c r="Q8">
        <v>1000</v>
      </c>
      <c r="W8">
        <v>0</v>
      </c>
      <c r="X8">
        <v>-2092697376</v>
      </c>
      <c r="Y8">
        <f t="shared" si="3"/>
        <v>0.11700000000000001</v>
      </c>
      <c r="AA8">
        <v>7318.08</v>
      </c>
      <c r="AB8">
        <v>0</v>
      </c>
      <c r="AC8">
        <v>0</v>
      </c>
      <c r="AD8">
        <v>0</v>
      </c>
      <c r="AE8">
        <v>1219.68</v>
      </c>
      <c r="AF8">
        <v>0</v>
      </c>
      <c r="AG8">
        <v>0</v>
      </c>
      <c r="AH8">
        <v>0</v>
      </c>
      <c r="AI8">
        <v>6</v>
      </c>
      <c r="AJ8">
        <v>1</v>
      </c>
      <c r="AK8">
        <v>1</v>
      </c>
      <c r="AL8">
        <v>1</v>
      </c>
      <c r="AM8">
        <v>2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0.11700000000000001</v>
      </c>
      <c r="AU8" t="s">
        <v>24</v>
      </c>
      <c r="AV8">
        <v>0</v>
      </c>
      <c r="AW8">
        <v>2</v>
      </c>
      <c r="AX8">
        <v>56793625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ROUND(Y8*Source!I34,9)</f>
        <v>2.3400000000000001E-3</v>
      </c>
      <c r="CY8">
        <f t="shared" si="4"/>
        <v>7318.08</v>
      </c>
      <c r="CZ8">
        <f t="shared" si="5"/>
        <v>1219.68</v>
      </c>
      <c r="DA8">
        <f t="shared" si="6"/>
        <v>6</v>
      </c>
      <c r="DB8">
        <f t="shared" si="7"/>
        <v>142.69999999999999</v>
      </c>
      <c r="DC8">
        <f t="shared" si="8"/>
        <v>0</v>
      </c>
      <c r="DD8" t="s">
        <v>3</v>
      </c>
      <c r="DE8" t="s">
        <v>3</v>
      </c>
      <c r="DF8">
        <f>ROUND(ROUND(AE8*AI8,2)*CX8,2)</f>
        <v>17.12</v>
      </c>
      <c r="DG8">
        <f t="shared" si="0"/>
        <v>0</v>
      </c>
      <c r="DH8">
        <f t="shared" si="1"/>
        <v>0</v>
      </c>
      <c r="DI8">
        <f t="shared" si="2"/>
        <v>0</v>
      </c>
      <c r="DJ8">
        <f t="shared" si="9"/>
        <v>17.12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ROW(Source!A34)</f>
        <v>34</v>
      </c>
      <c r="B9">
        <v>56793366</v>
      </c>
      <c r="C9">
        <v>56793614</v>
      </c>
      <c r="D9">
        <v>55961871</v>
      </c>
      <c r="E9">
        <v>1</v>
      </c>
      <c r="F9">
        <v>1</v>
      </c>
      <c r="G9">
        <v>1081</v>
      </c>
      <c r="H9">
        <v>3</v>
      </c>
      <c r="I9" t="s">
        <v>368</v>
      </c>
      <c r="J9" t="s">
        <v>369</v>
      </c>
      <c r="K9" t="s">
        <v>370</v>
      </c>
      <c r="L9">
        <v>1346</v>
      </c>
      <c r="N9">
        <v>1009</v>
      </c>
      <c r="O9" t="s">
        <v>146</v>
      </c>
      <c r="P9" t="s">
        <v>146</v>
      </c>
      <c r="Q9">
        <v>1</v>
      </c>
      <c r="W9">
        <v>0</v>
      </c>
      <c r="X9">
        <v>986628777</v>
      </c>
      <c r="Y9">
        <f t="shared" si="3"/>
        <v>72.2</v>
      </c>
      <c r="AA9">
        <v>140.86000000000001</v>
      </c>
      <c r="AB9">
        <v>0</v>
      </c>
      <c r="AC9">
        <v>0</v>
      </c>
      <c r="AD9">
        <v>0</v>
      </c>
      <c r="AE9">
        <v>9.85</v>
      </c>
      <c r="AF9">
        <v>0</v>
      </c>
      <c r="AG9">
        <v>0</v>
      </c>
      <c r="AH9">
        <v>0</v>
      </c>
      <c r="AI9">
        <v>14.3</v>
      </c>
      <c r="AJ9">
        <v>1</v>
      </c>
      <c r="AK9">
        <v>1</v>
      </c>
      <c r="AL9">
        <v>1</v>
      </c>
      <c r="AM9">
        <v>2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72.2</v>
      </c>
      <c r="AU9" t="s">
        <v>24</v>
      </c>
      <c r="AV9">
        <v>0</v>
      </c>
      <c r="AW9">
        <v>2</v>
      </c>
      <c r="AX9">
        <v>56793626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v>0</v>
      </c>
      <c r="CX9">
        <f>ROUND(Y9*Source!I34,9)</f>
        <v>1.444</v>
      </c>
      <c r="CY9">
        <f t="shared" si="4"/>
        <v>140.86000000000001</v>
      </c>
      <c r="CZ9">
        <f t="shared" si="5"/>
        <v>9.85</v>
      </c>
      <c r="DA9">
        <f t="shared" si="6"/>
        <v>14.3</v>
      </c>
      <c r="DB9">
        <f t="shared" si="7"/>
        <v>711.17</v>
      </c>
      <c r="DC9">
        <f t="shared" si="8"/>
        <v>0</v>
      </c>
      <c r="DD9" t="s">
        <v>3</v>
      </c>
      <c r="DE9" t="s">
        <v>3</v>
      </c>
      <c r="DF9">
        <f>ROUND(ROUND(AE9*AI9,2)*CX9,2)</f>
        <v>203.4</v>
      </c>
      <c r="DG9">
        <f t="shared" si="0"/>
        <v>0</v>
      </c>
      <c r="DH9">
        <f t="shared" si="1"/>
        <v>0</v>
      </c>
      <c r="DI9">
        <f t="shared" si="2"/>
        <v>0</v>
      </c>
      <c r="DJ9">
        <f t="shared" si="9"/>
        <v>203.4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ROW(Source!A34)</f>
        <v>34</v>
      </c>
      <c r="B10">
        <v>56793366</v>
      </c>
      <c r="C10">
        <v>56793614</v>
      </c>
      <c r="D10">
        <v>55968229</v>
      </c>
      <c r="E10">
        <v>1</v>
      </c>
      <c r="F10">
        <v>1</v>
      </c>
      <c r="G10">
        <v>1081</v>
      </c>
      <c r="H10">
        <v>3</v>
      </c>
      <c r="I10" t="s">
        <v>371</v>
      </c>
      <c r="J10" t="s">
        <v>372</v>
      </c>
      <c r="K10" t="s">
        <v>373</v>
      </c>
      <c r="L10">
        <v>1346</v>
      </c>
      <c r="N10">
        <v>1009</v>
      </c>
      <c r="O10" t="s">
        <v>146</v>
      </c>
      <c r="P10" t="s">
        <v>146</v>
      </c>
      <c r="Q10">
        <v>1</v>
      </c>
      <c r="W10">
        <v>0</v>
      </c>
      <c r="X10">
        <v>-8723236</v>
      </c>
      <c r="Y10">
        <f t="shared" si="3"/>
        <v>12.6</v>
      </c>
      <c r="AA10">
        <v>143.44999999999999</v>
      </c>
      <c r="AB10">
        <v>0</v>
      </c>
      <c r="AC10">
        <v>0</v>
      </c>
      <c r="AD10">
        <v>0</v>
      </c>
      <c r="AE10">
        <v>20.76</v>
      </c>
      <c r="AF10">
        <v>0</v>
      </c>
      <c r="AG10">
        <v>0</v>
      </c>
      <c r="AH10">
        <v>0</v>
      </c>
      <c r="AI10">
        <v>6.91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12.6</v>
      </c>
      <c r="AU10" t="s">
        <v>24</v>
      </c>
      <c r="AV10">
        <v>0</v>
      </c>
      <c r="AW10">
        <v>2</v>
      </c>
      <c r="AX10">
        <v>56793627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ROUND(Y10*Source!I34,9)</f>
        <v>0.252</v>
      </c>
      <c r="CY10">
        <f t="shared" si="4"/>
        <v>143.44999999999999</v>
      </c>
      <c r="CZ10">
        <f t="shared" si="5"/>
        <v>20.76</v>
      </c>
      <c r="DA10">
        <f t="shared" si="6"/>
        <v>6.91</v>
      </c>
      <c r="DB10">
        <f t="shared" si="7"/>
        <v>261.58</v>
      </c>
      <c r="DC10">
        <f t="shared" si="8"/>
        <v>0</v>
      </c>
      <c r="DD10" t="s">
        <v>3</v>
      </c>
      <c r="DE10" t="s">
        <v>3</v>
      </c>
      <c r="DF10">
        <f>ROUND(ROUND(AE10*AI10,2)*CX10,2)</f>
        <v>36.15</v>
      </c>
      <c r="DG10">
        <f t="shared" si="0"/>
        <v>0</v>
      </c>
      <c r="DH10">
        <f t="shared" si="1"/>
        <v>0</v>
      </c>
      <c r="DI10">
        <f t="shared" si="2"/>
        <v>0</v>
      </c>
      <c r="DJ10">
        <f t="shared" si="9"/>
        <v>36.15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ROW(Source!A34)</f>
        <v>34</v>
      </c>
      <c r="B11">
        <v>56793366</v>
      </c>
      <c r="C11">
        <v>56793614</v>
      </c>
      <c r="D11">
        <v>0</v>
      </c>
      <c r="E11">
        <v>1081</v>
      </c>
      <c r="F11">
        <v>1</v>
      </c>
      <c r="G11">
        <v>1081</v>
      </c>
      <c r="H11">
        <v>3</v>
      </c>
      <c r="I11" t="s">
        <v>39</v>
      </c>
      <c r="J11" t="s">
        <v>3</v>
      </c>
      <c r="K11" t="s">
        <v>40</v>
      </c>
      <c r="L11">
        <v>1035</v>
      </c>
      <c r="N11">
        <v>1013</v>
      </c>
      <c r="O11" t="s">
        <v>41</v>
      </c>
      <c r="P11" t="s">
        <v>41</v>
      </c>
      <c r="Q11">
        <v>1</v>
      </c>
      <c r="W11">
        <v>0</v>
      </c>
      <c r="X11">
        <v>773301147</v>
      </c>
      <c r="Y11">
        <f t="shared" si="3"/>
        <v>50</v>
      </c>
      <c r="AA11">
        <v>2686.78</v>
      </c>
      <c r="AB11">
        <v>0</v>
      </c>
      <c r="AC11">
        <v>0</v>
      </c>
      <c r="AD11">
        <v>0</v>
      </c>
      <c r="AE11">
        <v>2686.7799999999997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M11">
        <v>0</v>
      </c>
      <c r="AN11">
        <v>0</v>
      </c>
      <c r="AO11">
        <v>0</v>
      </c>
      <c r="AP11">
        <v>1</v>
      </c>
      <c r="AQ11">
        <v>0</v>
      </c>
      <c r="AR11">
        <v>0</v>
      </c>
      <c r="AS11" t="s">
        <v>3</v>
      </c>
      <c r="AT11">
        <v>50</v>
      </c>
      <c r="AU11" t="s">
        <v>24</v>
      </c>
      <c r="AV11">
        <v>0</v>
      </c>
      <c r="AW11">
        <v>1</v>
      </c>
      <c r="AX11">
        <v>-1</v>
      </c>
      <c r="AY11">
        <v>0</v>
      </c>
      <c r="AZ11">
        <v>0</v>
      </c>
      <c r="BA11" t="s">
        <v>3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ROUND(Y11*Source!I34,9)</f>
        <v>1</v>
      </c>
      <c r="CY11">
        <f t="shared" si="4"/>
        <v>2686.78</v>
      </c>
      <c r="CZ11">
        <f t="shared" si="5"/>
        <v>2686.7799999999997</v>
      </c>
      <c r="DA11">
        <f t="shared" si="6"/>
        <v>1</v>
      </c>
      <c r="DB11">
        <f t="shared" si="7"/>
        <v>134339</v>
      </c>
      <c r="DC11">
        <f t="shared" si="8"/>
        <v>0</v>
      </c>
      <c r="DD11" t="s">
        <v>3</v>
      </c>
      <c r="DE11" t="s">
        <v>3</v>
      </c>
      <c r="DF11">
        <f>ROUND(ROUND(AE11,2)*CX11,2)</f>
        <v>2686.78</v>
      </c>
      <c r="DG11">
        <f t="shared" si="0"/>
        <v>0</v>
      </c>
      <c r="DH11">
        <f t="shared" si="1"/>
        <v>0</v>
      </c>
      <c r="DI11">
        <f t="shared" si="2"/>
        <v>0</v>
      </c>
      <c r="DJ11">
        <f t="shared" si="9"/>
        <v>2686.78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ROW(Source!A36)</f>
        <v>36</v>
      </c>
      <c r="B12">
        <v>56793366</v>
      </c>
      <c r="C12">
        <v>56793630</v>
      </c>
      <c r="D12">
        <v>55926487</v>
      </c>
      <c r="E12">
        <v>1081</v>
      </c>
      <c r="F12">
        <v>1</v>
      </c>
      <c r="G12">
        <v>1081</v>
      </c>
      <c r="H12">
        <v>1</v>
      </c>
      <c r="I12" t="s">
        <v>354</v>
      </c>
      <c r="J12" t="s">
        <v>3</v>
      </c>
      <c r="K12" t="s">
        <v>355</v>
      </c>
      <c r="L12">
        <v>1191</v>
      </c>
      <c r="N12">
        <v>1013</v>
      </c>
      <c r="O12" t="s">
        <v>356</v>
      </c>
      <c r="P12" t="s">
        <v>356</v>
      </c>
      <c r="Q12">
        <v>1</v>
      </c>
      <c r="W12">
        <v>0</v>
      </c>
      <c r="X12">
        <v>476480486</v>
      </c>
      <c r="Y12">
        <f>(AT12*1.15)</f>
        <v>103.38500000000001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89.9</v>
      </c>
      <c r="AU12" t="s">
        <v>48</v>
      </c>
      <c r="AV12">
        <v>1</v>
      </c>
      <c r="AW12">
        <v>2</v>
      </c>
      <c r="AX12">
        <v>56793646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U12">
        <f>ROUND(AT12*Source!I36*AH12*AL12,2)</f>
        <v>0</v>
      </c>
      <c r="CV12">
        <f>ROUND(Y12*Source!I36,9)</f>
        <v>1.86093</v>
      </c>
      <c r="CW12">
        <v>0</v>
      </c>
      <c r="CX12">
        <f>ROUND(Y12*Source!I36,9)</f>
        <v>1.86093</v>
      </c>
      <c r="CY12">
        <f>AD12</f>
        <v>0</v>
      </c>
      <c r="CZ12">
        <f>AH12</f>
        <v>0</v>
      </c>
      <c r="DA12">
        <f>AL12</f>
        <v>1</v>
      </c>
      <c r="DB12">
        <f>ROUND((ROUND(AT12*CZ12,2)*1.15),6)</f>
        <v>0</v>
      </c>
      <c r="DC12">
        <f>ROUND((ROUND(AT12*AG12,2)*1.15),6)</f>
        <v>0</v>
      </c>
      <c r="DD12" t="s">
        <v>3</v>
      </c>
      <c r="DE12" t="s">
        <v>3</v>
      </c>
      <c r="DF12">
        <f>ROUND(ROUND(AE12,2)*CX12,2)</f>
        <v>0</v>
      </c>
      <c r="DG12">
        <f t="shared" si="0"/>
        <v>0</v>
      </c>
      <c r="DH12">
        <f t="shared" si="1"/>
        <v>0</v>
      </c>
      <c r="DI12">
        <f t="shared" si="2"/>
        <v>0</v>
      </c>
      <c r="DJ12">
        <f>DI12</f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ROW(Source!A36)</f>
        <v>36</v>
      </c>
      <c r="B13">
        <v>56793366</v>
      </c>
      <c r="C13">
        <v>56793630</v>
      </c>
      <c r="D13">
        <v>55992399</v>
      </c>
      <c r="E13">
        <v>1</v>
      </c>
      <c r="F13">
        <v>1</v>
      </c>
      <c r="G13">
        <v>1081</v>
      </c>
      <c r="H13">
        <v>2</v>
      </c>
      <c r="I13" t="s">
        <v>374</v>
      </c>
      <c r="J13" t="s">
        <v>375</v>
      </c>
      <c r="K13" t="s">
        <v>376</v>
      </c>
      <c r="L13">
        <v>1368</v>
      </c>
      <c r="N13">
        <v>1011</v>
      </c>
      <c r="O13" t="s">
        <v>377</v>
      </c>
      <c r="P13" t="s">
        <v>377</v>
      </c>
      <c r="Q13">
        <v>1</v>
      </c>
      <c r="W13">
        <v>0</v>
      </c>
      <c r="X13">
        <v>874612079</v>
      </c>
      <c r="Y13">
        <f>(AT13*1.15)</f>
        <v>2.1044999999999998</v>
      </c>
      <c r="AA13">
        <v>0</v>
      </c>
      <c r="AB13">
        <v>1518.25</v>
      </c>
      <c r="AC13">
        <v>753.81</v>
      </c>
      <c r="AD13">
        <v>0</v>
      </c>
      <c r="AE13">
        <v>0</v>
      </c>
      <c r="AF13">
        <v>83.1</v>
      </c>
      <c r="AG13">
        <v>12.62</v>
      </c>
      <c r="AH13">
        <v>0</v>
      </c>
      <c r="AI13">
        <v>1</v>
      </c>
      <c r="AJ13">
        <v>17.45</v>
      </c>
      <c r="AK13">
        <v>57.05</v>
      </c>
      <c r="AL13">
        <v>1</v>
      </c>
      <c r="AM13">
        <v>2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1.83</v>
      </c>
      <c r="AU13" t="s">
        <v>48</v>
      </c>
      <c r="AV13">
        <v>0</v>
      </c>
      <c r="AW13">
        <v>2</v>
      </c>
      <c r="AX13">
        <v>56793647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f>ROUND(Y13*Source!I36*DO13,9)</f>
        <v>0.47805821999999998</v>
      </c>
      <c r="CX13">
        <f>ROUND(Y13*Source!I36,9)</f>
        <v>3.7880999999999998E-2</v>
      </c>
      <c r="CY13">
        <f>AB13</f>
        <v>1518.25</v>
      </c>
      <c r="CZ13">
        <f>AF13</f>
        <v>83.1</v>
      </c>
      <c r="DA13">
        <f>AJ13</f>
        <v>17.45</v>
      </c>
      <c r="DB13">
        <f>ROUND((ROUND(AT13*CZ13,2)*1.15),6)</f>
        <v>174.88050000000001</v>
      </c>
      <c r="DC13">
        <f>ROUND((ROUND(AT13*AG13,2)*1.15),6)</f>
        <v>26.5535</v>
      </c>
      <c r="DD13" t="s">
        <v>3</v>
      </c>
      <c r="DE13" t="s">
        <v>3</v>
      </c>
      <c r="DF13">
        <f>ROUND(ROUND(AE13,2)*CX13,2)</f>
        <v>0</v>
      </c>
      <c r="DG13">
        <f>ROUND(ROUND(AF13*AJ13,2)*CX13,2)</f>
        <v>54.93</v>
      </c>
      <c r="DH13">
        <f>ROUND(ROUND(AG13*AK13,2)*CX13,2)</f>
        <v>27.27</v>
      </c>
      <c r="DI13">
        <f t="shared" si="2"/>
        <v>0</v>
      </c>
      <c r="DJ13">
        <f>DG13</f>
        <v>54.93</v>
      </c>
      <c r="DK13">
        <v>0</v>
      </c>
      <c r="DL13" t="s">
        <v>378</v>
      </c>
      <c r="DM13">
        <v>0</v>
      </c>
      <c r="DN13" t="s">
        <v>356</v>
      </c>
      <c r="DO13">
        <v>12.62</v>
      </c>
    </row>
    <row r="14" spans="1:119" x14ac:dyDescent="0.2">
      <c r="A14">
        <f>ROW(Source!A36)</f>
        <v>36</v>
      </c>
      <c r="B14">
        <v>56793366</v>
      </c>
      <c r="C14">
        <v>56793630</v>
      </c>
      <c r="D14">
        <v>55991633</v>
      </c>
      <c r="E14">
        <v>1</v>
      </c>
      <c r="F14">
        <v>1</v>
      </c>
      <c r="G14">
        <v>1081</v>
      </c>
      <c r="H14">
        <v>2</v>
      </c>
      <c r="I14" t="s">
        <v>379</v>
      </c>
      <c r="J14" t="s">
        <v>380</v>
      </c>
      <c r="K14" t="s">
        <v>381</v>
      </c>
      <c r="L14">
        <v>1368</v>
      </c>
      <c r="N14">
        <v>1011</v>
      </c>
      <c r="O14" t="s">
        <v>377</v>
      </c>
      <c r="P14" t="s">
        <v>377</v>
      </c>
      <c r="Q14">
        <v>1</v>
      </c>
      <c r="W14">
        <v>0</v>
      </c>
      <c r="X14">
        <v>-44940208</v>
      </c>
      <c r="Y14">
        <f>(AT14*1.15)</f>
        <v>1.7479999999999998</v>
      </c>
      <c r="AA14">
        <v>0</v>
      </c>
      <c r="AB14">
        <v>2858.89</v>
      </c>
      <c r="AC14">
        <v>1011.25</v>
      </c>
      <c r="AD14">
        <v>0</v>
      </c>
      <c r="AE14">
        <v>0</v>
      </c>
      <c r="AF14">
        <v>179.17</v>
      </c>
      <c r="AG14">
        <v>16.93</v>
      </c>
      <c r="AH14">
        <v>0</v>
      </c>
      <c r="AI14">
        <v>1</v>
      </c>
      <c r="AJ14">
        <v>15.24</v>
      </c>
      <c r="AK14">
        <v>57.05</v>
      </c>
      <c r="AL14">
        <v>1</v>
      </c>
      <c r="AM14">
        <v>2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1.52</v>
      </c>
      <c r="AU14" t="s">
        <v>48</v>
      </c>
      <c r="AV14">
        <v>0</v>
      </c>
      <c r="AW14">
        <v>2</v>
      </c>
      <c r="AX14">
        <v>56793648</v>
      </c>
      <c r="AY14">
        <v>1</v>
      </c>
      <c r="AZ14">
        <v>2048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f>ROUND(Y14*Source!I36*DO14,9)</f>
        <v>0.53268552000000002</v>
      </c>
      <c r="CX14">
        <f>ROUND(Y14*Source!I36,9)</f>
        <v>3.1463999999999999E-2</v>
      </c>
      <c r="CY14">
        <f>AB14</f>
        <v>2858.89</v>
      </c>
      <c r="CZ14">
        <f>AF14</f>
        <v>179.17</v>
      </c>
      <c r="DA14">
        <f>AJ14</f>
        <v>15.24</v>
      </c>
      <c r="DB14">
        <f>ROUND((ROUND(AT14*CZ14,2)*1.15),6)</f>
        <v>313.19099999999997</v>
      </c>
      <c r="DC14">
        <f>ROUND((ROUND(AT14*AG14,2)*1.15),6)</f>
        <v>29.589500000000001</v>
      </c>
      <c r="DD14" t="s">
        <v>3</v>
      </c>
      <c r="DE14" t="s">
        <v>3</v>
      </c>
      <c r="DF14">
        <f>ROUND(ROUND(AE14,2)*CX14,2)</f>
        <v>0</v>
      </c>
      <c r="DG14">
        <f>ROUND(ROUND(AF14*AJ14,2)*CX14,2)</f>
        <v>85.91</v>
      </c>
      <c r="DH14">
        <f>ROUND(ROUND(AG14*AK14,2)*CX14,2)</f>
        <v>30.39</v>
      </c>
      <c r="DI14">
        <f t="shared" si="2"/>
        <v>0</v>
      </c>
      <c r="DJ14">
        <f>DG14</f>
        <v>85.91</v>
      </c>
      <c r="DK14">
        <v>0</v>
      </c>
      <c r="DL14" t="s">
        <v>378</v>
      </c>
      <c r="DM14">
        <v>0</v>
      </c>
      <c r="DN14" t="s">
        <v>356</v>
      </c>
      <c r="DO14">
        <v>16.93</v>
      </c>
    </row>
    <row r="15" spans="1:119" x14ac:dyDescent="0.2">
      <c r="A15">
        <f>ROW(Source!A36)</f>
        <v>36</v>
      </c>
      <c r="B15">
        <v>56793366</v>
      </c>
      <c r="C15">
        <v>56793630</v>
      </c>
      <c r="D15">
        <v>55991822</v>
      </c>
      <c r="E15">
        <v>1</v>
      </c>
      <c r="F15">
        <v>1</v>
      </c>
      <c r="G15">
        <v>1081</v>
      </c>
      <c r="H15">
        <v>2</v>
      </c>
      <c r="I15" t="s">
        <v>382</v>
      </c>
      <c r="J15" t="s">
        <v>383</v>
      </c>
      <c r="K15" t="s">
        <v>384</v>
      </c>
      <c r="L15">
        <v>1368</v>
      </c>
      <c r="N15">
        <v>1011</v>
      </c>
      <c r="O15" t="s">
        <v>377</v>
      </c>
      <c r="P15" t="s">
        <v>377</v>
      </c>
      <c r="Q15">
        <v>1</v>
      </c>
      <c r="W15">
        <v>0</v>
      </c>
      <c r="X15">
        <v>451112524</v>
      </c>
      <c r="Y15">
        <f>(AT15*1.15)</f>
        <v>2.0585</v>
      </c>
      <c r="AA15">
        <v>0</v>
      </c>
      <c r="AB15">
        <v>172.2</v>
      </c>
      <c r="AC15">
        <v>0</v>
      </c>
      <c r="AD15">
        <v>0</v>
      </c>
      <c r="AE15">
        <v>0</v>
      </c>
      <c r="AF15">
        <v>12.32</v>
      </c>
      <c r="AG15">
        <v>0</v>
      </c>
      <c r="AH15">
        <v>0</v>
      </c>
      <c r="AI15">
        <v>1</v>
      </c>
      <c r="AJ15">
        <v>13.35</v>
      </c>
      <c r="AK15">
        <v>1</v>
      </c>
      <c r="AL15">
        <v>1</v>
      </c>
      <c r="AM15">
        <v>2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1.79</v>
      </c>
      <c r="AU15" t="s">
        <v>48</v>
      </c>
      <c r="AV15">
        <v>0</v>
      </c>
      <c r="AW15">
        <v>2</v>
      </c>
      <c r="AX15">
        <v>56793649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f>ROUND(Y15*Source!I36*DO15,9)</f>
        <v>0</v>
      </c>
      <c r="CX15">
        <f>ROUND(Y15*Source!I36,9)</f>
        <v>3.7053000000000003E-2</v>
      </c>
      <c r="CY15">
        <f>AB15</f>
        <v>172.2</v>
      </c>
      <c r="CZ15">
        <f>AF15</f>
        <v>12.32</v>
      </c>
      <c r="DA15">
        <f>AJ15</f>
        <v>13.35</v>
      </c>
      <c r="DB15">
        <f>ROUND((ROUND(AT15*CZ15,2)*1.15),6)</f>
        <v>25.357500000000002</v>
      </c>
      <c r="DC15">
        <f>ROUND((ROUND(AT15*AG15,2)*1.15),6)</f>
        <v>0</v>
      </c>
      <c r="DD15" t="s">
        <v>3</v>
      </c>
      <c r="DE15" t="s">
        <v>3</v>
      </c>
      <c r="DF15">
        <f>ROUND(ROUND(AE15,2)*CX15,2)</f>
        <v>0</v>
      </c>
      <c r="DG15">
        <f>ROUND(ROUND(AF15*AJ15,2)*CX15,2)</f>
        <v>6.09</v>
      </c>
      <c r="DH15">
        <f t="shared" ref="DH15:DH34" si="10">ROUND(ROUND(AG15,2)*CX15,2)</f>
        <v>0</v>
      </c>
      <c r="DI15">
        <f t="shared" si="2"/>
        <v>0</v>
      </c>
      <c r="DJ15">
        <f>DG15</f>
        <v>6.09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ROW(Source!A36)</f>
        <v>36</v>
      </c>
      <c r="B16">
        <v>56793366</v>
      </c>
      <c r="C16">
        <v>56793630</v>
      </c>
      <c r="D16">
        <v>55962056</v>
      </c>
      <c r="E16">
        <v>1</v>
      </c>
      <c r="F16">
        <v>1</v>
      </c>
      <c r="G16">
        <v>1081</v>
      </c>
      <c r="H16">
        <v>3</v>
      </c>
      <c r="I16" t="s">
        <v>385</v>
      </c>
      <c r="J16" t="s">
        <v>386</v>
      </c>
      <c r="K16" t="s">
        <v>387</v>
      </c>
      <c r="L16">
        <v>1348</v>
      </c>
      <c r="N16">
        <v>1009</v>
      </c>
      <c r="O16" t="s">
        <v>239</v>
      </c>
      <c r="P16" t="s">
        <v>239</v>
      </c>
      <c r="Q16">
        <v>1000</v>
      </c>
      <c r="W16">
        <v>0</v>
      </c>
      <c r="X16">
        <v>-1072644593</v>
      </c>
      <c r="Y16">
        <f t="shared" ref="Y16:Y24" si="11">(AT16*1)</f>
        <v>2.3599999999999999E-2</v>
      </c>
      <c r="AA16">
        <v>17776.919999999998</v>
      </c>
      <c r="AB16">
        <v>0</v>
      </c>
      <c r="AC16">
        <v>0</v>
      </c>
      <c r="AD16">
        <v>0</v>
      </c>
      <c r="AE16">
        <v>1454.74</v>
      </c>
      <c r="AF16">
        <v>0</v>
      </c>
      <c r="AG16">
        <v>0</v>
      </c>
      <c r="AH16">
        <v>0</v>
      </c>
      <c r="AI16">
        <v>12.22</v>
      </c>
      <c r="AJ16">
        <v>1</v>
      </c>
      <c r="AK16">
        <v>1</v>
      </c>
      <c r="AL16">
        <v>1</v>
      </c>
      <c r="AM16">
        <v>2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2.3599999999999999E-2</v>
      </c>
      <c r="AU16" t="s">
        <v>24</v>
      </c>
      <c r="AV16">
        <v>0</v>
      </c>
      <c r="AW16">
        <v>2</v>
      </c>
      <c r="AX16">
        <v>56793650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ROUND(Y16*Source!I36,9)</f>
        <v>4.2480000000000003E-4</v>
      </c>
      <c r="CY16">
        <f t="shared" ref="CY16:CY26" si="12">AA16</f>
        <v>17776.919999999998</v>
      </c>
      <c r="CZ16">
        <f t="shared" ref="CZ16:CZ26" si="13">AE16</f>
        <v>1454.74</v>
      </c>
      <c r="DA16">
        <f t="shared" ref="DA16:DA26" si="14">AI16</f>
        <v>12.22</v>
      </c>
      <c r="DB16">
        <f t="shared" ref="DB16:DB24" si="15">ROUND((ROUND(AT16*CZ16,2)*1),6)</f>
        <v>34.33</v>
      </c>
      <c r="DC16">
        <f t="shared" ref="DC16:DC24" si="16">ROUND((ROUND(AT16*AG16,2)*1),6)</f>
        <v>0</v>
      </c>
      <c r="DD16" t="s">
        <v>3</v>
      </c>
      <c r="DE16" t="s">
        <v>3</v>
      </c>
      <c r="DF16">
        <f t="shared" ref="DF16:DF25" si="17">ROUND(ROUND(AE16*AI16,2)*CX16,2)</f>
        <v>7.55</v>
      </c>
      <c r="DG16">
        <f t="shared" ref="DG16:DG33" si="18">ROUND(ROUND(AF16,2)*CX16,2)</f>
        <v>0</v>
      </c>
      <c r="DH16">
        <f t="shared" si="10"/>
        <v>0</v>
      </c>
      <c r="DI16">
        <f t="shared" si="2"/>
        <v>0</v>
      </c>
      <c r="DJ16">
        <f t="shared" ref="DJ16:DJ26" si="19">DF16</f>
        <v>7.55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ROW(Source!A36)</f>
        <v>36</v>
      </c>
      <c r="B17">
        <v>56793366</v>
      </c>
      <c r="C17">
        <v>56793630</v>
      </c>
      <c r="D17">
        <v>55961439</v>
      </c>
      <c r="E17">
        <v>1</v>
      </c>
      <c r="F17">
        <v>1</v>
      </c>
      <c r="G17">
        <v>1081</v>
      </c>
      <c r="H17">
        <v>3</v>
      </c>
      <c r="I17" t="s">
        <v>362</v>
      </c>
      <c r="J17" t="s">
        <v>363</v>
      </c>
      <c r="K17" t="s">
        <v>364</v>
      </c>
      <c r="L17">
        <v>1348</v>
      </c>
      <c r="N17">
        <v>1009</v>
      </c>
      <c r="O17" t="s">
        <v>239</v>
      </c>
      <c r="P17" t="s">
        <v>239</v>
      </c>
      <c r="Q17">
        <v>1000</v>
      </c>
      <c r="W17">
        <v>0</v>
      </c>
      <c r="X17">
        <v>-105361351</v>
      </c>
      <c r="Y17">
        <f t="shared" si="11"/>
        <v>4.13E-3</v>
      </c>
      <c r="AA17">
        <v>79521.17</v>
      </c>
      <c r="AB17">
        <v>0</v>
      </c>
      <c r="AC17">
        <v>0</v>
      </c>
      <c r="AD17">
        <v>0</v>
      </c>
      <c r="AE17">
        <v>6512.79</v>
      </c>
      <c r="AF17">
        <v>0</v>
      </c>
      <c r="AG17">
        <v>0</v>
      </c>
      <c r="AH17">
        <v>0</v>
      </c>
      <c r="AI17">
        <v>12.21</v>
      </c>
      <c r="AJ17">
        <v>1</v>
      </c>
      <c r="AK17">
        <v>1</v>
      </c>
      <c r="AL17">
        <v>1</v>
      </c>
      <c r="AM17">
        <v>2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4.13E-3</v>
      </c>
      <c r="AU17" t="s">
        <v>24</v>
      </c>
      <c r="AV17">
        <v>0</v>
      </c>
      <c r="AW17">
        <v>2</v>
      </c>
      <c r="AX17">
        <v>56793651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ROUND(Y17*Source!I36,9)</f>
        <v>7.4339999999999996E-5</v>
      </c>
      <c r="CY17">
        <f t="shared" si="12"/>
        <v>79521.17</v>
      </c>
      <c r="CZ17">
        <f t="shared" si="13"/>
        <v>6512.79</v>
      </c>
      <c r="DA17">
        <f t="shared" si="14"/>
        <v>12.21</v>
      </c>
      <c r="DB17">
        <f t="shared" si="15"/>
        <v>26.9</v>
      </c>
      <c r="DC17">
        <f t="shared" si="16"/>
        <v>0</v>
      </c>
      <c r="DD17" t="s">
        <v>3</v>
      </c>
      <c r="DE17" t="s">
        <v>3</v>
      </c>
      <c r="DF17">
        <f t="shared" si="17"/>
        <v>5.91</v>
      </c>
      <c r="DG17">
        <f t="shared" si="18"/>
        <v>0</v>
      </c>
      <c r="DH17">
        <f t="shared" si="10"/>
        <v>0</v>
      </c>
      <c r="DI17">
        <f t="shared" si="2"/>
        <v>0</v>
      </c>
      <c r="DJ17">
        <f t="shared" si="19"/>
        <v>5.91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ROW(Source!A36)</f>
        <v>36</v>
      </c>
      <c r="B18">
        <v>56793366</v>
      </c>
      <c r="C18">
        <v>56793630</v>
      </c>
      <c r="D18">
        <v>55961440</v>
      </c>
      <c r="E18">
        <v>1</v>
      </c>
      <c r="F18">
        <v>1</v>
      </c>
      <c r="G18">
        <v>1081</v>
      </c>
      <c r="H18">
        <v>3</v>
      </c>
      <c r="I18" t="s">
        <v>388</v>
      </c>
      <c r="J18" t="s">
        <v>389</v>
      </c>
      <c r="K18" t="s">
        <v>390</v>
      </c>
      <c r="L18">
        <v>1348</v>
      </c>
      <c r="N18">
        <v>1009</v>
      </c>
      <c r="O18" t="s">
        <v>239</v>
      </c>
      <c r="P18" t="s">
        <v>239</v>
      </c>
      <c r="Q18">
        <v>1000</v>
      </c>
      <c r="W18">
        <v>0</v>
      </c>
      <c r="X18">
        <v>2044623683</v>
      </c>
      <c r="Y18">
        <f t="shared" si="11"/>
        <v>2.0999999999999999E-3</v>
      </c>
      <c r="AA18">
        <v>91803.34</v>
      </c>
      <c r="AB18">
        <v>0</v>
      </c>
      <c r="AC18">
        <v>0</v>
      </c>
      <c r="AD18">
        <v>0</v>
      </c>
      <c r="AE18">
        <v>7866.61</v>
      </c>
      <c r="AF18">
        <v>0</v>
      </c>
      <c r="AG18">
        <v>0</v>
      </c>
      <c r="AH18">
        <v>0</v>
      </c>
      <c r="AI18">
        <v>11.67</v>
      </c>
      <c r="AJ18">
        <v>1</v>
      </c>
      <c r="AK18">
        <v>1</v>
      </c>
      <c r="AL18">
        <v>1</v>
      </c>
      <c r="AM18">
        <v>2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2.0999999999999999E-3</v>
      </c>
      <c r="AU18" t="s">
        <v>24</v>
      </c>
      <c r="AV18">
        <v>0</v>
      </c>
      <c r="AW18">
        <v>2</v>
      </c>
      <c r="AX18">
        <v>56793652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ROUND(Y18*Source!I36,9)</f>
        <v>3.7799999999999997E-5</v>
      </c>
      <c r="CY18">
        <f t="shared" si="12"/>
        <v>91803.34</v>
      </c>
      <c r="CZ18">
        <f t="shared" si="13"/>
        <v>7866.61</v>
      </c>
      <c r="DA18">
        <f t="shared" si="14"/>
        <v>11.67</v>
      </c>
      <c r="DB18">
        <f t="shared" si="15"/>
        <v>16.52</v>
      </c>
      <c r="DC18">
        <f t="shared" si="16"/>
        <v>0</v>
      </c>
      <c r="DD18" t="s">
        <v>3</v>
      </c>
      <c r="DE18" t="s">
        <v>3</v>
      </c>
      <c r="DF18">
        <f t="shared" si="17"/>
        <v>3.47</v>
      </c>
      <c r="DG18">
        <f t="shared" si="18"/>
        <v>0</v>
      </c>
      <c r="DH18">
        <f t="shared" si="10"/>
        <v>0</v>
      </c>
      <c r="DI18">
        <f t="shared" si="2"/>
        <v>0</v>
      </c>
      <c r="DJ18">
        <f t="shared" si="19"/>
        <v>3.47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ROW(Source!A36)</f>
        <v>36</v>
      </c>
      <c r="B19">
        <v>56793366</v>
      </c>
      <c r="C19">
        <v>56793630</v>
      </c>
      <c r="D19">
        <v>55961451</v>
      </c>
      <c r="E19">
        <v>1</v>
      </c>
      <c r="F19">
        <v>1</v>
      </c>
      <c r="G19">
        <v>1081</v>
      </c>
      <c r="H19">
        <v>3</v>
      </c>
      <c r="I19" t="s">
        <v>365</v>
      </c>
      <c r="J19" t="s">
        <v>366</v>
      </c>
      <c r="K19" t="s">
        <v>367</v>
      </c>
      <c r="L19">
        <v>1348</v>
      </c>
      <c r="N19">
        <v>1009</v>
      </c>
      <c r="O19" t="s">
        <v>239</v>
      </c>
      <c r="P19" t="s">
        <v>239</v>
      </c>
      <c r="Q19">
        <v>1000</v>
      </c>
      <c r="W19">
        <v>0</v>
      </c>
      <c r="X19">
        <v>-2092697376</v>
      </c>
      <c r="Y19">
        <f t="shared" si="11"/>
        <v>1.6E-2</v>
      </c>
      <c r="AA19">
        <v>7318.08</v>
      </c>
      <c r="AB19">
        <v>0</v>
      </c>
      <c r="AC19">
        <v>0</v>
      </c>
      <c r="AD19">
        <v>0</v>
      </c>
      <c r="AE19">
        <v>1219.68</v>
      </c>
      <c r="AF19">
        <v>0</v>
      </c>
      <c r="AG19">
        <v>0</v>
      </c>
      <c r="AH19">
        <v>0</v>
      </c>
      <c r="AI19">
        <v>6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1.6E-2</v>
      </c>
      <c r="AU19" t="s">
        <v>24</v>
      </c>
      <c r="AV19">
        <v>0</v>
      </c>
      <c r="AW19">
        <v>2</v>
      </c>
      <c r="AX19">
        <v>56793653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v>0</v>
      </c>
      <c r="CX19">
        <f>ROUND(Y19*Source!I36,9)</f>
        <v>2.8800000000000001E-4</v>
      </c>
      <c r="CY19">
        <f t="shared" si="12"/>
        <v>7318.08</v>
      </c>
      <c r="CZ19">
        <f t="shared" si="13"/>
        <v>1219.68</v>
      </c>
      <c r="DA19">
        <f t="shared" si="14"/>
        <v>6</v>
      </c>
      <c r="DB19">
        <f t="shared" si="15"/>
        <v>19.510000000000002</v>
      </c>
      <c r="DC19">
        <f t="shared" si="16"/>
        <v>0</v>
      </c>
      <c r="DD19" t="s">
        <v>3</v>
      </c>
      <c r="DE19" t="s">
        <v>3</v>
      </c>
      <c r="DF19">
        <f t="shared" si="17"/>
        <v>2.11</v>
      </c>
      <c r="DG19">
        <f t="shared" si="18"/>
        <v>0</v>
      </c>
      <c r="DH19">
        <f t="shared" si="10"/>
        <v>0</v>
      </c>
      <c r="DI19">
        <f t="shared" si="2"/>
        <v>0</v>
      </c>
      <c r="DJ19">
        <f t="shared" si="19"/>
        <v>2.11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ROW(Source!A36)</f>
        <v>36</v>
      </c>
      <c r="B20">
        <v>56793366</v>
      </c>
      <c r="C20">
        <v>56793630</v>
      </c>
      <c r="D20">
        <v>55961519</v>
      </c>
      <c r="E20">
        <v>1</v>
      </c>
      <c r="F20">
        <v>1</v>
      </c>
      <c r="G20">
        <v>1081</v>
      </c>
      <c r="H20">
        <v>3</v>
      </c>
      <c r="I20" t="s">
        <v>391</v>
      </c>
      <c r="J20" t="s">
        <v>392</v>
      </c>
      <c r="K20" t="s">
        <v>393</v>
      </c>
      <c r="L20">
        <v>1339</v>
      </c>
      <c r="N20">
        <v>1007</v>
      </c>
      <c r="O20" t="s">
        <v>151</v>
      </c>
      <c r="P20" t="s">
        <v>151</v>
      </c>
      <c r="Q20">
        <v>1</v>
      </c>
      <c r="W20">
        <v>0</v>
      </c>
      <c r="X20">
        <v>2088996686</v>
      </c>
      <c r="Y20">
        <f t="shared" si="11"/>
        <v>0.08</v>
      </c>
      <c r="AA20">
        <v>9653.26</v>
      </c>
      <c r="AB20">
        <v>0</v>
      </c>
      <c r="AC20">
        <v>0</v>
      </c>
      <c r="AD20">
        <v>0</v>
      </c>
      <c r="AE20">
        <v>1821.37</v>
      </c>
      <c r="AF20">
        <v>0</v>
      </c>
      <c r="AG20">
        <v>0</v>
      </c>
      <c r="AH20">
        <v>0</v>
      </c>
      <c r="AI20">
        <v>5.3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0.08</v>
      </c>
      <c r="AU20" t="s">
        <v>24</v>
      </c>
      <c r="AV20">
        <v>0</v>
      </c>
      <c r="AW20">
        <v>2</v>
      </c>
      <c r="AX20">
        <v>56793654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ROUND(Y20*Source!I36,9)</f>
        <v>1.4400000000000001E-3</v>
      </c>
      <c r="CY20">
        <f t="shared" si="12"/>
        <v>9653.26</v>
      </c>
      <c r="CZ20">
        <f t="shared" si="13"/>
        <v>1821.37</v>
      </c>
      <c r="DA20">
        <f t="shared" si="14"/>
        <v>5.3</v>
      </c>
      <c r="DB20">
        <f t="shared" si="15"/>
        <v>145.71</v>
      </c>
      <c r="DC20">
        <f t="shared" si="16"/>
        <v>0</v>
      </c>
      <c r="DD20" t="s">
        <v>3</v>
      </c>
      <c r="DE20" t="s">
        <v>3</v>
      </c>
      <c r="DF20">
        <f t="shared" si="17"/>
        <v>13.9</v>
      </c>
      <c r="DG20">
        <f t="shared" si="18"/>
        <v>0</v>
      </c>
      <c r="DH20">
        <f t="shared" si="10"/>
        <v>0</v>
      </c>
      <c r="DI20">
        <f t="shared" si="2"/>
        <v>0</v>
      </c>
      <c r="DJ20">
        <f t="shared" si="19"/>
        <v>13.9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ROW(Source!A36)</f>
        <v>36</v>
      </c>
      <c r="B21">
        <v>56793366</v>
      </c>
      <c r="C21">
        <v>56793630</v>
      </c>
      <c r="D21">
        <v>55961871</v>
      </c>
      <c r="E21">
        <v>1</v>
      </c>
      <c r="F21">
        <v>1</v>
      </c>
      <c r="G21">
        <v>1081</v>
      </c>
      <c r="H21">
        <v>3</v>
      </c>
      <c r="I21" t="s">
        <v>368</v>
      </c>
      <c r="J21" t="s">
        <v>369</v>
      </c>
      <c r="K21" t="s">
        <v>370</v>
      </c>
      <c r="L21">
        <v>1346</v>
      </c>
      <c r="N21">
        <v>1009</v>
      </c>
      <c r="O21" t="s">
        <v>146</v>
      </c>
      <c r="P21" t="s">
        <v>146</v>
      </c>
      <c r="Q21">
        <v>1</v>
      </c>
      <c r="W21">
        <v>0</v>
      </c>
      <c r="X21">
        <v>986628777</v>
      </c>
      <c r="Y21">
        <f t="shared" si="11"/>
        <v>108</v>
      </c>
      <c r="AA21">
        <v>140.86000000000001</v>
      </c>
      <c r="AB21">
        <v>0</v>
      </c>
      <c r="AC21">
        <v>0</v>
      </c>
      <c r="AD21">
        <v>0</v>
      </c>
      <c r="AE21">
        <v>9.85</v>
      </c>
      <c r="AF21">
        <v>0</v>
      </c>
      <c r="AG21">
        <v>0</v>
      </c>
      <c r="AH21">
        <v>0</v>
      </c>
      <c r="AI21">
        <v>14.3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108</v>
      </c>
      <c r="AU21" t="s">
        <v>24</v>
      </c>
      <c r="AV21">
        <v>0</v>
      </c>
      <c r="AW21">
        <v>2</v>
      </c>
      <c r="AX21">
        <v>56793655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ROUND(Y21*Source!I36,9)</f>
        <v>1.944</v>
      </c>
      <c r="CY21">
        <f t="shared" si="12"/>
        <v>140.86000000000001</v>
      </c>
      <c r="CZ21">
        <f t="shared" si="13"/>
        <v>9.85</v>
      </c>
      <c r="DA21">
        <f t="shared" si="14"/>
        <v>14.3</v>
      </c>
      <c r="DB21">
        <f t="shared" si="15"/>
        <v>1063.8</v>
      </c>
      <c r="DC21">
        <f t="shared" si="16"/>
        <v>0</v>
      </c>
      <c r="DD21" t="s">
        <v>3</v>
      </c>
      <c r="DE21" t="s">
        <v>3</v>
      </c>
      <c r="DF21">
        <f t="shared" si="17"/>
        <v>273.83</v>
      </c>
      <c r="DG21">
        <f t="shared" si="18"/>
        <v>0</v>
      </c>
      <c r="DH21">
        <f t="shared" si="10"/>
        <v>0</v>
      </c>
      <c r="DI21">
        <f t="shared" si="2"/>
        <v>0</v>
      </c>
      <c r="DJ21">
        <f t="shared" si="19"/>
        <v>273.83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ROW(Source!A36)</f>
        <v>36</v>
      </c>
      <c r="B22">
        <v>56793366</v>
      </c>
      <c r="C22">
        <v>56793630</v>
      </c>
      <c r="D22">
        <v>55961887</v>
      </c>
      <c r="E22">
        <v>1</v>
      </c>
      <c r="F22">
        <v>1</v>
      </c>
      <c r="G22">
        <v>1081</v>
      </c>
      <c r="H22">
        <v>3</v>
      </c>
      <c r="I22" t="s">
        <v>394</v>
      </c>
      <c r="J22" t="s">
        <v>395</v>
      </c>
      <c r="K22" t="s">
        <v>396</v>
      </c>
      <c r="L22">
        <v>1327</v>
      </c>
      <c r="N22">
        <v>1005</v>
      </c>
      <c r="O22" t="s">
        <v>174</v>
      </c>
      <c r="P22" t="s">
        <v>174</v>
      </c>
      <c r="Q22">
        <v>1</v>
      </c>
      <c r="W22">
        <v>0</v>
      </c>
      <c r="X22">
        <v>-1598491385</v>
      </c>
      <c r="Y22">
        <f t="shared" si="11"/>
        <v>89</v>
      </c>
      <c r="AA22">
        <v>17.55</v>
      </c>
      <c r="AB22">
        <v>0</v>
      </c>
      <c r="AC22">
        <v>0</v>
      </c>
      <c r="AD22">
        <v>0</v>
      </c>
      <c r="AE22">
        <v>5.5</v>
      </c>
      <c r="AF22">
        <v>0</v>
      </c>
      <c r="AG22">
        <v>0</v>
      </c>
      <c r="AH22">
        <v>0</v>
      </c>
      <c r="AI22">
        <v>3.19</v>
      </c>
      <c r="AJ22">
        <v>1</v>
      </c>
      <c r="AK22">
        <v>1</v>
      </c>
      <c r="AL22">
        <v>1</v>
      </c>
      <c r="AM22">
        <v>2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89</v>
      </c>
      <c r="AU22" t="s">
        <v>24</v>
      </c>
      <c r="AV22">
        <v>0</v>
      </c>
      <c r="AW22">
        <v>2</v>
      </c>
      <c r="AX22">
        <v>56793656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ROUND(Y22*Source!I36,9)</f>
        <v>1.6020000000000001</v>
      </c>
      <c r="CY22">
        <f t="shared" si="12"/>
        <v>17.55</v>
      </c>
      <c r="CZ22">
        <f t="shared" si="13"/>
        <v>5.5</v>
      </c>
      <c r="DA22">
        <f t="shared" si="14"/>
        <v>3.19</v>
      </c>
      <c r="DB22">
        <f t="shared" si="15"/>
        <v>489.5</v>
      </c>
      <c r="DC22">
        <f t="shared" si="16"/>
        <v>0</v>
      </c>
      <c r="DD22" t="s">
        <v>3</v>
      </c>
      <c r="DE22" t="s">
        <v>3</v>
      </c>
      <c r="DF22">
        <f t="shared" si="17"/>
        <v>28.12</v>
      </c>
      <c r="DG22">
        <f t="shared" si="18"/>
        <v>0</v>
      </c>
      <c r="DH22">
        <f t="shared" si="10"/>
        <v>0</v>
      </c>
      <c r="DI22">
        <f t="shared" si="2"/>
        <v>0</v>
      </c>
      <c r="DJ22">
        <f t="shared" si="19"/>
        <v>28.12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ROW(Source!A36)</f>
        <v>36</v>
      </c>
      <c r="B23">
        <v>56793366</v>
      </c>
      <c r="C23">
        <v>56793630</v>
      </c>
      <c r="D23">
        <v>55968229</v>
      </c>
      <c r="E23">
        <v>1</v>
      </c>
      <c r="F23">
        <v>1</v>
      </c>
      <c r="G23">
        <v>1081</v>
      </c>
      <c r="H23">
        <v>3</v>
      </c>
      <c r="I23" t="s">
        <v>371</v>
      </c>
      <c r="J23" t="s">
        <v>372</v>
      </c>
      <c r="K23" t="s">
        <v>373</v>
      </c>
      <c r="L23">
        <v>1346</v>
      </c>
      <c r="N23">
        <v>1009</v>
      </c>
      <c r="O23" t="s">
        <v>146</v>
      </c>
      <c r="P23" t="s">
        <v>146</v>
      </c>
      <c r="Q23">
        <v>1</v>
      </c>
      <c r="W23">
        <v>0</v>
      </c>
      <c r="X23">
        <v>-8723236</v>
      </c>
      <c r="Y23">
        <f t="shared" si="11"/>
        <v>37.5</v>
      </c>
      <c r="AA23">
        <v>143.44999999999999</v>
      </c>
      <c r="AB23">
        <v>0</v>
      </c>
      <c r="AC23">
        <v>0</v>
      </c>
      <c r="AD23">
        <v>0</v>
      </c>
      <c r="AE23">
        <v>20.76</v>
      </c>
      <c r="AF23">
        <v>0</v>
      </c>
      <c r="AG23">
        <v>0</v>
      </c>
      <c r="AH23">
        <v>0</v>
      </c>
      <c r="AI23">
        <v>6.91</v>
      </c>
      <c r="AJ23">
        <v>1</v>
      </c>
      <c r="AK23">
        <v>1</v>
      </c>
      <c r="AL23">
        <v>1</v>
      </c>
      <c r="AM23">
        <v>2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37.5</v>
      </c>
      <c r="AU23" t="s">
        <v>24</v>
      </c>
      <c r="AV23">
        <v>0</v>
      </c>
      <c r="AW23">
        <v>2</v>
      </c>
      <c r="AX23">
        <v>56793657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ROUND(Y23*Source!I36,9)</f>
        <v>0.67500000000000004</v>
      </c>
      <c r="CY23">
        <f t="shared" si="12"/>
        <v>143.44999999999999</v>
      </c>
      <c r="CZ23">
        <f t="shared" si="13"/>
        <v>20.76</v>
      </c>
      <c r="DA23">
        <f t="shared" si="14"/>
        <v>6.91</v>
      </c>
      <c r="DB23">
        <f t="shared" si="15"/>
        <v>778.5</v>
      </c>
      <c r="DC23">
        <f t="shared" si="16"/>
        <v>0</v>
      </c>
      <c r="DD23" t="s">
        <v>3</v>
      </c>
      <c r="DE23" t="s">
        <v>3</v>
      </c>
      <c r="DF23">
        <f t="shared" si="17"/>
        <v>96.83</v>
      </c>
      <c r="DG23">
        <f t="shared" si="18"/>
        <v>0</v>
      </c>
      <c r="DH23">
        <f t="shared" si="10"/>
        <v>0</v>
      </c>
      <c r="DI23">
        <f t="shared" si="2"/>
        <v>0</v>
      </c>
      <c r="DJ23">
        <f t="shared" si="19"/>
        <v>96.83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ROW(Source!A36)</f>
        <v>36</v>
      </c>
      <c r="B24">
        <v>56793366</v>
      </c>
      <c r="C24">
        <v>56793630</v>
      </c>
      <c r="D24">
        <v>55968896</v>
      </c>
      <c r="E24">
        <v>1</v>
      </c>
      <c r="F24">
        <v>1</v>
      </c>
      <c r="G24">
        <v>1081</v>
      </c>
      <c r="H24">
        <v>3</v>
      </c>
      <c r="I24" t="s">
        <v>227</v>
      </c>
      <c r="J24" t="s">
        <v>229</v>
      </c>
      <c r="K24" t="s">
        <v>228</v>
      </c>
      <c r="L24">
        <v>1339</v>
      </c>
      <c r="N24">
        <v>1007</v>
      </c>
      <c r="O24" t="s">
        <v>151</v>
      </c>
      <c r="P24" t="s">
        <v>151</v>
      </c>
      <c r="Q24">
        <v>1</v>
      </c>
      <c r="W24">
        <v>0</v>
      </c>
      <c r="X24">
        <v>231842433</v>
      </c>
      <c r="Y24">
        <f t="shared" si="11"/>
        <v>0.105</v>
      </c>
      <c r="AA24">
        <v>3965.36</v>
      </c>
      <c r="AB24">
        <v>0</v>
      </c>
      <c r="AC24">
        <v>0</v>
      </c>
      <c r="AD24">
        <v>0</v>
      </c>
      <c r="AE24">
        <v>529.41999999999996</v>
      </c>
      <c r="AF24">
        <v>0</v>
      </c>
      <c r="AG24">
        <v>0</v>
      </c>
      <c r="AH24">
        <v>0</v>
      </c>
      <c r="AI24">
        <v>7.49</v>
      </c>
      <c r="AJ24">
        <v>1</v>
      </c>
      <c r="AK24">
        <v>1</v>
      </c>
      <c r="AL24">
        <v>1</v>
      </c>
      <c r="AM24">
        <v>2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0.105</v>
      </c>
      <c r="AU24" t="s">
        <v>24</v>
      </c>
      <c r="AV24">
        <v>0</v>
      </c>
      <c r="AW24">
        <v>2</v>
      </c>
      <c r="AX24">
        <v>56793658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ROUND(Y24*Source!I36,9)</f>
        <v>1.89E-3</v>
      </c>
      <c r="CY24">
        <f t="shared" si="12"/>
        <v>3965.36</v>
      </c>
      <c r="CZ24">
        <f t="shared" si="13"/>
        <v>529.41999999999996</v>
      </c>
      <c r="DA24">
        <f t="shared" si="14"/>
        <v>7.49</v>
      </c>
      <c r="DB24">
        <f t="shared" si="15"/>
        <v>55.59</v>
      </c>
      <c r="DC24">
        <f t="shared" si="16"/>
        <v>0</v>
      </c>
      <c r="DD24" t="s">
        <v>3</v>
      </c>
      <c r="DE24" t="s">
        <v>3</v>
      </c>
      <c r="DF24">
        <f t="shared" si="17"/>
        <v>7.49</v>
      </c>
      <c r="DG24">
        <f t="shared" si="18"/>
        <v>0</v>
      </c>
      <c r="DH24">
        <f t="shared" si="10"/>
        <v>0</v>
      </c>
      <c r="DI24">
        <f t="shared" si="2"/>
        <v>0</v>
      </c>
      <c r="DJ24">
        <f t="shared" si="19"/>
        <v>7.49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ROW(Source!A36)</f>
        <v>36</v>
      </c>
      <c r="B25">
        <v>56793366</v>
      </c>
      <c r="C25">
        <v>56793630</v>
      </c>
      <c r="D25">
        <v>55973263</v>
      </c>
      <c r="E25">
        <v>1</v>
      </c>
      <c r="F25">
        <v>1</v>
      </c>
      <c r="G25">
        <v>1081</v>
      </c>
      <c r="H25">
        <v>3</v>
      </c>
      <c r="I25" t="s">
        <v>57</v>
      </c>
      <c r="J25" t="s">
        <v>60</v>
      </c>
      <c r="K25" t="s">
        <v>58</v>
      </c>
      <c r="L25">
        <v>1391</v>
      </c>
      <c r="N25">
        <v>1013</v>
      </c>
      <c r="O25" t="s">
        <v>59</v>
      </c>
      <c r="P25" t="s">
        <v>59</v>
      </c>
      <c r="Q25">
        <v>1</v>
      </c>
      <c r="W25">
        <v>0</v>
      </c>
      <c r="X25">
        <v>575964981</v>
      </c>
      <c r="Y25">
        <f>AT25</f>
        <v>55.555556000000003</v>
      </c>
      <c r="AA25">
        <v>763.17</v>
      </c>
      <c r="AB25">
        <v>0</v>
      </c>
      <c r="AC25">
        <v>0</v>
      </c>
      <c r="AD25">
        <v>0</v>
      </c>
      <c r="AE25">
        <v>72.27</v>
      </c>
      <c r="AF25">
        <v>0</v>
      </c>
      <c r="AG25">
        <v>0</v>
      </c>
      <c r="AH25">
        <v>0</v>
      </c>
      <c r="AI25">
        <v>10.56</v>
      </c>
      <c r="AJ25">
        <v>1</v>
      </c>
      <c r="AK25">
        <v>1</v>
      </c>
      <c r="AL25">
        <v>1</v>
      </c>
      <c r="AM25">
        <v>0</v>
      </c>
      <c r="AN25">
        <v>0</v>
      </c>
      <c r="AO25">
        <v>0</v>
      </c>
      <c r="AP25">
        <v>1</v>
      </c>
      <c r="AQ25">
        <v>0</v>
      </c>
      <c r="AR25">
        <v>0</v>
      </c>
      <c r="AS25" t="s">
        <v>3</v>
      </c>
      <c r="AT25">
        <v>55.555556000000003</v>
      </c>
      <c r="AU25" t="s">
        <v>3</v>
      </c>
      <c r="AV25">
        <v>0</v>
      </c>
      <c r="AW25">
        <v>1</v>
      </c>
      <c r="AX25">
        <v>-1</v>
      </c>
      <c r="AY25">
        <v>0</v>
      </c>
      <c r="AZ25">
        <v>0</v>
      </c>
      <c r="BA25" t="s">
        <v>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ROUND(Y25*Source!I36,9)</f>
        <v>1.000000008</v>
      </c>
      <c r="CY25">
        <f t="shared" si="12"/>
        <v>763.17</v>
      </c>
      <c r="CZ25">
        <f t="shared" si="13"/>
        <v>72.27</v>
      </c>
      <c r="DA25">
        <f t="shared" si="14"/>
        <v>10.56</v>
      </c>
      <c r="DB25">
        <f>ROUND(ROUND(AT25*CZ25,2),6)</f>
        <v>4015</v>
      </c>
      <c r="DC25">
        <f>ROUND(ROUND(AT25*AG25,2),6)</f>
        <v>0</v>
      </c>
      <c r="DD25" t="s">
        <v>3</v>
      </c>
      <c r="DE25" t="s">
        <v>3</v>
      </c>
      <c r="DF25">
        <f t="shared" si="17"/>
        <v>763.17</v>
      </c>
      <c r="DG25">
        <f t="shared" si="18"/>
        <v>0</v>
      </c>
      <c r="DH25">
        <f t="shared" si="10"/>
        <v>0</v>
      </c>
      <c r="DI25">
        <f t="shared" si="2"/>
        <v>0</v>
      </c>
      <c r="DJ25">
        <f t="shared" si="19"/>
        <v>763.17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ROW(Source!A36)</f>
        <v>36</v>
      </c>
      <c r="B26">
        <v>56793366</v>
      </c>
      <c r="C26">
        <v>56793630</v>
      </c>
      <c r="D26">
        <v>0</v>
      </c>
      <c r="E26">
        <v>0</v>
      </c>
      <c r="F26">
        <v>1</v>
      </c>
      <c r="G26">
        <v>1081</v>
      </c>
      <c r="H26">
        <v>3</v>
      </c>
      <c r="I26" t="s">
        <v>39</v>
      </c>
      <c r="J26" t="s">
        <v>3</v>
      </c>
      <c r="K26" t="s">
        <v>53</v>
      </c>
      <c r="L26">
        <v>1354</v>
      </c>
      <c r="N26">
        <v>1010</v>
      </c>
      <c r="O26" t="s">
        <v>54</v>
      </c>
      <c r="P26" t="s">
        <v>54</v>
      </c>
      <c r="Q26">
        <v>1</v>
      </c>
      <c r="W26">
        <v>0</v>
      </c>
      <c r="X26">
        <v>-930287362</v>
      </c>
      <c r="Y26">
        <f>AT26</f>
        <v>55.555556000000003</v>
      </c>
      <c r="AA26">
        <v>10333.77</v>
      </c>
      <c r="AB26">
        <v>0</v>
      </c>
      <c r="AC26">
        <v>0</v>
      </c>
      <c r="AD26">
        <v>0</v>
      </c>
      <c r="AE26">
        <v>10333.77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0</v>
      </c>
      <c r="AN26">
        <v>0</v>
      </c>
      <c r="AO26">
        <v>0</v>
      </c>
      <c r="AP26">
        <v>1</v>
      </c>
      <c r="AQ26">
        <v>0</v>
      </c>
      <c r="AR26">
        <v>0</v>
      </c>
      <c r="AS26" t="s">
        <v>3</v>
      </c>
      <c r="AT26">
        <v>55.555556000000003</v>
      </c>
      <c r="AU26" t="s">
        <v>3</v>
      </c>
      <c r="AV26">
        <v>0</v>
      </c>
      <c r="AW26">
        <v>1</v>
      </c>
      <c r="AX26">
        <v>-1</v>
      </c>
      <c r="AY26">
        <v>0</v>
      </c>
      <c r="AZ26">
        <v>0</v>
      </c>
      <c r="BA26" t="s">
        <v>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ROUND(Y26*Source!I36,9)</f>
        <v>1.000000008</v>
      </c>
      <c r="CY26">
        <f t="shared" si="12"/>
        <v>10333.77</v>
      </c>
      <c r="CZ26">
        <f t="shared" si="13"/>
        <v>10333.77</v>
      </c>
      <c r="DA26">
        <f t="shared" si="14"/>
        <v>1</v>
      </c>
      <c r="DB26">
        <f>ROUND(ROUND(AT26*CZ26,2),6)</f>
        <v>574098.34</v>
      </c>
      <c r="DC26">
        <f>ROUND(ROUND(AT26*AG26,2),6)</f>
        <v>0</v>
      </c>
      <c r="DD26" t="s">
        <v>3</v>
      </c>
      <c r="DE26" t="s">
        <v>3</v>
      </c>
      <c r="DF26">
        <f t="shared" ref="DF26:DF39" si="20">ROUND(ROUND(AE26,2)*CX26,2)</f>
        <v>10333.77</v>
      </c>
      <c r="DG26">
        <f t="shared" si="18"/>
        <v>0</v>
      </c>
      <c r="DH26">
        <f t="shared" si="10"/>
        <v>0</v>
      </c>
      <c r="DI26">
        <f t="shared" si="2"/>
        <v>0</v>
      </c>
      <c r="DJ26">
        <f t="shared" si="19"/>
        <v>10333.77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ROW(Source!A74)</f>
        <v>74</v>
      </c>
      <c r="B27">
        <v>56793366</v>
      </c>
      <c r="C27">
        <v>56794083</v>
      </c>
      <c r="D27">
        <v>55926487</v>
      </c>
      <c r="E27">
        <v>1081</v>
      </c>
      <c r="F27">
        <v>1</v>
      </c>
      <c r="G27">
        <v>1081</v>
      </c>
      <c r="H27">
        <v>1</v>
      </c>
      <c r="I27" t="s">
        <v>354</v>
      </c>
      <c r="J27" t="s">
        <v>3</v>
      </c>
      <c r="K27" t="s">
        <v>355</v>
      </c>
      <c r="L27">
        <v>1191</v>
      </c>
      <c r="N27">
        <v>1013</v>
      </c>
      <c r="O27" t="s">
        <v>356</v>
      </c>
      <c r="P27" t="s">
        <v>356</v>
      </c>
      <c r="Q27">
        <v>1</v>
      </c>
      <c r="W27">
        <v>0</v>
      </c>
      <c r="X27">
        <v>476480486</v>
      </c>
      <c r="Y27">
        <f>AT27</f>
        <v>3.77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3.77</v>
      </c>
      <c r="AU27" t="s">
        <v>3</v>
      </c>
      <c r="AV27">
        <v>1</v>
      </c>
      <c r="AW27">
        <v>2</v>
      </c>
      <c r="AX27">
        <v>56794086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U27">
        <f>ROUND(AT27*Source!I74*AH27*AL27,2)</f>
        <v>0</v>
      </c>
      <c r="CV27">
        <f>ROUND(Y27*Source!I74,9)</f>
        <v>0.65598000000000001</v>
      </c>
      <c r="CW27">
        <v>0</v>
      </c>
      <c r="CX27">
        <f>ROUND(Y27*Source!I74,9)</f>
        <v>0.65598000000000001</v>
      </c>
      <c r="CY27">
        <f>AD27</f>
        <v>0</v>
      </c>
      <c r="CZ27">
        <f>AH27</f>
        <v>0</v>
      </c>
      <c r="DA27">
        <f>AL27</f>
        <v>1</v>
      </c>
      <c r="DB27">
        <f>ROUND(ROUND(AT27*CZ27,2),6)</f>
        <v>0</v>
      </c>
      <c r="DC27">
        <f>ROUND(ROUND(AT27*AG27,2),6)</f>
        <v>0</v>
      </c>
      <c r="DD27" t="s">
        <v>3</v>
      </c>
      <c r="DE27" t="s">
        <v>3</v>
      </c>
      <c r="DF27">
        <f t="shared" si="20"/>
        <v>0</v>
      </c>
      <c r="DG27">
        <f t="shared" si="18"/>
        <v>0</v>
      </c>
      <c r="DH27">
        <f t="shared" si="10"/>
        <v>0</v>
      </c>
      <c r="DI27">
        <f t="shared" si="2"/>
        <v>0</v>
      </c>
      <c r="DJ27">
        <f>DI27</f>
        <v>0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ROW(Source!A74)</f>
        <v>74</v>
      </c>
      <c r="B28">
        <v>56793366</v>
      </c>
      <c r="C28">
        <v>56794083</v>
      </c>
      <c r="D28">
        <v>55926471</v>
      </c>
      <c r="E28">
        <v>1081</v>
      </c>
      <c r="F28">
        <v>1</v>
      </c>
      <c r="G28">
        <v>1081</v>
      </c>
      <c r="H28">
        <v>3</v>
      </c>
      <c r="I28" t="s">
        <v>357</v>
      </c>
      <c r="J28" t="s">
        <v>3</v>
      </c>
      <c r="K28" t="s">
        <v>358</v>
      </c>
      <c r="L28">
        <v>1348</v>
      </c>
      <c r="N28">
        <v>1009</v>
      </c>
      <c r="O28" t="s">
        <v>239</v>
      </c>
      <c r="P28" t="s">
        <v>239</v>
      </c>
      <c r="Q28">
        <v>1000</v>
      </c>
      <c r="W28">
        <v>0</v>
      </c>
      <c r="X28">
        <v>1489638031</v>
      </c>
      <c r="Y28">
        <f>(AT28*1)</f>
        <v>0.11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0.11</v>
      </c>
      <c r="AU28" t="s">
        <v>24</v>
      </c>
      <c r="AV28">
        <v>0</v>
      </c>
      <c r="AW28">
        <v>2</v>
      </c>
      <c r="AX28">
        <v>56794087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ROUND(Y28*Source!I74,9)</f>
        <v>1.9140000000000001E-2</v>
      </c>
      <c r="CY28">
        <f>AA28</f>
        <v>0</v>
      </c>
      <c r="CZ28">
        <f>AE28</f>
        <v>0</v>
      </c>
      <c r="DA28">
        <f>AI28</f>
        <v>1</v>
      </c>
      <c r="DB28">
        <f>ROUND((ROUND(AT28*CZ28,2)*1),6)</f>
        <v>0</v>
      </c>
      <c r="DC28">
        <f>ROUND((ROUND(AT28*AG28,2)*1),6)</f>
        <v>0</v>
      </c>
      <c r="DD28" t="s">
        <v>3</v>
      </c>
      <c r="DE28" t="s">
        <v>3</v>
      </c>
      <c r="DF28">
        <f t="shared" si="20"/>
        <v>0</v>
      </c>
      <c r="DG28">
        <f t="shared" si="18"/>
        <v>0</v>
      </c>
      <c r="DH28">
        <f t="shared" si="10"/>
        <v>0</v>
      </c>
      <c r="DI28">
        <f t="shared" si="2"/>
        <v>0</v>
      </c>
      <c r="DJ28">
        <f>DF28</f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ROW(Source!A75)</f>
        <v>75</v>
      </c>
      <c r="B29">
        <v>56793366</v>
      </c>
      <c r="C29">
        <v>56796278</v>
      </c>
      <c r="D29">
        <v>55926487</v>
      </c>
      <c r="E29">
        <v>1081</v>
      </c>
      <c r="F29">
        <v>1</v>
      </c>
      <c r="G29">
        <v>1081</v>
      </c>
      <c r="H29">
        <v>1</v>
      </c>
      <c r="I29" t="s">
        <v>354</v>
      </c>
      <c r="J29" t="s">
        <v>3</v>
      </c>
      <c r="K29" t="s">
        <v>355</v>
      </c>
      <c r="L29">
        <v>1191</v>
      </c>
      <c r="N29">
        <v>1013</v>
      </c>
      <c r="O29" t="s">
        <v>356</v>
      </c>
      <c r="P29" t="s">
        <v>356</v>
      </c>
      <c r="Q29">
        <v>1</v>
      </c>
      <c r="W29">
        <v>0</v>
      </c>
      <c r="X29">
        <v>476480486</v>
      </c>
      <c r="Y29">
        <f>AT29</f>
        <v>48.95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-2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48.95</v>
      </c>
      <c r="AU29" t="s">
        <v>3</v>
      </c>
      <c r="AV29">
        <v>1</v>
      </c>
      <c r="AW29">
        <v>2</v>
      </c>
      <c r="AX29">
        <v>56796279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U29">
        <f>ROUND(AT29*Source!I75*AH29*AL29,2)</f>
        <v>0</v>
      </c>
      <c r="CV29">
        <f>ROUND(Y29*Source!I75,9)</f>
        <v>8.5173000000000005</v>
      </c>
      <c r="CW29">
        <v>0</v>
      </c>
      <c r="CX29">
        <f>ROUND(Y29*Source!I75,9)</f>
        <v>8.5173000000000005</v>
      </c>
      <c r="CY29">
        <f>AD29</f>
        <v>0</v>
      </c>
      <c r="CZ29">
        <f>AH29</f>
        <v>0</v>
      </c>
      <c r="DA29">
        <f>AL29</f>
        <v>1</v>
      </c>
      <c r="DB29">
        <f>ROUND(ROUND(AT29*CZ29,2),6)</f>
        <v>0</v>
      </c>
      <c r="DC29">
        <f>ROUND(ROUND(AT29*AG29,2),6)</f>
        <v>0</v>
      </c>
      <c r="DD29" t="s">
        <v>3</v>
      </c>
      <c r="DE29" t="s">
        <v>3</v>
      </c>
      <c r="DF29">
        <f t="shared" si="20"/>
        <v>0</v>
      </c>
      <c r="DG29">
        <f t="shared" si="18"/>
        <v>0</v>
      </c>
      <c r="DH29">
        <f t="shared" si="10"/>
        <v>0</v>
      </c>
      <c r="DI29">
        <f t="shared" si="2"/>
        <v>0</v>
      </c>
      <c r="DJ29">
        <f>DI29</f>
        <v>0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ROW(Source!A75)</f>
        <v>75</v>
      </c>
      <c r="B30">
        <v>56793366</v>
      </c>
      <c r="C30">
        <v>56796278</v>
      </c>
      <c r="D30">
        <v>55926471</v>
      </c>
      <c r="E30">
        <v>1081</v>
      </c>
      <c r="F30">
        <v>1</v>
      </c>
      <c r="G30">
        <v>1081</v>
      </c>
      <c r="H30">
        <v>3</v>
      </c>
      <c r="I30" t="s">
        <v>357</v>
      </c>
      <c r="J30" t="s">
        <v>3</v>
      </c>
      <c r="K30" t="s">
        <v>358</v>
      </c>
      <c r="L30">
        <v>1348</v>
      </c>
      <c r="N30">
        <v>1009</v>
      </c>
      <c r="O30" t="s">
        <v>239</v>
      </c>
      <c r="P30" t="s">
        <v>239</v>
      </c>
      <c r="Q30">
        <v>1000</v>
      </c>
      <c r="W30">
        <v>0</v>
      </c>
      <c r="X30">
        <v>1489638031</v>
      </c>
      <c r="Y30">
        <f>AT30</f>
        <v>2.8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2.8</v>
      </c>
      <c r="AU30" t="s">
        <v>3</v>
      </c>
      <c r="AV30">
        <v>0</v>
      </c>
      <c r="AW30">
        <v>2</v>
      </c>
      <c r="AX30">
        <v>56796280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ROUND(Y30*Source!I75,9)</f>
        <v>0.48720000000000002</v>
      </c>
      <c r="CY30">
        <f>AA30</f>
        <v>0</v>
      </c>
      <c r="CZ30">
        <f>AE30</f>
        <v>0</v>
      </c>
      <c r="DA30">
        <f>AI30</f>
        <v>1</v>
      </c>
      <c r="DB30">
        <f>ROUND(ROUND(AT30*CZ30,2),6)</f>
        <v>0</v>
      </c>
      <c r="DC30">
        <f>ROUND(ROUND(AT30*AG30,2),6)</f>
        <v>0</v>
      </c>
      <c r="DD30" t="s">
        <v>3</v>
      </c>
      <c r="DE30" t="s">
        <v>3</v>
      </c>
      <c r="DF30">
        <f t="shared" si="20"/>
        <v>0</v>
      </c>
      <c r="DG30">
        <f t="shared" si="18"/>
        <v>0</v>
      </c>
      <c r="DH30">
        <f t="shared" si="10"/>
        <v>0</v>
      </c>
      <c r="DI30">
        <f t="shared" si="2"/>
        <v>0</v>
      </c>
      <c r="DJ30">
        <f>DF30</f>
        <v>0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ROW(Source!A76)</f>
        <v>76</v>
      </c>
      <c r="B31">
        <v>56793366</v>
      </c>
      <c r="C31">
        <v>56796286</v>
      </c>
      <c r="D31">
        <v>55926487</v>
      </c>
      <c r="E31">
        <v>1081</v>
      </c>
      <c r="F31">
        <v>1</v>
      </c>
      <c r="G31">
        <v>1081</v>
      </c>
      <c r="H31">
        <v>1</v>
      </c>
      <c r="I31" t="s">
        <v>354</v>
      </c>
      <c r="J31" t="s">
        <v>3</v>
      </c>
      <c r="K31" t="s">
        <v>355</v>
      </c>
      <c r="L31">
        <v>1191</v>
      </c>
      <c r="N31">
        <v>1013</v>
      </c>
      <c r="O31" t="s">
        <v>356</v>
      </c>
      <c r="P31" t="s">
        <v>356</v>
      </c>
      <c r="Q31">
        <v>1</v>
      </c>
      <c r="W31">
        <v>0</v>
      </c>
      <c r="X31">
        <v>476480486</v>
      </c>
      <c r="Y31">
        <f>AT31</f>
        <v>17.440000000000001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17.440000000000001</v>
      </c>
      <c r="AU31" t="s">
        <v>3</v>
      </c>
      <c r="AV31">
        <v>1</v>
      </c>
      <c r="AW31">
        <v>2</v>
      </c>
      <c r="AX31">
        <v>56796287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U31">
        <f>ROUND(AT31*Source!I76*AH31*AL31,2)</f>
        <v>0</v>
      </c>
      <c r="CV31">
        <f>ROUND(Y31*Source!I76,9)</f>
        <v>3.0345599999999999</v>
      </c>
      <c r="CW31">
        <v>0</v>
      </c>
      <c r="CX31">
        <f>ROUND(Y31*Source!I76,9)</f>
        <v>3.0345599999999999</v>
      </c>
      <c r="CY31">
        <f>AD31</f>
        <v>0</v>
      </c>
      <c r="CZ31">
        <f>AH31</f>
        <v>0</v>
      </c>
      <c r="DA31">
        <f>AL31</f>
        <v>1</v>
      </c>
      <c r="DB31">
        <f>ROUND(ROUND(AT31*CZ31,2),6)</f>
        <v>0</v>
      </c>
      <c r="DC31">
        <f>ROUND(ROUND(AT31*AG31,2),6)</f>
        <v>0</v>
      </c>
      <c r="DD31" t="s">
        <v>3</v>
      </c>
      <c r="DE31" t="s">
        <v>3</v>
      </c>
      <c r="DF31">
        <f t="shared" si="20"/>
        <v>0</v>
      </c>
      <c r="DG31">
        <f t="shared" si="18"/>
        <v>0</v>
      </c>
      <c r="DH31">
        <f t="shared" si="10"/>
        <v>0</v>
      </c>
      <c r="DI31">
        <f t="shared" si="2"/>
        <v>0</v>
      </c>
      <c r="DJ31">
        <f>DI31</f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ROW(Source!A76)</f>
        <v>76</v>
      </c>
      <c r="B32">
        <v>56793366</v>
      </c>
      <c r="C32">
        <v>56796286</v>
      </c>
      <c r="D32">
        <v>55926471</v>
      </c>
      <c r="E32">
        <v>1081</v>
      </c>
      <c r="F32">
        <v>1</v>
      </c>
      <c r="G32">
        <v>1081</v>
      </c>
      <c r="H32">
        <v>3</v>
      </c>
      <c r="I32" t="s">
        <v>357</v>
      </c>
      <c r="J32" t="s">
        <v>3</v>
      </c>
      <c r="K32" t="s">
        <v>358</v>
      </c>
      <c r="L32">
        <v>1348</v>
      </c>
      <c r="N32">
        <v>1009</v>
      </c>
      <c r="O32" t="s">
        <v>239</v>
      </c>
      <c r="P32" t="s">
        <v>239</v>
      </c>
      <c r="Q32">
        <v>1000</v>
      </c>
      <c r="W32">
        <v>0</v>
      </c>
      <c r="X32">
        <v>1489638031</v>
      </c>
      <c r="Y32">
        <f>AT32</f>
        <v>4.67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4.67</v>
      </c>
      <c r="AU32" t="s">
        <v>3</v>
      </c>
      <c r="AV32">
        <v>0</v>
      </c>
      <c r="AW32">
        <v>2</v>
      </c>
      <c r="AX32">
        <v>56796288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ROUND(Y32*Source!I76,9)</f>
        <v>0.81257999999999997</v>
      </c>
      <c r="CY32">
        <f>AA32</f>
        <v>0</v>
      </c>
      <c r="CZ32">
        <f>AE32</f>
        <v>0</v>
      </c>
      <c r="DA32">
        <f>AI32</f>
        <v>1</v>
      </c>
      <c r="DB32">
        <f>ROUND(ROUND(AT32*CZ32,2),6)</f>
        <v>0</v>
      </c>
      <c r="DC32">
        <f>ROUND(ROUND(AT32*AG32,2),6)</f>
        <v>0</v>
      </c>
      <c r="DD32" t="s">
        <v>3</v>
      </c>
      <c r="DE32" t="s">
        <v>3</v>
      </c>
      <c r="DF32">
        <f t="shared" si="20"/>
        <v>0</v>
      </c>
      <c r="DG32">
        <f t="shared" si="18"/>
        <v>0</v>
      </c>
      <c r="DH32">
        <f t="shared" si="10"/>
        <v>0</v>
      </c>
      <c r="DI32">
        <f t="shared" si="2"/>
        <v>0</v>
      </c>
      <c r="DJ32">
        <f>DF32</f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ROW(Source!A77)</f>
        <v>77</v>
      </c>
      <c r="B33">
        <v>56793366</v>
      </c>
      <c r="C33">
        <v>56796393</v>
      </c>
      <c r="D33">
        <v>55926487</v>
      </c>
      <c r="E33">
        <v>1081</v>
      </c>
      <c r="F33">
        <v>1</v>
      </c>
      <c r="G33">
        <v>1081</v>
      </c>
      <c r="H33">
        <v>1</v>
      </c>
      <c r="I33" t="s">
        <v>354</v>
      </c>
      <c r="J33" t="s">
        <v>3</v>
      </c>
      <c r="K33" t="s">
        <v>355</v>
      </c>
      <c r="L33">
        <v>1191</v>
      </c>
      <c r="N33">
        <v>1013</v>
      </c>
      <c r="O33" t="s">
        <v>356</v>
      </c>
      <c r="P33" t="s">
        <v>356</v>
      </c>
      <c r="Q33">
        <v>1</v>
      </c>
      <c r="W33">
        <v>0</v>
      </c>
      <c r="X33">
        <v>476480486</v>
      </c>
      <c r="Y33">
        <f t="shared" ref="Y33:Y39" si="21">(AT33*1.15)</f>
        <v>95.495999999999995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83.04</v>
      </c>
      <c r="AU33" t="s">
        <v>48</v>
      </c>
      <c r="AV33">
        <v>1</v>
      </c>
      <c r="AW33">
        <v>2</v>
      </c>
      <c r="AX33">
        <v>56796394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U33">
        <f>ROUND(AT33*Source!I77*AH33*AL33,2)</f>
        <v>0</v>
      </c>
      <c r="CV33">
        <f>ROUND(Y33*Source!I77,9)</f>
        <v>16.616304</v>
      </c>
      <c r="CW33">
        <v>0</v>
      </c>
      <c r="CX33">
        <f>ROUND(Y33*Source!I77,9)</f>
        <v>16.616304</v>
      </c>
      <c r="CY33">
        <f>AD33</f>
        <v>0</v>
      </c>
      <c r="CZ33">
        <f>AH33</f>
        <v>0</v>
      </c>
      <c r="DA33">
        <f>AL33</f>
        <v>1</v>
      </c>
      <c r="DB33">
        <f t="shared" ref="DB33:DB39" si="22">ROUND((ROUND(AT33*CZ33,2)*1.15),6)</f>
        <v>0</v>
      </c>
      <c r="DC33">
        <f t="shared" ref="DC33:DC39" si="23">ROUND((ROUND(AT33*AG33,2)*1.15),6)</f>
        <v>0</v>
      </c>
      <c r="DD33" t="s">
        <v>3</v>
      </c>
      <c r="DE33" t="s">
        <v>3</v>
      </c>
      <c r="DF33">
        <f t="shared" si="20"/>
        <v>0</v>
      </c>
      <c r="DG33">
        <f t="shared" si="18"/>
        <v>0</v>
      </c>
      <c r="DH33">
        <f t="shared" si="10"/>
        <v>0</v>
      </c>
      <c r="DI33">
        <f t="shared" ref="DI33:DI64" si="24">ROUND(ROUND(AH33,2)*CX33,2)</f>
        <v>0</v>
      </c>
      <c r="DJ33">
        <f>DI33</f>
        <v>0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ROW(Source!A77)</f>
        <v>77</v>
      </c>
      <c r="B34">
        <v>56793366</v>
      </c>
      <c r="C34">
        <v>56796393</v>
      </c>
      <c r="D34">
        <v>55992133</v>
      </c>
      <c r="E34">
        <v>1</v>
      </c>
      <c r="F34">
        <v>1</v>
      </c>
      <c r="G34">
        <v>1081</v>
      </c>
      <c r="H34">
        <v>2</v>
      </c>
      <c r="I34" t="s">
        <v>397</v>
      </c>
      <c r="J34" t="s">
        <v>398</v>
      </c>
      <c r="K34" t="s">
        <v>399</v>
      </c>
      <c r="L34">
        <v>1368</v>
      </c>
      <c r="N34">
        <v>1011</v>
      </c>
      <c r="O34" t="s">
        <v>377</v>
      </c>
      <c r="P34" t="s">
        <v>377</v>
      </c>
      <c r="Q34">
        <v>1</v>
      </c>
      <c r="W34">
        <v>0</v>
      </c>
      <c r="X34">
        <v>-259890331</v>
      </c>
      <c r="Y34">
        <f t="shared" si="21"/>
        <v>6.1064999999999987</v>
      </c>
      <c r="AA34">
        <v>0</v>
      </c>
      <c r="AB34">
        <v>44.19</v>
      </c>
      <c r="AC34">
        <v>0</v>
      </c>
      <c r="AD34">
        <v>0</v>
      </c>
      <c r="AE34">
        <v>0</v>
      </c>
      <c r="AF34">
        <v>4.6900000000000004</v>
      </c>
      <c r="AG34">
        <v>0</v>
      </c>
      <c r="AH34">
        <v>0</v>
      </c>
      <c r="AI34">
        <v>1</v>
      </c>
      <c r="AJ34">
        <v>9</v>
      </c>
      <c r="AK34">
        <v>1</v>
      </c>
      <c r="AL34">
        <v>1</v>
      </c>
      <c r="AM34">
        <v>2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5.31</v>
      </c>
      <c r="AU34" t="s">
        <v>48</v>
      </c>
      <c r="AV34">
        <v>0</v>
      </c>
      <c r="AW34">
        <v>2</v>
      </c>
      <c r="AX34">
        <v>56796395</v>
      </c>
      <c r="AY34">
        <v>1</v>
      </c>
      <c r="AZ34">
        <v>2048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f>ROUND(Y34*Source!I77*DO34,9)</f>
        <v>0</v>
      </c>
      <c r="CX34">
        <f>ROUND(Y34*Source!I77,9)</f>
        <v>1.0625309999999999</v>
      </c>
      <c r="CY34">
        <f t="shared" ref="CY34:CY39" si="25">AB34</f>
        <v>44.19</v>
      </c>
      <c r="CZ34">
        <f t="shared" ref="CZ34:CZ39" si="26">AF34</f>
        <v>4.6900000000000004</v>
      </c>
      <c r="DA34">
        <f t="shared" ref="DA34:DA39" si="27">AJ34</f>
        <v>9</v>
      </c>
      <c r="DB34">
        <f t="shared" si="22"/>
        <v>28.635000000000002</v>
      </c>
      <c r="DC34">
        <f t="shared" si="23"/>
        <v>0</v>
      </c>
      <c r="DD34" t="s">
        <v>3</v>
      </c>
      <c r="DE34" t="s">
        <v>3</v>
      </c>
      <c r="DF34">
        <f t="shared" si="20"/>
        <v>0</v>
      </c>
      <c r="DG34">
        <f t="shared" ref="DG34:DG39" si="28">ROUND(ROUND(AF34*AJ34,2)*CX34,2)</f>
        <v>44.85</v>
      </c>
      <c r="DH34">
        <f t="shared" si="10"/>
        <v>0</v>
      </c>
      <c r="DI34">
        <f t="shared" si="24"/>
        <v>0</v>
      </c>
      <c r="DJ34">
        <f t="shared" ref="DJ34:DJ39" si="29">DG34</f>
        <v>44.85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ROW(Source!A77)</f>
        <v>77</v>
      </c>
      <c r="B35">
        <v>56793366</v>
      </c>
      <c r="C35">
        <v>56796393</v>
      </c>
      <c r="D35">
        <v>55992399</v>
      </c>
      <c r="E35">
        <v>1</v>
      </c>
      <c r="F35">
        <v>1</v>
      </c>
      <c r="G35">
        <v>1081</v>
      </c>
      <c r="H35">
        <v>2</v>
      </c>
      <c r="I35" t="s">
        <v>374</v>
      </c>
      <c r="J35" t="s">
        <v>375</v>
      </c>
      <c r="K35" t="s">
        <v>376</v>
      </c>
      <c r="L35">
        <v>1368</v>
      </c>
      <c r="N35">
        <v>1011</v>
      </c>
      <c r="O35" t="s">
        <v>377</v>
      </c>
      <c r="P35" t="s">
        <v>377</v>
      </c>
      <c r="Q35">
        <v>1</v>
      </c>
      <c r="W35">
        <v>0</v>
      </c>
      <c r="X35">
        <v>874612079</v>
      </c>
      <c r="Y35">
        <f t="shared" si="21"/>
        <v>3.4499999999999996E-2</v>
      </c>
      <c r="AA35">
        <v>0</v>
      </c>
      <c r="AB35">
        <v>1518.25</v>
      </c>
      <c r="AC35">
        <v>753.81</v>
      </c>
      <c r="AD35">
        <v>0</v>
      </c>
      <c r="AE35">
        <v>0</v>
      </c>
      <c r="AF35">
        <v>83.1</v>
      </c>
      <c r="AG35">
        <v>12.62</v>
      </c>
      <c r="AH35">
        <v>0</v>
      </c>
      <c r="AI35">
        <v>1</v>
      </c>
      <c r="AJ35">
        <v>17.45</v>
      </c>
      <c r="AK35">
        <v>57.05</v>
      </c>
      <c r="AL35">
        <v>1</v>
      </c>
      <c r="AM35">
        <v>2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0.03</v>
      </c>
      <c r="AU35" t="s">
        <v>48</v>
      </c>
      <c r="AV35">
        <v>0</v>
      </c>
      <c r="AW35">
        <v>2</v>
      </c>
      <c r="AX35">
        <v>56796396</v>
      </c>
      <c r="AY35">
        <v>1</v>
      </c>
      <c r="AZ35">
        <v>2048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f>ROUND(Y35*Source!I77*DO35,9)</f>
        <v>7.5757859999999996E-2</v>
      </c>
      <c r="CX35">
        <f>ROUND(Y35*Source!I77,9)</f>
        <v>6.0029999999999997E-3</v>
      </c>
      <c r="CY35">
        <f t="shared" si="25"/>
        <v>1518.25</v>
      </c>
      <c r="CZ35">
        <f t="shared" si="26"/>
        <v>83.1</v>
      </c>
      <c r="DA35">
        <f t="shared" si="27"/>
        <v>17.45</v>
      </c>
      <c r="DB35">
        <f t="shared" si="22"/>
        <v>2.8635000000000002</v>
      </c>
      <c r="DC35">
        <f t="shared" si="23"/>
        <v>0.437</v>
      </c>
      <c r="DD35" t="s">
        <v>3</v>
      </c>
      <c r="DE35" t="s">
        <v>3</v>
      </c>
      <c r="DF35">
        <f t="shared" si="20"/>
        <v>0</v>
      </c>
      <c r="DG35">
        <f t="shared" si="28"/>
        <v>8.6999999999999993</v>
      </c>
      <c r="DH35">
        <f>ROUND(ROUND(AG35*AK35,2)*CX35,2)</f>
        <v>4.32</v>
      </c>
      <c r="DI35">
        <f t="shared" si="24"/>
        <v>0</v>
      </c>
      <c r="DJ35">
        <f t="shared" si="29"/>
        <v>8.6999999999999993</v>
      </c>
      <c r="DK35">
        <v>0</v>
      </c>
      <c r="DL35" t="s">
        <v>378</v>
      </c>
      <c r="DM35">
        <v>0</v>
      </c>
      <c r="DN35" t="s">
        <v>356</v>
      </c>
      <c r="DO35">
        <v>12.62</v>
      </c>
    </row>
    <row r="36" spans="1:119" x14ac:dyDescent="0.2">
      <c r="A36">
        <f>ROW(Source!A77)</f>
        <v>77</v>
      </c>
      <c r="B36">
        <v>56793366</v>
      </c>
      <c r="C36">
        <v>56796393</v>
      </c>
      <c r="D36">
        <v>55992520</v>
      </c>
      <c r="E36">
        <v>1</v>
      </c>
      <c r="F36">
        <v>1</v>
      </c>
      <c r="G36">
        <v>1081</v>
      </c>
      <c r="H36">
        <v>2</v>
      </c>
      <c r="I36" t="s">
        <v>400</v>
      </c>
      <c r="J36" t="s">
        <v>401</v>
      </c>
      <c r="K36" t="s">
        <v>402</v>
      </c>
      <c r="L36">
        <v>1368</v>
      </c>
      <c r="N36">
        <v>1011</v>
      </c>
      <c r="O36" t="s">
        <v>377</v>
      </c>
      <c r="P36" t="s">
        <v>377</v>
      </c>
      <c r="Q36">
        <v>1</v>
      </c>
      <c r="W36">
        <v>0</v>
      </c>
      <c r="X36">
        <v>-2083101341</v>
      </c>
      <c r="Y36">
        <f t="shared" si="21"/>
        <v>10.832999999999998</v>
      </c>
      <c r="AA36">
        <v>0</v>
      </c>
      <c r="AB36">
        <v>8.2799999999999994</v>
      </c>
      <c r="AC36">
        <v>0</v>
      </c>
      <c r="AD36">
        <v>0</v>
      </c>
      <c r="AE36">
        <v>0</v>
      </c>
      <c r="AF36">
        <v>0.8</v>
      </c>
      <c r="AG36">
        <v>0</v>
      </c>
      <c r="AH36">
        <v>0</v>
      </c>
      <c r="AI36">
        <v>1</v>
      </c>
      <c r="AJ36">
        <v>9.8800000000000008</v>
      </c>
      <c r="AK36">
        <v>1</v>
      </c>
      <c r="AL36">
        <v>1</v>
      </c>
      <c r="AM36">
        <v>2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9.42</v>
      </c>
      <c r="AU36" t="s">
        <v>48</v>
      </c>
      <c r="AV36">
        <v>0</v>
      </c>
      <c r="AW36">
        <v>2</v>
      </c>
      <c r="AX36">
        <v>56796397</v>
      </c>
      <c r="AY36">
        <v>1</v>
      </c>
      <c r="AZ36">
        <v>2048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f>ROUND(Y36*Source!I77*DO36,9)</f>
        <v>0</v>
      </c>
      <c r="CX36">
        <f>ROUND(Y36*Source!I77,9)</f>
        <v>1.8849419999999999</v>
      </c>
      <c r="CY36">
        <f t="shared" si="25"/>
        <v>8.2799999999999994</v>
      </c>
      <c r="CZ36">
        <f t="shared" si="26"/>
        <v>0.8</v>
      </c>
      <c r="DA36">
        <f t="shared" si="27"/>
        <v>9.8800000000000008</v>
      </c>
      <c r="DB36">
        <f t="shared" si="22"/>
        <v>8.6709999999999994</v>
      </c>
      <c r="DC36">
        <f t="shared" si="23"/>
        <v>0</v>
      </c>
      <c r="DD36" t="s">
        <v>3</v>
      </c>
      <c r="DE36" t="s">
        <v>3</v>
      </c>
      <c r="DF36">
        <f t="shared" si="20"/>
        <v>0</v>
      </c>
      <c r="DG36">
        <f t="shared" si="28"/>
        <v>14.89</v>
      </c>
      <c r="DH36">
        <f>ROUND(ROUND(AG36,2)*CX36,2)</f>
        <v>0</v>
      </c>
      <c r="DI36">
        <f t="shared" si="24"/>
        <v>0</v>
      </c>
      <c r="DJ36">
        <f t="shared" si="29"/>
        <v>14.89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ROW(Source!A77)</f>
        <v>77</v>
      </c>
      <c r="B37">
        <v>56793366</v>
      </c>
      <c r="C37">
        <v>56796393</v>
      </c>
      <c r="D37">
        <v>55992465</v>
      </c>
      <c r="E37">
        <v>1</v>
      </c>
      <c r="F37">
        <v>1</v>
      </c>
      <c r="G37">
        <v>1081</v>
      </c>
      <c r="H37">
        <v>2</v>
      </c>
      <c r="I37" t="s">
        <v>403</v>
      </c>
      <c r="J37" t="s">
        <v>404</v>
      </c>
      <c r="K37" t="s">
        <v>405</v>
      </c>
      <c r="L37">
        <v>1368</v>
      </c>
      <c r="N37">
        <v>1011</v>
      </c>
      <c r="O37" t="s">
        <v>377</v>
      </c>
      <c r="P37" t="s">
        <v>377</v>
      </c>
      <c r="Q37">
        <v>1</v>
      </c>
      <c r="W37">
        <v>0</v>
      </c>
      <c r="X37">
        <v>1657773130</v>
      </c>
      <c r="Y37">
        <f t="shared" si="21"/>
        <v>2.5529999999999999</v>
      </c>
      <c r="AA37">
        <v>0</v>
      </c>
      <c r="AB37">
        <v>25.47</v>
      </c>
      <c r="AC37">
        <v>0</v>
      </c>
      <c r="AD37">
        <v>0</v>
      </c>
      <c r="AE37">
        <v>0</v>
      </c>
      <c r="AF37">
        <v>2.4700000000000002</v>
      </c>
      <c r="AG37">
        <v>0</v>
      </c>
      <c r="AH37">
        <v>0</v>
      </c>
      <c r="AI37">
        <v>1</v>
      </c>
      <c r="AJ37">
        <v>9.85</v>
      </c>
      <c r="AK37">
        <v>1</v>
      </c>
      <c r="AL37">
        <v>1</v>
      </c>
      <c r="AM37">
        <v>2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2.2200000000000002</v>
      </c>
      <c r="AU37" t="s">
        <v>48</v>
      </c>
      <c r="AV37">
        <v>0</v>
      </c>
      <c r="AW37">
        <v>2</v>
      </c>
      <c r="AX37">
        <v>56796398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f>ROUND(Y37*Source!I77*DO37,9)</f>
        <v>0</v>
      </c>
      <c r="CX37">
        <f>ROUND(Y37*Source!I77,9)</f>
        <v>0.44422200000000001</v>
      </c>
      <c r="CY37">
        <f t="shared" si="25"/>
        <v>25.47</v>
      </c>
      <c r="CZ37">
        <f t="shared" si="26"/>
        <v>2.4700000000000002</v>
      </c>
      <c r="DA37">
        <f t="shared" si="27"/>
        <v>9.85</v>
      </c>
      <c r="DB37">
        <f t="shared" si="22"/>
        <v>6.3019999999999996</v>
      </c>
      <c r="DC37">
        <f t="shared" si="23"/>
        <v>0</v>
      </c>
      <c r="DD37" t="s">
        <v>3</v>
      </c>
      <c r="DE37" t="s">
        <v>3</v>
      </c>
      <c r="DF37">
        <f t="shared" si="20"/>
        <v>0</v>
      </c>
      <c r="DG37">
        <f t="shared" si="28"/>
        <v>10.81</v>
      </c>
      <c r="DH37">
        <f>ROUND(ROUND(AG37,2)*CX37,2)</f>
        <v>0</v>
      </c>
      <c r="DI37">
        <f t="shared" si="24"/>
        <v>0</v>
      </c>
      <c r="DJ37">
        <f t="shared" si="29"/>
        <v>10.81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ROW(Source!A77)</f>
        <v>77</v>
      </c>
      <c r="B38">
        <v>56793366</v>
      </c>
      <c r="C38">
        <v>56796393</v>
      </c>
      <c r="D38">
        <v>55992467</v>
      </c>
      <c r="E38">
        <v>1</v>
      </c>
      <c r="F38">
        <v>1</v>
      </c>
      <c r="G38">
        <v>1081</v>
      </c>
      <c r="H38">
        <v>2</v>
      </c>
      <c r="I38" t="s">
        <v>406</v>
      </c>
      <c r="J38" t="s">
        <v>407</v>
      </c>
      <c r="K38" t="s">
        <v>408</v>
      </c>
      <c r="L38">
        <v>1368</v>
      </c>
      <c r="N38">
        <v>1011</v>
      </c>
      <c r="O38" t="s">
        <v>377</v>
      </c>
      <c r="P38" t="s">
        <v>377</v>
      </c>
      <c r="Q38">
        <v>1</v>
      </c>
      <c r="W38">
        <v>0</v>
      </c>
      <c r="X38">
        <v>1247324715</v>
      </c>
      <c r="Y38">
        <f t="shared" si="21"/>
        <v>4.5194999999999999</v>
      </c>
      <c r="AA38">
        <v>0</v>
      </c>
      <c r="AB38">
        <v>4.8899999999999997</v>
      </c>
      <c r="AC38">
        <v>0</v>
      </c>
      <c r="AD38">
        <v>0</v>
      </c>
      <c r="AE38">
        <v>0</v>
      </c>
      <c r="AF38">
        <v>0.36</v>
      </c>
      <c r="AG38">
        <v>0</v>
      </c>
      <c r="AH38">
        <v>0</v>
      </c>
      <c r="AI38">
        <v>1</v>
      </c>
      <c r="AJ38">
        <v>12.97</v>
      </c>
      <c r="AK38">
        <v>1</v>
      </c>
      <c r="AL38">
        <v>1</v>
      </c>
      <c r="AM38">
        <v>2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3.93</v>
      </c>
      <c r="AU38" t="s">
        <v>48</v>
      </c>
      <c r="AV38">
        <v>0</v>
      </c>
      <c r="AW38">
        <v>2</v>
      </c>
      <c r="AX38">
        <v>56796399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f>ROUND(Y38*Source!I77*DO38,9)</f>
        <v>0</v>
      </c>
      <c r="CX38">
        <f>ROUND(Y38*Source!I77,9)</f>
        <v>0.78639300000000001</v>
      </c>
      <c r="CY38">
        <f t="shared" si="25"/>
        <v>4.8899999999999997</v>
      </c>
      <c r="CZ38">
        <f t="shared" si="26"/>
        <v>0.36</v>
      </c>
      <c r="DA38">
        <f t="shared" si="27"/>
        <v>12.97</v>
      </c>
      <c r="DB38">
        <f t="shared" si="22"/>
        <v>1.6214999999999999</v>
      </c>
      <c r="DC38">
        <f t="shared" si="23"/>
        <v>0</v>
      </c>
      <c r="DD38" t="s">
        <v>3</v>
      </c>
      <c r="DE38" t="s">
        <v>3</v>
      </c>
      <c r="DF38">
        <f t="shared" si="20"/>
        <v>0</v>
      </c>
      <c r="DG38">
        <f t="shared" si="28"/>
        <v>3.67</v>
      </c>
      <c r="DH38">
        <f>ROUND(ROUND(AG38,2)*CX38,2)</f>
        <v>0</v>
      </c>
      <c r="DI38">
        <f t="shared" si="24"/>
        <v>0</v>
      </c>
      <c r="DJ38">
        <f t="shared" si="29"/>
        <v>3.67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ROW(Source!A77)</f>
        <v>77</v>
      </c>
      <c r="B39">
        <v>56793366</v>
      </c>
      <c r="C39">
        <v>56796393</v>
      </c>
      <c r="D39">
        <v>55991700</v>
      </c>
      <c r="E39">
        <v>1</v>
      </c>
      <c r="F39">
        <v>1</v>
      </c>
      <c r="G39">
        <v>1081</v>
      </c>
      <c r="H39">
        <v>2</v>
      </c>
      <c r="I39" t="s">
        <v>409</v>
      </c>
      <c r="J39" t="s">
        <v>410</v>
      </c>
      <c r="K39" t="s">
        <v>411</v>
      </c>
      <c r="L39">
        <v>1368</v>
      </c>
      <c r="N39">
        <v>1011</v>
      </c>
      <c r="O39" t="s">
        <v>377</v>
      </c>
      <c r="P39" t="s">
        <v>377</v>
      </c>
      <c r="Q39">
        <v>1</v>
      </c>
      <c r="W39">
        <v>0</v>
      </c>
      <c r="X39">
        <v>1364481760</v>
      </c>
      <c r="Y39">
        <f t="shared" si="21"/>
        <v>3.4499999999999996E-2</v>
      </c>
      <c r="AA39">
        <v>0</v>
      </c>
      <c r="AB39">
        <v>1292.32</v>
      </c>
      <c r="AC39">
        <v>753.81</v>
      </c>
      <c r="AD39">
        <v>0</v>
      </c>
      <c r="AE39">
        <v>0</v>
      </c>
      <c r="AF39">
        <v>53.9</v>
      </c>
      <c r="AG39">
        <v>12.62</v>
      </c>
      <c r="AH39">
        <v>0</v>
      </c>
      <c r="AI39">
        <v>1</v>
      </c>
      <c r="AJ39">
        <v>22.9</v>
      </c>
      <c r="AK39">
        <v>57.05</v>
      </c>
      <c r="AL39">
        <v>1</v>
      </c>
      <c r="AM39">
        <v>2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0.03</v>
      </c>
      <c r="AU39" t="s">
        <v>48</v>
      </c>
      <c r="AV39">
        <v>0</v>
      </c>
      <c r="AW39">
        <v>2</v>
      </c>
      <c r="AX39">
        <v>56796400</v>
      </c>
      <c r="AY39">
        <v>1</v>
      </c>
      <c r="AZ39">
        <v>2048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f>ROUND(Y39*Source!I77*DO39,9)</f>
        <v>7.5757859999999996E-2</v>
      </c>
      <c r="CX39">
        <f>ROUND(Y39*Source!I77,9)</f>
        <v>6.0029999999999997E-3</v>
      </c>
      <c r="CY39">
        <f t="shared" si="25"/>
        <v>1292.32</v>
      </c>
      <c r="CZ39">
        <f t="shared" si="26"/>
        <v>53.9</v>
      </c>
      <c r="DA39">
        <f t="shared" si="27"/>
        <v>22.9</v>
      </c>
      <c r="DB39">
        <f t="shared" si="22"/>
        <v>1.863</v>
      </c>
      <c r="DC39">
        <f t="shared" si="23"/>
        <v>0.437</v>
      </c>
      <c r="DD39" t="s">
        <v>3</v>
      </c>
      <c r="DE39" t="s">
        <v>3</v>
      </c>
      <c r="DF39">
        <f t="shared" si="20"/>
        <v>0</v>
      </c>
      <c r="DG39">
        <f t="shared" si="28"/>
        <v>7.41</v>
      </c>
      <c r="DH39">
        <f>ROUND(ROUND(AG39*AK39,2)*CX39,2)</f>
        <v>4.32</v>
      </c>
      <c r="DI39">
        <f t="shared" si="24"/>
        <v>0</v>
      </c>
      <c r="DJ39">
        <f t="shared" si="29"/>
        <v>7.41</v>
      </c>
      <c r="DK39">
        <v>0</v>
      </c>
      <c r="DL39" t="s">
        <v>378</v>
      </c>
      <c r="DM39">
        <v>0</v>
      </c>
      <c r="DN39" t="s">
        <v>356</v>
      </c>
      <c r="DO39">
        <v>12.62</v>
      </c>
    </row>
    <row r="40" spans="1:119" x14ac:dyDescent="0.2">
      <c r="A40">
        <f>ROW(Source!A77)</f>
        <v>77</v>
      </c>
      <c r="B40">
        <v>56793366</v>
      </c>
      <c r="C40">
        <v>56796393</v>
      </c>
      <c r="D40">
        <v>55962266</v>
      </c>
      <c r="E40">
        <v>1</v>
      </c>
      <c r="F40">
        <v>1</v>
      </c>
      <c r="G40">
        <v>1081</v>
      </c>
      <c r="H40">
        <v>3</v>
      </c>
      <c r="I40" t="s">
        <v>149</v>
      </c>
      <c r="J40" t="s">
        <v>152</v>
      </c>
      <c r="K40" t="s">
        <v>150</v>
      </c>
      <c r="L40">
        <v>1339</v>
      </c>
      <c r="N40">
        <v>1007</v>
      </c>
      <c r="O40" t="s">
        <v>151</v>
      </c>
      <c r="P40" t="s">
        <v>151</v>
      </c>
      <c r="Q40">
        <v>1</v>
      </c>
      <c r="W40">
        <v>0</v>
      </c>
      <c r="X40">
        <v>-565228515</v>
      </c>
      <c r="Y40">
        <f t="shared" ref="Y40:Y46" si="30">AT40</f>
        <v>0.45977000000000001</v>
      </c>
      <c r="AA40">
        <v>50584.83</v>
      </c>
      <c r="AB40">
        <v>0</v>
      </c>
      <c r="AC40">
        <v>0</v>
      </c>
      <c r="AD40">
        <v>0</v>
      </c>
      <c r="AE40">
        <v>2520.42</v>
      </c>
      <c r="AF40">
        <v>0</v>
      </c>
      <c r="AG40">
        <v>0</v>
      </c>
      <c r="AH40">
        <v>0</v>
      </c>
      <c r="AI40">
        <v>20.07</v>
      </c>
      <c r="AJ40">
        <v>1</v>
      </c>
      <c r="AK40">
        <v>1</v>
      </c>
      <c r="AL40">
        <v>1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 t="s">
        <v>3</v>
      </c>
      <c r="AT40">
        <v>0.45977000000000001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ROUND(Y40*Source!I77,9)</f>
        <v>7.9999979999999998E-2</v>
      </c>
      <c r="CY40">
        <f t="shared" ref="CY40:CY46" si="31">AA40</f>
        <v>50584.83</v>
      </c>
      <c r="CZ40">
        <f t="shared" ref="CZ40:CZ46" si="32">AE40</f>
        <v>2520.42</v>
      </c>
      <c r="DA40">
        <f t="shared" ref="DA40:DA46" si="33">AI40</f>
        <v>20.07</v>
      </c>
      <c r="DB40">
        <f t="shared" ref="DB40:DB46" si="34">ROUND(ROUND(AT40*CZ40,2),6)</f>
        <v>1158.81</v>
      </c>
      <c r="DC40">
        <f t="shared" ref="DC40:DC46" si="35">ROUND(ROUND(AT40*AG40,2),6)</f>
        <v>0</v>
      </c>
      <c r="DD40" t="s">
        <v>3</v>
      </c>
      <c r="DE40" t="s">
        <v>3</v>
      </c>
      <c r="DF40">
        <f t="shared" ref="DF40:DF46" si="36">ROUND(ROUND(AE40*AI40,2)*CX40,2)</f>
        <v>4046.79</v>
      </c>
      <c r="DG40">
        <f t="shared" ref="DG40:DG47" si="37">ROUND(ROUND(AF40,2)*CX40,2)</f>
        <v>0</v>
      </c>
      <c r="DH40">
        <f t="shared" ref="DH40:DH48" si="38">ROUND(ROUND(AG40,2)*CX40,2)</f>
        <v>0</v>
      </c>
      <c r="DI40">
        <f t="shared" si="24"/>
        <v>0</v>
      </c>
      <c r="DJ40">
        <f t="shared" ref="DJ40:DJ46" si="39">DF40</f>
        <v>4046.79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ROW(Source!A77)</f>
        <v>77</v>
      </c>
      <c r="B41">
        <v>56793366</v>
      </c>
      <c r="C41">
        <v>56796393</v>
      </c>
      <c r="D41">
        <v>55962402</v>
      </c>
      <c r="E41">
        <v>1</v>
      </c>
      <c r="F41">
        <v>1</v>
      </c>
      <c r="G41">
        <v>1081</v>
      </c>
      <c r="H41">
        <v>3</v>
      </c>
      <c r="I41" t="s">
        <v>412</v>
      </c>
      <c r="J41" t="s">
        <v>413</v>
      </c>
      <c r="K41" t="s">
        <v>414</v>
      </c>
      <c r="L41">
        <v>1327</v>
      </c>
      <c r="N41">
        <v>1005</v>
      </c>
      <c r="O41" t="s">
        <v>174</v>
      </c>
      <c r="P41" t="s">
        <v>174</v>
      </c>
      <c r="Q41">
        <v>1</v>
      </c>
      <c r="W41">
        <v>0</v>
      </c>
      <c r="X41">
        <v>366502181</v>
      </c>
      <c r="Y41">
        <f t="shared" si="30"/>
        <v>0.2</v>
      </c>
      <c r="AA41">
        <v>209.02</v>
      </c>
      <c r="AB41">
        <v>0</v>
      </c>
      <c r="AC41">
        <v>0</v>
      </c>
      <c r="AD41">
        <v>0</v>
      </c>
      <c r="AE41">
        <v>103.99</v>
      </c>
      <c r="AF41">
        <v>0</v>
      </c>
      <c r="AG41">
        <v>0</v>
      </c>
      <c r="AH41">
        <v>0</v>
      </c>
      <c r="AI41">
        <v>2.0099999999999998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0.2</v>
      </c>
      <c r="AU41" t="s">
        <v>3</v>
      </c>
      <c r="AV41">
        <v>0</v>
      </c>
      <c r="AW41">
        <v>2</v>
      </c>
      <c r="AX41">
        <v>56796401</v>
      </c>
      <c r="AY41">
        <v>1</v>
      </c>
      <c r="AZ41">
        <v>0</v>
      </c>
      <c r="BA41">
        <v>40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ROUND(Y41*Source!I77,9)</f>
        <v>3.4799999999999998E-2</v>
      </c>
      <c r="CY41">
        <f t="shared" si="31"/>
        <v>209.02</v>
      </c>
      <c r="CZ41">
        <f t="shared" si="32"/>
        <v>103.99</v>
      </c>
      <c r="DA41">
        <f t="shared" si="33"/>
        <v>2.0099999999999998</v>
      </c>
      <c r="DB41">
        <f t="shared" si="34"/>
        <v>20.8</v>
      </c>
      <c r="DC41">
        <f t="shared" si="35"/>
        <v>0</v>
      </c>
      <c r="DD41" t="s">
        <v>3</v>
      </c>
      <c r="DE41" t="s">
        <v>3</v>
      </c>
      <c r="DF41">
        <f t="shared" si="36"/>
        <v>7.27</v>
      </c>
      <c r="DG41">
        <f t="shared" si="37"/>
        <v>0</v>
      </c>
      <c r="DH41">
        <f t="shared" si="38"/>
        <v>0</v>
      </c>
      <c r="DI41">
        <f t="shared" si="24"/>
        <v>0</v>
      </c>
      <c r="DJ41">
        <f t="shared" si="39"/>
        <v>7.27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ROW(Source!A77)</f>
        <v>77</v>
      </c>
      <c r="B42">
        <v>56793366</v>
      </c>
      <c r="C42">
        <v>56796393</v>
      </c>
      <c r="D42">
        <v>55962509</v>
      </c>
      <c r="E42">
        <v>1</v>
      </c>
      <c r="F42">
        <v>1</v>
      </c>
      <c r="G42">
        <v>1081</v>
      </c>
      <c r="H42">
        <v>3</v>
      </c>
      <c r="I42" t="s">
        <v>415</v>
      </c>
      <c r="J42" t="s">
        <v>416</v>
      </c>
      <c r="K42" t="s">
        <v>417</v>
      </c>
      <c r="L42">
        <v>1346</v>
      </c>
      <c r="N42">
        <v>1009</v>
      </c>
      <c r="O42" t="s">
        <v>146</v>
      </c>
      <c r="P42" t="s">
        <v>146</v>
      </c>
      <c r="Q42">
        <v>1</v>
      </c>
      <c r="W42">
        <v>0</v>
      </c>
      <c r="X42">
        <v>2114187308</v>
      </c>
      <c r="Y42">
        <f t="shared" si="30"/>
        <v>4.9000000000000004</v>
      </c>
      <c r="AA42">
        <v>222.85</v>
      </c>
      <c r="AB42">
        <v>0</v>
      </c>
      <c r="AC42">
        <v>0</v>
      </c>
      <c r="AD42">
        <v>0</v>
      </c>
      <c r="AE42">
        <v>10.07</v>
      </c>
      <c r="AF42">
        <v>0</v>
      </c>
      <c r="AG42">
        <v>0</v>
      </c>
      <c r="AH42">
        <v>0</v>
      </c>
      <c r="AI42">
        <v>22.13</v>
      </c>
      <c r="AJ42">
        <v>1</v>
      </c>
      <c r="AK42">
        <v>1</v>
      </c>
      <c r="AL42">
        <v>1</v>
      </c>
      <c r="AM42">
        <v>2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4.9000000000000004</v>
      </c>
      <c r="AU42" t="s">
        <v>3</v>
      </c>
      <c r="AV42">
        <v>0</v>
      </c>
      <c r="AW42">
        <v>2</v>
      </c>
      <c r="AX42">
        <v>56796402</v>
      </c>
      <c r="AY42">
        <v>1</v>
      </c>
      <c r="AZ42">
        <v>0</v>
      </c>
      <c r="BA42">
        <v>41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ROUND(Y42*Source!I77,9)</f>
        <v>0.85260000000000002</v>
      </c>
      <c r="CY42">
        <f t="shared" si="31"/>
        <v>222.85</v>
      </c>
      <c r="CZ42">
        <f t="shared" si="32"/>
        <v>10.07</v>
      </c>
      <c r="DA42">
        <f t="shared" si="33"/>
        <v>22.13</v>
      </c>
      <c r="DB42">
        <f t="shared" si="34"/>
        <v>49.34</v>
      </c>
      <c r="DC42">
        <f t="shared" si="35"/>
        <v>0</v>
      </c>
      <c r="DD42" t="s">
        <v>3</v>
      </c>
      <c r="DE42" t="s">
        <v>3</v>
      </c>
      <c r="DF42">
        <f t="shared" si="36"/>
        <v>190</v>
      </c>
      <c r="DG42">
        <f t="shared" si="37"/>
        <v>0</v>
      </c>
      <c r="DH42">
        <f t="shared" si="38"/>
        <v>0</v>
      </c>
      <c r="DI42">
        <f t="shared" si="24"/>
        <v>0</v>
      </c>
      <c r="DJ42">
        <f t="shared" si="39"/>
        <v>190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ROW(Source!A77)</f>
        <v>77</v>
      </c>
      <c r="B43">
        <v>56793366</v>
      </c>
      <c r="C43">
        <v>56796393</v>
      </c>
      <c r="D43">
        <v>55963756</v>
      </c>
      <c r="E43">
        <v>1</v>
      </c>
      <c r="F43">
        <v>1</v>
      </c>
      <c r="G43">
        <v>1081</v>
      </c>
      <c r="H43">
        <v>3</v>
      </c>
      <c r="I43" t="s">
        <v>140</v>
      </c>
      <c r="J43" t="s">
        <v>142</v>
      </c>
      <c r="K43" t="s">
        <v>141</v>
      </c>
      <c r="L43">
        <v>1355</v>
      </c>
      <c r="N43">
        <v>1010</v>
      </c>
      <c r="O43" t="s">
        <v>22</v>
      </c>
      <c r="P43" t="s">
        <v>22</v>
      </c>
      <c r="Q43">
        <v>100</v>
      </c>
      <c r="W43">
        <v>0</v>
      </c>
      <c r="X43">
        <v>-1966092607</v>
      </c>
      <c r="Y43">
        <f t="shared" si="30"/>
        <v>15.2</v>
      </c>
      <c r="AA43">
        <v>351.24</v>
      </c>
      <c r="AB43">
        <v>0</v>
      </c>
      <c r="AC43">
        <v>0</v>
      </c>
      <c r="AD43">
        <v>0</v>
      </c>
      <c r="AE43">
        <v>94.93</v>
      </c>
      <c r="AF43">
        <v>0</v>
      </c>
      <c r="AG43">
        <v>0</v>
      </c>
      <c r="AH43">
        <v>0</v>
      </c>
      <c r="AI43">
        <v>3.7</v>
      </c>
      <c r="AJ43">
        <v>1</v>
      </c>
      <c r="AK43">
        <v>1</v>
      </c>
      <c r="AL43">
        <v>1</v>
      </c>
      <c r="AM43">
        <v>0</v>
      </c>
      <c r="AN43">
        <v>0</v>
      </c>
      <c r="AO43">
        <v>0</v>
      </c>
      <c r="AP43">
        <v>1</v>
      </c>
      <c r="AQ43">
        <v>0</v>
      </c>
      <c r="AR43">
        <v>0</v>
      </c>
      <c r="AS43" t="s">
        <v>3</v>
      </c>
      <c r="AT43">
        <v>15.2</v>
      </c>
      <c r="AU43" t="s">
        <v>3</v>
      </c>
      <c r="AV43">
        <v>0</v>
      </c>
      <c r="AW43">
        <v>1</v>
      </c>
      <c r="AX43">
        <v>-1</v>
      </c>
      <c r="AY43">
        <v>0</v>
      </c>
      <c r="AZ43">
        <v>0</v>
      </c>
      <c r="BA43" t="s">
        <v>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ROUND(Y43*Source!I77,9)</f>
        <v>2.6448</v>
      </c>
      <c r="CY43">
        <f t="shared" si="31"/>
        <v>351.24</v>
      </c>
      <c r="CZ43">
        <f t="shared" si="32"/>
        <v>94.93</v>
      </c>
      <c r="DA43">
        <f t="shared" si="33"/>
        <v>3.7</v>
      </c>
      <c r="DB43">
        <f t="shared" si="34"/>
        <v>1442.94</v>
      </c>
      <c r="DC43">
        <f t="shared" si="35"/>
        <v>0</v>
      </c>
      <c r="DD43" t="s">
        <v>3</v>
      </c>
      <c r="DE43" t="s">
        <v>3</v>
      </c>
      <c r="DF43">
        <f t="shared" si="36"/>
        <v>928.96</v>
      </c>
      <c r="DG43">
        <f t="shared" si="37"/>
        <v>0</v>
      </c>
      <c r="DH43">
        <f t="shared" si="38"/>
        <v>0</v>
      </c>
      <c r="DI43">
        <f t="shared" si="24"/>
        <v>0</v>
      </c>
      <c r="DJ43">
        <f t="shared" si="39"/>
        <v>928.96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ROW(Source!A77)</f>
        <v>77</v>
      </c>
      <c r="B44">
        <v>56793366</v>
      </c>
      <c r="C44">
        <v>56796393</v>
      </c>
      <c r="D44">
        <v>55961639</v>
      </c>
      <c r="E44">
        <v>1</v>
      </c>
      <c r="F44">
        <v>1</v>
      </c>
      <c r="G44">
        <v>1081</v>
      </c>
      <c r="H44">
        <v>3</v>
      </c>
      <c r="I44" t="s">
        <v>144</v>
      </c>
      <c r="J44" t="s">
        <v>147</v>
      </c>
      <c r="K44" t="s">
        <v>145</v>
      </c>
      <c r="L44">
        <v>1346</v>
      </c>
      <c r="N44">
        <v>1009</v>
      </c>
      <c r="O44" t="s">
        <v>146</v>
      </c>
      <c r="P44" t="s">
        <v>146</v>
      </c>
      <c r="Q44">
        <v>1</v>
      </c>
      <c r="W44">
        <v>0</v>
      </c>
      <c r="X44">
        <v>-1915576057</v>
      </c>
      <c r="Y44">
        <f t="shared" si="30"/>
        <v>0.51500000000000001</v>
      </c>
      <c r="AA44">
        <v>85.23</v>
      </c>
      <c r="AB44">
        <v>0</v>
      </c>
      <c r="AC44">
        <v>0</v>
      </c>
      <c r="AD44">
        <v>0</v>
      </c>
      <c r="AE44">
        <v>9.98</v>
      </c>
      <c r="AF44">
        <v>0</v>
      </c>
      <c r="AG44">
        <v>0</v>
      </c>
      <c r="AH44">
        <v>0</v>
      </c>
      <c r="AI44">
        <v>8.5399999999999991</v>
      </c>
      <c r="AJ44">
        <v>1</v>
      </c>
      <c r="AK44">
        <v>1</v>
      </c>
      <c r="AL44">
        <v>1</v>
      </c>
      <c r="AM44">
        <v>2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</v>
      </c>
      <c r="AT44">
        <v>0.51500000000000001</v>
      </c>
      <c r="AU44" t="s">
        <v>3</v>
      </c>
      <c r="AV44">
        <v>0</v>
      </c>
      <c r="AW44">
        <v>2</v>
      </c>
      <c r="AX44">
        <v>56796403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ROUND(Y44*Source!I77,9)</f>
        <v>8.9609999999999995E-2</v>
      </c>
      <c r="CY44">
        <f t="shared" si="31"/>
        <v>85.23</v>
      </c>
      <c r="CZ44">
        <f t="shared" si="32"/>
        <v>9.98</v>
      </c>
      <c r="DA44">
        <f t="shared" si="33"/>
        <v>8.5399999999999991</v>
      </c>
      <c r="DB44">
        <f t="shared" si="34"/>
        <v>5.14</v>
      </c>
      <c r="DC44">
        <f t="shared" si="35"/>
        <v>0</v>
      </c>
      <c r="DD44" t="s">
        <v>3</v>
      </c>
      <c r="DE44" t="s">
        <v>3</v>
      </c>
      <c r="DF44">
        <f t="shared" si="36"/>
        <v>7.64</v>
      </c>
      <c r="DG44">
        <f t="shared" si="37"/>
        <v>0</v>
      </c>
      <c r="DH44">
        <f t="shared" si="38"/>
        <v>0</v>
      </c>
      <c r="DI44">
        <f t="shared" si="24"/>
        <v>0</v>
      </c>
      <c r="DJ44">
        <f t="shared" si="39"/>
        <v>7.64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ROW(Source!A77)</f>
        <v>77</v>
      </c>
      <c r="B45">
        <v>56793366</v>
      </c>
      <c r="C45">
        <v>56796393</v>
      </c>
      <c r="D45">
        <v>55961639</v>
      </c>
      <c r="E45">
        <v>1</v>
      </c>
      <c r="F45">
        <v>1</v>
      </c>
      <c r="G45">
        <v>1081</v>
      </c>
      <c r="H45">
        <v>3</v>
      </c>
      <c r="I45" t="s">
        <v>144</v>
      </c>
      <c r="J45" t="s">
        <v>147</v>
      </c>
      <c r="K45" t="s">
        <v>145</v>
      </c>
      <c r="L45">
        <v>1346</v>
      </c>
      <c r="N45">
        <v>1009</v>
      </c>
      <c r="O45" t="s">
        <v>146</v>
      </c>
      <c r="P45" t="s">
        <v>146</v>
      </c>
      <c r="Q45">
        <v>1</v>
      </c>
      <c r="W45">
        <v>0</v>
      </c>
      <c r="X45">
        <v>-1915576057</v>
      </c>
      <c r="Y45">
        <f t="shared" si="30"/>
        <v>80</v>
      </c>
      <c r="AA45">
        <v>85.23</v>
      </c>
      <c r="AB45">
        <v>0</v>
      </c>
      <c r="AC45">
        <v>0</v>
      </c>
      <c r="AD45">
        <v>0</v>
      </c>
      <c r="AE45">
        <v>9.98</v>
      </c>
      <c r="AF45">
        <v>0</v>
      </c>
      <c r="AG45">
        <v>0</v>
      </c>
      <c r="AH45">
        <v>0</v>
      </c>
      <c r="AI45">
        <v>8.5399999999999991</v>
      </c>
      <c r="AJ45">
        <v>1</v>
      </c>
      <c r="AK45">
        <v>1</v>
      </c>
      <c r="AL45">
        <v>1</v>
      </c>
      <c r="AM45">
        <v>0</v>
      </c>
      <c r="AN45">
        <v>0</v>
      </c>
      <c r="AO45">
        <v>0</v>
      </c>
      <c r="AP45">
        <v>1</v>
      </c>
      <c r="AQ45">
        <v>0</v>
      </c>
      <c r="AR45">
        <v>0</v>
      </c>
      <c r="AS45" t="s">
        <v>3</v>
      </c>
      <c r="AT45">
        <v>80</v>
      </c>
      <c r="AU45" t="s">
        <v>3</v>
      </c>
      <c r="AV45">
        <v>0</v>
      </c>
      <c r="AW45">
        <v>1</v>
      </c>
      <c r="AX45">
        <v>-1</v>
      </c>
      <c r="AY45">
        <v>0</v>
      </c>
      <c r="AZ45">
        <v>0</v>
      </c>
      <c r="BA45" t="s">
        <v>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ROUND(Y45*Source!I77,9)</f>
        <v>13.92</v>
      </c>
      <c r="CY45">
        <f t="shared" si="31"/>
        <v>85.23</v>
      </c>
      <c r="CZ45">
        <f t="shared" si="32"/>
        <v>9.98</v>
      </c>
      <c r="DA45">
        <f t="shared" si="33"/>
        <v>8.5399999999999991</v>
      </c>
      <c r="DB45">
        <f t="shared" si="34"/>
        <v>798.4</v>
      </c>
      <c r="DC45">
        <f t="shared" si="35"/>
        <v>0</v>
      </c>
      <c r="DD45" t="s">
        <v>3</v>
      </c>
      <c r="DE45" t="s">
        <v>3</v>
      </c>
      <c r="DF45">
        <f t="shared" si="36"/>
        <v>1186.4000000000001</v>
      </c>
      <c r="DG45">
        <f t="shared" si="37"/>
        <v>0</v>
      </c>
      <c r="DH45">
        <f t="shared" si="38"/>
        <v>0</v>
      </c>
      <c r="DI45">
        <f t="shared" si="24"/>
        <v>0</v>
      </c>
      <c r="DJ45">
        <f t="shared" si="39"/>
        <v>1186.4000000000001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ROW(Source!A77)</f>
        <v>77</v>
      </c>
      <c r="B46">
        <v>56793366</v>
      </c>
      <c r="C46">
        <v>56796393</v>
      </c>
      <c r="D46">
        <v>55961367</v>
      </c>
      <c r="E46">
        <v>1</v>
      </c>
      <c r="F46">
        <v>1</v>
      </c>
      <c r="G46">
        <v>1081</v>
      </c>
      <c r="H46">
        <v>3</v>
      </c>
      <c r="I46" t="s">
        <v>418</v>
      </c>
      <c r="J46" t="s">
        <v>419</v>
      </c>
      <c r="K46" t="s">
        <v>420</v>
      </c>
      <c r="L46">
        <v>1348</v>
      </c>
      <c r="N46">
        <v>1009</v>
      </c>
      <c r="O46" t="s">
        <v>239</v>
      </c>
      <c r="P46" t="s">
        <v>239</v>
      </c>
      <c r="Q46">
        <v>1000</v>
      </c>
      <c r="W46">
        <v>0</v>
      </c>
      <c r="X46">
        <v>857152763</v>
      </c>
      <c r="Y46">
        <f t="shared" si="30"/>
        <v>4.8999999999999998E-3</v>
      </c>
      <c r="AA46">
        <v>73341.919999999998</v>
      </c>
      <c r="AB46">
        <v>0</v>
      </c>
      <c r="AC46">
        <v>0</v>
      </c>
      <c r="AD46">
        <v>0</v>
      </c>
      <c r="AE46">
        <v>6753.4</v>
      </c>
      <c r="AF46">
        <v>0</v>
      </c>
      <c r="AG46">
        <v>0</v>
      </c>
      <c r="AH46">
        <v>0</v>
      </c>
      <c r="AI46">
        <v>10.86</v>
      </c>
      <c r="AJ46">
        <v>1</v>
      </c>
      <c r="AK46">
        <v>1</v>
      </c>
      <c r="AL46">
        <v>1</v>
      </c>
      <c r="AM46">
        <v>2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</v>
      </c>
      <c r="AT46">
        <v>4.8999999999999998E-3</v>
      </c>
      <c r="AU46" t="s">
        <v>3</v>
      </c>
      <c r="AV46">
        <v>0</v>
      </c>
      <c r="AW46">
        <v>2</v>
      </c>
      <c r="AX46">
        <v>56796404</v>
      </c>
      <c r="AY46">
        <v>1</v>
      </c>
      <c r="AZ46">
        <v>0</v>
      </c>
      <c r="BA46">
        <v>43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ROUND(Y46*Source!I77,9)</f>
        <v>8.5260000000000002E-4</v>
      </c>
      <c r="CY46">
        <f t="shared" si="31"/>
        <v>73341.919999999998</v>
      </c>
      <c r="CZ46">
        <f t="shared" si="32"/>
        <v>6753.4</v>
      </c>
      <c r="DA46">
        <f t="shared" si="33"/>
        <v>10.86</v>
      </c>
      <c r="DB46">
        <f t="shared" si="34"/>
        <v>33.090000000000003</v>
      </c>
      <c r="DC46">
        <f t="shared" si="35"/>
        <v>0</v>
      </c>
      <c r="DD46" t="s">
        <v>3</v>
      </c>
      <c r="DE46" t="s">
        <v>3</v>
      </c>
      <c r="DF46">
        <f t="shared" si="36"/>
        <v>62.53</v>
      </c>
      <c r="DG46">
        <f t="shared" si="37"/>
        <v>0</v>
      </c>
      <c r="DH46">
        <f t="shared" si="38"/>
        <v>0</v>
      </c>
      <c r="DI46">
        <f t="shared" si="24"/>
        <v>0</v>
      </c>
      <c r="DJ46">
        <f t="shared" si="39"/>
        <v>62.53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ROW(Source!A81)</f>
        <v>81</v>
      </c>
      <c r="B47">
        <v>56793366</v>
      </c>
      <c r="C47">
        <v>56794108</v>
      </c>
      <c r="D47">
        <v>55926487</v>
      </c>
      <c r="E47">
        <v>1081</v>
      </c>
      <c r="F47">
        <v>1</v>
      </c>
      <c r="G47">
        <v>1081</v>
      </c>
      <c r="H47">
        <v>1</v>
      </c>
      <c r="I47" t="s">
        <v>354</v>
      </c>
      <c r="J47" t="s">
        <v>3</v>
      </c>
      <c r="K47" t="s">
        <v>355</v>
      </c>
      <c r="L47">
        <v>1191</v>
      </c>
      <c r="N47">
        <v>1013</v>
      </c>
      <c r="O47" t="s">
        <v>356</v>
      </c>
      <c r="P47" t="s">
        <v>356</v>
      </c>
      <c r="Q47">
        <v>1</v>
      </c>
      <c r="W47">
        <v>0</v>
      </c>
      <c r="X47">
        <v>476480486</v>
      </c>
      <c r="Y47">
        <f>(AT47*1.15)</f>
        <v>37.972999999999999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-2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33.020000000000003</v>
      </c>
      <c r="AU47" t="s">
        <v>48</v>
      </c>
      <c r="AV47">
        <v>1</v>
      </c>
      <c r="AW47">
        <v>2</v>
      </c>
      <c r="AX47">
        <v>56794118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U47">
        <f>ROUND(AT47*Source!I81*AH47*AL47,2)</f>
        <v>0</v>
      </c>
      <c r="CV47">
        <f>ROUND(Y47*Source!I81,9)</f>
        <v>6.3870585999999996</v>
      </c>
      <c r="CW47">
        <v>0</v>
      </c>
      <c r="CX47">
        <f>ROUND(Y47*Source!I81,9)</f>
        <v>6.3870585999999996</v>
      </c>
      <c r="CY47">
        <f>AD47</f>
        <v>0</v>
      </c>
      <c r="CZ47">
        <f>AH47</f>
        <v>0</v>
      </c>
      <c r="DA47">
        <f>AL47</f>
        <v>1</v>
      </c>
      <c r="DB47">
        <f>ROUND((ROUND(AT47*CZ47,2)*1.15),6)</f>
        <v>0</v>
      </c>
      <c r="DC47">
        <f>ROUND((ROUND(AT47*AG47,2)*1.15),6)</f>
        <v>0</v>
      </c>
      <c r="DD47" t="s">
        <v>3</v>
      </c>
      <c r="DE47" t="s">
        <v>3</v>
      </c>
      <c r="DF47">
        <f>ROUND(ROUND(AE47,2)*CX47,2)</f>
        <v>0</v>
      </c>
      <c r="DG47">
        <f t="shared" si="37"/>
        <v>0</v>
      </c>
      <c r="DH47">
        <f t="shared" si="38"/>
        <v>0</v>
      </c>
      <c r="DI47">
        <f t="shared" si="24"/>
        <v>0</v>
      </c>
      <c r="DJ47">
        <f>DI47</f>
        <v>0</v>
      </c>
      <c r="DK47">
        <v>0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ROW(Source!A81)</f>
        <v>81</v>
      </c>
      <c r="B48">
        <v>56793366</v>
      </c>
      <c r="C48">
        <v>56794108</v>
      </c>
      <c r="D48">
        <v>55992133</v>
      </c>
      <c r="E48">
        <v>1</v>
      </c>
      <c r="F48">
        <v>1</v>
      </c>
      <c r="G48">
        <v>1081</v>
      </c>
      <c r="H48">
        <v>2</v>
      </c>
      <c r="I48" t="s">
        <v>397</v>
      </c>
      <c r="J48" t="s">
        <v>398</v>
      </c>
      <c r="K48" t="s">
        <v>399</v>
      </c>
      <c r="L48">
        <v>1368</v>
      </c>
      <c r="N48">
        <v>1011</v>
      </c>
      <c r="O48" t="s">
        <v>377</v>
      </c>
      <c r="P48" t="s">
        <v>377</v>
      </c>
      <c r="Q48">
        <v>1</v>
      </c>
      <c r="W48">
        <v>0</v>
      </c>
      <c r="X48">
        <v>-259890331</v>
      </c>
      <c r="Y48">
        <f>(AT48*1.15)</f>
        <v>2.76</v>
      </c>
      <c r="AA48">
        <v>0</v>
      </c>
      <c r="AB48">
        <v>44.19</v>
      </c>
      <c r="AC48">
        <v>0</v>
      </c>
      <c r="AD48">
        <v>0</v>
      </c>
      <c r="AE48">
        <v>0</v>
      </c>
      <c r="AF48">
        <v>4.6900000000000004</v>
      </c>
      <c r="AG48">
        <v>0</v>
      </c>
      <c r="AH48">
        <v>0</v>
      </c>
      <c r="AI48">
        <v>1</v>
      </c>
      <c r="AJ48">
        <v>9</v>
      </c>
      <c r="AK48">
        <v>1</v>
      </c>
      <c r="AL48">
        <v>1</v>
      </c>
      <c r="AM48">
        <v>2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2.4</v>
      </c>
      <c r="AU48" t="s">
        <v>48</v>
      </c>
      <c r="AV48">
        <v>0</v>
      </c>
      <c r="AW48">
        <v>2</v>
      </c>
      <c r="AX48">
        <v>56794119</v>
      </c>
      <c r="AY48">
        <v>1</v>
      </c>
      <c r="AZ48">
        <v>0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f>ROUND(Y48*Source!I81*DO48,9)</f>
        <v>0</v>
      </c>
      <c r="CX48">
        <f>ROUND(Y48*Source!I81,9)</f>
        <v>0.46423199999999998</v>
      </c>
      <c r="CY48">
        <f>AB48</f>
        <v>44.19</v>
      </c>
      <c r="CZ48">
        <f>AF48</f>
        <v>4.6900000000000004</v>
      </c>
      <c r="DA48">
        <f>AJ48</f>
        <v>9</v>
      </c>
      <c r="DB48">
        <f>ROUND((ROUND(AT48*CZ48,2)*1.15),6)</f>
        <v>12.949</v>
      </c>
      <c r="DC48">
        <f>ROUND((ROUND(AT48*AG48,2)*1.15),6)</f>
        <v>0</v>
      </c>
      <c r="DD48" t="s">
        <v>3</v>
      </c>
      <c r="DE48" t="s">
        <v>3</v>
      </c>
      <c r="DF48">
        <f>ROUND(ROUND(AE48,2)*CX48,2)</f>
        <v>0</v>
      </c>
      <c r="DG48">
        <f>ROUND(ROUND(AF48*AJ48,2)*CX48,2)</f>
        <v>19.600000000000001</v>
      </c>
      <c r="DH48">
        <f t="shared" si="38"/>
        <v>0</v>
      </c>
      <c r="DI48">
        <f t="shared" si="24"/>
        <v>0</v>
      </c>
      <c r="DJ48">
        <f>DG48</f>
        <v>19.600000000000001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 x14ac:dyDescent="0.2">
      <c r="A49">
        <f>ROW(Source!A81)</f>
        <v>81</v>
      </c>
      <c r="B49">
        <v>56793366</v>
      </c>
      <c r="C49">
        <v>56794108</v>
      </c>
      <c r="D49">
        <v>55992399</v>
      </c>
      <c r="E49">
        <v>1</v>
      </c>
      <c r="F49">
        <v>1</v>
      </c>
      <c r="G49">
        <v>1081</v>
      </c>
      <c r="H49">
        <v>2</v>
      </c>
      <c r="I49" t="s">
        <v>374</v>
      </c>
      <c r="J49" t="s">
        <v>375</v>
      </c>
      <c r="K49" t="s">
        <v>376</v>
      </c>
      <c r="L49">
        <v>1368</v>
      </c>
      <c r="N49">
        <v>1011</v>
      </c>
      <c r="O49" t="s">
        <v>377</v>
      </c>
      <c r="P49" t="s">
        <v>377</v>
      </c>
      <c r="Q49">
        <v>1</v>
      </c>
      <c r="W49">
        <v>0</v>
      </c>
      <c r="X49">
        <v>874612079</v>
      </c>
      <c r="Y49">
        <f>(AT49*1.15)</f>
        <v>0.54049999999999998</v>
      </c>
      <c r="AA49">
        <v>0</v>
      </c>
      <c r="AB49">
        <v>1518.25</v>
      </c>
      <c r="AC49">
        <v>753.81</v>
      </c>
      <c r="AD49">
        <v>0</v>
      </c>
      <c r="AE49">
        <v>0</v>
      </c>
      <c r="AF49">
        <v>83.1</v>
      </c>
      <c r="AG49">
        <v>12.62</v>
      </c>
      <c r="AH49">
        <v>0</v>
      </c>
      <c r="AI49">
        <v>1</v>
      </c>
      <c r="AJ49">
        <v>17.45</v>
      </c>
      <c r="AK49">
        <v>57.05</v>
      </c>
      <c r="AL49">
        <v>1</v>
      </c>
      <c r="AM49">
        <v>2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0.47</v>
      </c>
      <c r="AU49" t="s">
        <v>48</v>
      </c>
      <c r="AV49">
        <v>0</v>
      </c>
      <c r="AW49">
        <v>2</v>
      </c>
      <c r="AX49">
        <v>56794120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f>ROUND(Y49*Source!I81*DO49,9)</f>
        <v>1.147310702</v>
      </c>
      <c r="CX49">
        <f>ROUND(Y49*Source!I81,9)</f>
        <v>9.0912099999999996E-2</v>
      </c>
      <c r="CY49">
        <f>AB49</f>
        <v>1518.25</v>
      </c>
      <c r="CZ49">
        <f>AF49</f>
        <v>83.1</v>
      </c>
      <c r="DA49">
        <f>AJ49</f>
        <v>17.45</v>
      </c>
      <c r="DB49">
        <f>ROUND((ROUND(AT49*CZ49,2)*1.15),6)</f>
        <v>44.918999999999997</v>
      </c>
      <c r="DC49">
        <f>ROUND((ROUND(AT49*AG49,2)*1.15),6)</f>
        <v>6.8194999999999997</v>
      </c>
      <c r="DD49" t="s">
        <v>3</v>
      </c>
      <c r="DE49" t="s">
        <v>3</v>
      </c>
      <c r="DF49">
        <f>ROUND(ROUND(AE49,2)*CX49,2)</f>
        <v>0</v>
      </c>
      <c r="DG49">
        <f>ROUND(ROUND(AF49*AJ49,2)*CX49,2)</f>
        <v>131.83000000000001</v>
      </c>
      <c r="DH49">
        <f>ROUND(ROUND(AG49*AK49,2)*CX49,2)</f>
        <v>65.45</v>
      </c>
      <c r="DI49">
        <f t="shared" si="24"/>
        <v>0</v>
      </c>
      <c r="DJ49">
        <f>DG49</f>
        <v>131.83000000000001</v>
      </c>
      <c r="DK49">
        <v>0</v>
      </c>
      <c r="DL49" t="s">
        <v>378</v>
      </c>
      <c r="DM49">
        <v>0</v>
      </c>
      <c r="DN49" t="s">
        <v>356</v>
      </c>
      <c r="DO49">
        <v>12.62</v>
      </c>
    </row>
    <row r="50" spans="1:119" x14ac:dyDescent="0.2">
      <c r="A50">
        <f>ROW(Source!A81)</f>
        <v>81</v>
      </c>
      <c r="B50">
        <v>56793366</v>
      </c>
      <c r="C50">
        <v>56794108</v>
      </c>
      <c r="D50">
        <v>55992521</v>
      </c>
      <c r="E50">
        <v>1</v>
      </c>
      <c r="F50">
        <v>1</v>
      </c>
      <c r="G50">
        <v>1081</v>
      </c>
      <c r="H50">
        <v>2</v>
      </c>
      <c r="I50" t="s">
        <v>421</v>
      </c>
      <c r="J50" t="s">
        <v>422</v>
      </c>
      <c r="K50" t="s">
        <v>423</v>
      </c>
      <c r="L50">
        <v>1368</v>
      </c>
      <c r="N50">
        <v>1011</v>
      </c>
      <c r="O50" t="s">
        <v>377</v>
      </c>
      <c r="P50" t="s">
        <v>377</v>
      </c>
      <c r="Q50">
        <v>1</v>
      </c>
      <c r="W50">
        <v>0</v>
      </c>
      <c r="X50">
        <v>1043446422</v>
      </c>
      <c r="Y50">
        <f>(AT50*1.15)</f>
        <v>3.8179999999999996</v>
      </c>
      <c r="AA50">
        <v>0</v>
      </c>
      <c r="AB50">
        <v>12.48</v>
      </c>
      <c r="AC50">
        <v>0</v>
      </c>
      <c r="AD50">
        <v>0</v>
      </c>
      <c r="AE50">
        <v>0</v>
      </c>
      <c r="AF50">
        <v>1.1100000000000001</v>
      </c>
      <c r="AG50">
        <v>0</v>
      </c>
      <c r="AH50">
        <v>0</v>
      </c>
      <c r="AI50">
        <v>1</v>
      </c>
      <c r="AJ50">
        <v>10.74</v>
      </c>
      <c r="AK50">
        <v>1</v>
      </c>
      <c r="AL50">
        <v>1</v>
      </c>
      <c r="AM50">
        <v>2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3.32</v>
      </c>
      <c r="AU50" t="s">
        <v>48</v>
      </c>
      <c r="AV50">
        <v>0</v>
      </c>
      <c r="AW50">
        <v>2</v>
      </c>
      <c r="AX50">
        <v>56794121</v>
      </c>
      <c r="AY50">
        <v>1</v>
      </c>
      <c r="AZ50">
        <v>2048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f>ROUND(Y50*Source!I81*DO50,9)</f>
        <v>0</v>
      </c>
      <c r="CX50">
        <f>ROUND(Y50*Source!I81,9)</f>
        <v>0.64218759999999997</v>
      </c>
      <c r="CY50">
        <f>AB50</f>
        <v>12.48</v>
      </c>
      <c r="CZ50">
        <f>AF50</f>
        <v>1.1100000000000001</v>
      </c>
      <c r="DA50">
        <f>AJ50</f>
        <v>10.74</v>
      </c>
      <c r="DB50">
        <f>ROUND((ROUND(AT50*CZ50,2)*1.15),6)</f>
        <v>4.2435</v>
      </c>
      <c r="DC50">
        <f>ROUND((ROUND(AT50*AG50,2)*1.15),6)</f>
        <v>0</v>
      </c>
      <c r="DD50" t="s">
        <v>3</v>
      </c>
      <c r="DE50" t="s">
        <v>3</v>
      </c>
      <c r="DF50">
        <f>ROUND(ROUND(AE50,2)*CX50,2)</f>
        <v>0</v>
      </c>
      <c r="DG50">
        <f>ROUND(ROUND(AF50*AJ50,2)*CX50,2)</f>
        <v>7.65</v>
      </c>
      <c r="DH50">
        <f>ROUND(ROUND(AG50,2)*CX50,2)</f>
        <v>0</v>
      </c>
      <c r="DI50">
        <f t="shared" si="24"/>
        <v>0</v>
      </c>
      <c r="DJ50">
        <f>DG50</f>
        <v>7.65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ROW(Source!A81)</f>
        <v>81</v>
      </c>
      <c r="B51">
        <v>56793366</v>
      </c>
      <c r="C51">
        <v>56794108</v>
      </c>
      <c r="D51">
        <v>55991700</v>
      </c>
      <c r="E51">
        <v>1</v>
      </c>
      <c r="F51">
        <v>1</v>
      </c>
      <c r="G51">
        <v>1081</v>
      </c>
      <c r="H51">
        <v>2</v>
      </c>
      <c r="I51" t="s">
        <v>409</v>
      </c>
      <c r="J51" t="s">
        <v>410</v>
      </c>
      <c r="K51" t="s">
        <v>411</v>
      </c>
      <c r="L51">
        <v>1368</v>
      </c>
      <c r="N51">
        <v>1011</v>
      </c>
      <c r="O51" t="s">
        <v>377</v>
      </c>
      <c r="P51" t="s">
        <v>377</v>
      </c>
      <c r="Q51">
        <v>1</v>
      </c>
      <c r="W51">
        <v>0</v>
      </c>
      <c r="X51">
        <v>1364481760</v>
      </c>
      <c r="Y51">
        <f>(AT51*1.15)</f>
        <v>2.3E-2</v>
      </c>
      <c r="AA51">
        <v>0</v>
      </c>
      <c r="AB51">
        <v>1292.32</v>
      </c>
      <c r="AC51">
        <v>753.81</v>
      </c>
      <c r="AD51">
        <v>0</v>
      </c>
      <c r="AE51">
        <v>0</v>
      </c>
      <c r="AF51">
        <v>53.9</v>
      </c>
      <c r="AG51">
        <v>12.62</v>
      </c>
      <c r="AH51">
        <v>0</v>
      </c>
      <c r="AI51">
        <v>1</v>
      </c>
      <c r="AJ51">
        <v>22.9</v>
      </c>
      <c r="AK51">
        <v>57.05</v>
      </c>
      <c r="AL51">
        <v>1</v>
      </c>
      <c r="AM51">
        <v>2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0.02</v>
      </c>
      <c r="AU51" t="s">
        <v>48</v>
      </c>
      <c r="AV51">
        <v>0</v>
      </c>
      <c r="AW51">
        <v>2</v>
      </c>
      <c r="AX51">
        <v>56794122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f>ROUND(Y51*Source!I81*DO51,9)</f>
        <v>4.8821732E-2</v>
      </c>
      <c r="CX51">
        <f>ROUND(Y51*Source!I81,9)</f>
        <v>3.8685999999999998E-3</v>
      </c>
      <c r="CY51">
        <f>AB51</f>
        <v>1292.32</v>
      </c>
      <c r="CZ51">
        <f>AF51</f>
        <v>53.9</v>
      </c>
      <c r="DA51">
        <f>AJ51</f>
        <v>22.9</v>
      </c>
      <c r="DB51">
        <f>ROUND((ROUND(AT51*CZ51,2)*1.15),6)</f>
        <v>1.242</v>
      </c>
      <c r="DC51">
        <f>ROUND((ROUND(AT51*AG51,2)*1.15),6)</f>
        <v>0.28749999999999998</v>
      </c>
      <c r="DD51" t="s">
        <v>3</v>
      </c>
      <c r="DE51" t="s">
        <v>3</v>
      </c>
      <c r="DF51">
        <f>ROUND(ROUND(AE51,2)*CX51,2)</f>
        <v>0</v>
      </c>
      <c r="DG51">
        <f>ROUND(ROUND(AF51*AJ51,2)*CX51,2)</f>
        <v>4.78</v>
      </c>
      <c r="DH51">
        <f>ROUND(ROUND(AG51*AK51,2)*CX51,2)</f>
        <v>2.79</v>
      </c>
      <c r="DI51">
        <f t="shared" si="24"/>
        <v>0</v>
      </c>
      <c r="DJ51">
        <f>DG51</f>
        <v>4.78</v>
      </c>
      <c r="DK51">
        <v>0</v>
      </c>
      <c r="DL51" t="s">
        <v>378</v>
      </c>
      <c r="DM51">
        <v>0</v>
      </c>
      <c r="DN51" t="s">
        <v>356</v>
      </c>
      <c r="DO51">
        <v>12.62</v>
      </c>
    </row>
    <row r="52" spans="1:119" x14ac:dyDescent="0.2">
      <c r="A52">
        <f>ROW(Source!A81)</f>
        <v>81</v>
      </c>
      <c r="B52">
        <v>56793366</v>
      </c>
      <c r="C52">
        <v>56794108</v>
      </c>
      <c r="D52">
        <v>55961427</v>
      </c>
      <c r="E52">
        <v>1</v>
      </c>
      <c r="F52">
        <v>1</v>
      </c>
      <c r="G52">
        <v>1081</v>
      </c>
      <c r="H52">
        <v>3</v>
      </c>
      <c r="I52" t="s">
        <v>424</v>
      </c>
      <c r="J52" t="s">
        <v>425</v>
      </c>
      <c r="K52" t="s">
        <v>426</v>
      </c>
      <c r="L52">
        <v>1339</v>
      </c>
      <c r="N52">
        <v>1007</v>
      </c>
      <c r="O52" t="s">
        <v>151</v>
      </c>
      <c r="P52" t="s">
        <v>151</v>
      </c>
      <c r="Q52">
        <v>1</v>
      </c>
      <c r="W52">
        <v>0</v>
      </c>
      <c r="X52">
        <v>-1622585150</v>
      </c>
      <c r="Y52">
        <f>(AT52*1)</f>
        <v>0.30199999999999999</v>
      </c>
      <c r="AA52">
        <v>54.79</v>
      </c>
      <c r="AB52">
        <v>0</v>
      </c>
      <c r="AC52">
        <v>0</v>
      </c>
      <c r="AD52">
        <v>0</v>
      </c>
      <c r="AE52">
        <v>7.07</v>
      </c>
      <c r="AF52">
        <v>0</v>
      </c>
      <c r="AG52">
        <v>0</v>
      </c>
      <c r="AH52">
        <v>0</v>
      </c>
      <c r="AI52">
        <v>7.75</v>
      </c>
      <c r="AJ52">
        <v>1</v>
      </c>
      <c r="AK52">
        <v>1</v>
      </c>
      <c r="AL52">
        <v>1</v>
      </c>
      <c r="AM52">
        <v>2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0.30199999999999999</v>
      </c>
      <c r="AU52" t="s">
        <v>24</v>
      </c>
      <c r="AV52">
        <v>0</v>
      </c>
      <c r="AW52">
        <v>2</v>
      </c>
      <c r="AX52">
        <v>56794123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ROUND(Y52*Source!I81,9)</f>
        <v>5.0796399999999998E-2</v>
      </c>
      <c r="CY52">
        <f>AA52</f>
        <v>54.79</v>
      </c>
      <c r="CZ52">
        <f>AE52</f>
        <v>7.07</v>
      </c>
      <c r="DA52">
        <f>AI52</f>
        <v>7.75</v>
      </c>
      <c r="DB52">
        <f>ROUND((ROUND(AT52*CZ52,2)*1),6)</f>
        <v>2.14</v>
      </c>
      <c r="DC52">
        <f>ROUND((ROUND(AT52*AG52,2)*1),6)</f>
        <v>0</v>
      </c>
      <c r="DD52" t="s">
        <v>3</v>
      </c>
      <c r="DE52" t="s">
        <v>3</v>
      </c>
      <c r="DF52">
        <f>ROUND(ROUND(AE52*AI52,2)*CX52,2)</f>
        <v>2.78</v>
      </c>
      <c r="DG52">
        <f>ROUND(ROUND(AF52,2)*CX52,2)</f>
        <v>0</v>
      </c>
      <c r="DH52">
        <f>ROUND(ROUND(AG52,2)*CX52,2)</f>
        <v>0</v>
      </c>
      <c r="DI52">
        <f t="shared" si="24"/>
        <v>0</v>
      </c>
      <c r="DJ52">
        <f>DF52</f>
        <v>2.78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ROW(Source!A81)</f>
        <v>81</v>
      </c>
      <c r="B53">
        <v>56793366</v>
      </c>
      <c r="C53">
        <v>56794108</v>
      </c>
      <c r="D53">
        <v>55963148</v>
      </c>
      <c r="E53">
        <v>1</v>
      </c>
      <c r="F53">
        <v>1</v>
      </c>
      <c r="G53">
        <v>1081</v>
      </c>
      <c r="H53">
        <v>3</v>
      </c>
      <c r="I53" t="s">
        <v>427</v>
      </c>
      <c r="J53" t="s">
        <v>428</v>
      </c>
      <c r="K53" t="s">
        <v>429</v>
      </c>
      <c r="L53">
        <v>1327</v>
      </c>
      <c r="N53">
        <v>1005</v>
      </c>
      <c r="O53" t="s">
        <v>174</v>
      </c>
      <c r="P53" t="s">
        <v>174</v>
      </c>
      <c r="Q53">
        <v>1</v>
      </c>
      <c r="W53">
        <v>0</v>
      </c>
      <c r="X53">
        <v>-305854458</v>
      </c>
      <c r="Y53">
        <f>(AT53*1)</f>
        <v>10</v>
      </c>
      <c r="AA53">
        <v>6.05</v>
      </c>
      <c r="AB53">
        <v>0</v>
      </c>
      <c r="AC53">
        <v>0</v>
      </c>
      <c r="AD53">
        <v>0</v>
      </c>
      <c r="AE53">
        <v>2.31</v>
      </c>
      <c r="AF53">
        <v>0</v>
      </c>
      <c r="AG53">
        <v>0</v>
      </c>
      <c r="AH53">
        <v>0</v>
      </c>
      <c r="AI53">
        <v>2.62</v>
      </c>
      <c r="AJ53">
        <v>1</v>
      </c>
      <c r="AK53">
        <v>1</v>
      </c>
      <c r="AL53">
        <v>1</v>
      </c>
      <c r="AM53">
        <v>2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10</v>
      </c>
      <c r="AU53" t="s">
        <v>24</v>
      </c>
      <c r="AV53">
        <v>0</v>
      </c>
      <c r="AW53">
        <v>2</v>
      </c>
      <c r="AX53">
        <v>56794124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ROUND(Y53*Source!I81,9)</f>
        <v>1.6819999999999999</v>
      </c>
      <c r="CY53">
        <f>AA53</f>
        <v>6.05</v>
      </c>
      <c r="CZ53">
        <f>AE53</f>
        <v>2.31</v>
      </c>
      <c r="DA53">
        <f>AI53</f>
        <v>2.62</v>
      </c>
      <c r="DB53">
        <f>ROUND((ROUND(AT53*CZ53,2)*1),6)</f>
        <v>23.1</v>
      </c>
      <c r="DC53">
        <f>ROUND((ROUND(AT53*AG53,2)*1),6)</f>
        <v>0</v>
      </c>
      <c r="DD53" t="s">
        <v>3</v>
      </c>
      <c r="DE53" t="s">
        <v>3</v>
      </c>
      <c r="DF53">
        <f>ROUND(ROUND(AE53*AI53,2)*CX53,2)</f>
        <v>10.18</v>
      </c>
      <c r="DG53">
        <f>ROUND(ROUND(AF53,2)*CX53,2)</f>
        <v>0</v>
      </c>
      <c r="DH53">
        <f>ROUND(ROUND(AG53,2)*CX53,2)</f>
        <v>0</v>
      </c>
      <c r="DI53">
        <f t="shared" si="24"/>
        <v>0</v>
      </c>
      <c r="DJ53">
        <f>DF53</f>
        <v>10.18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ROW(Source!A81)</f>
        <v>81</v>
      </c>
      <c r="B54">
        <v>56793366</v>
      </c>
      <c r="C54">
        <v>56794108</v>
      </c>
      <c r="D54">
        <v>55963694</v>
      </c>
      <c r="E54">
        <v>1</v>
      </c>
      <c r="F54">
        <v>1</v>
      </c>
      <c r="G54">
        <v>1081</v>
      </c>
      <c r="H54">
        <v>3</v>
      </c>
      <c r="I54" t="s">
        <v>160</v>
      </c>
      <c r="J54" t="s">
        <v>162</v>
      </c>
      <c r="K54" t="s">
        <v>161</v>
      </c>
      <c r="L54">
        <v>1346</v>
      </c>
      <c r="N54">
        <v>1009</v>
      </c>
      <c r="O54" t="s">
        <v>146</v>
      </c>
      <c r="P54" t="s">
        <v>146</v>
      </c>
      <c r="Q54">
        <v>1</v>
      </c>
      <c r="W54">
        <v>0</v>
      </c>
      <c r="X54">
        <v>1866012392</v>
      </c>
      <c r="Y54">
        <f>AT54</f>
        <v>23.781213000000001</v>
      </c>
      <c r="AA54">
        <v>114.18</v>
      </c>
      <c r="AB54">
        <v>0</v>
      </c>
      <c r="AC54">
        <v>0</v>
      </c>
      <c r="AD54">
        <v>0</v>
      </c>
      <c r="AE54">
        <v>17.3</v>
      </c>
      <c r="AF54">
        <v>0</v>
      </c>
      <c r="AG54">
        <v>0</v>
      </c>
      <c r="AH54">
        <v>0</v>
      </c>
      <c r="AI54">
        <v>6.6</v>
      </c>
      <c r="AJ54">
        <v>1</v>
      </c>
      <c r="AK54">
        <v>1</v>
      </c>
      <c r="AL54">
        <v>1</v>
      </c>
      <c r="AM54">
        <v>0</v>
      </c>
      <c r="AN54">
        <v>0</v>
      </c>
      <c r="AO54">
        <v>0</v>
      </c>
      <c r="AP54">
        <v>1</v>
      </c>
      <c r="AQ54">
        <v>0</v>
      </c>
      <c r="AR54">
        <v>0</v>
      </c>
      <c r="AS54" t="s">
        <v>3</v>
      </c>
      <c r="AT54">
        <v>23.781213000000001</v>
      </c>
      <c r="AU54" t="s">
        <v>3</v>
      </c>
      <c r="AV54">
        <v>0</v>
      </c>
      <c r="AW54">
        <v>1</v>
      </c>
      <c r="AX54">
        <v>-1</v>
      </c>
      <c r="AY54">
        <v>0</v>
      </c>
      <c r="AZ54">
        <v>0</v>
      </c>
      <c r="BA54" t="s">
        <v>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ROUND(Y54*Source!I81,9)</f>
        <v>4.0000000269999996</v>
      </c>
      <c r="CY54">
        <f>AA54</f>
        <v>114.18</v>
      </c>
      <c r="CZ54">
        <f>AE54</f>
        <v>17.3</v>
      </c>
      <c r="DA54">
        <f>AI54</f>
        <v>6.6</v>
      </c>
      <c r="DB54">
        <f>ROUND(ROUND(AT54*CZ54,2),6)</f>
        <v>411.41</v>
      </c>
      <c r="DC54">
        <f>ROUND(ROUND(AT54*AG54,2),6)</f>
        <v>0</v>
      </c>
      <c r="DD54" t="s">
        <v>3</v>
      </c>
      <c r="DE54" t="s">
        <v>3</v>
      </c>
      <c r="DF54">
        <f>ROUND(ROUND(AE54*AI54,2)*CX54,2)</f>
        <v>456.72</v>
      </c>
      <c r="DG54">
        <f>ROUND(ROUND(AF54,2)*CX54,2)</f>
        <v>0</v>
      </c>
      <c r="DH54">
        <f>ROUND(ROUND(AG54,2)*CX54,2)</f>
        <v>0</v>
      </c>
      <c r="DI54">
        <f t="shared" si="24"/>
        <v>0</v>
      </c>
      <c r="DJ54">
        <f>DF54</f>
        <v>456.72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ROW(Source!A81)</f>
        <v>81</v>
      </c>
      <c r="B55">
        <v>56793366</v>
      </c>
      <c r="C55">
        <v>56794108</v>
      </c>
      <c r="D55">
        <v>0</v>
      </c>
      <c r="E55">
        <v>1081</v>
      </c>
      <c r="F55">
        <v>1</v>
      </c>
      <c r="G55">
        <v>1081</v>
      </c>
      <c r="H55">
        <v>3</v>
      </c>
      <c r="I55" t="s">
        <v>39</v>
      </c>
      <c r="J55" t="s">
        <v>3</v>
      </c>
      <c r="K55" t="s">
        <v>157</v>
      </c>
      <c r="L55">
        <v>1371</v>
      </c>
      <c r="N55">
        <v>1013</v>
      </c>
      <c r="O55" t="s">
        <v>158</v>
      </c>
      <c r="P55" t="s">
        <v>158</v>
      </c>
      <c r="Q55">
        <v>1</v>
      </c>
      <c r="W55">
        <v>0</v>
      </c>
      <c r="X55">
        <v>-1993809694</v>
      </c>
      <c r="Y55">
        <f>(AT55*1)</f>
        <v>41.617122000000002</v>
      </c>
      <c r="AA55">
        <v>1167.72</v>
      </c>
      <c r="AB55">
        <v>0</v>
      </c>
      <c r="AC55">
        <v>0</v>
      </c>
      <c r="AD55">
        <v>0</v>
      </c>
      <c r="AE55">
        <v>1167.72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0</v>
      </c>
      <c r="AO55">
        <v>0</v>
      </c>
      <c r="AP55">
        <v>1</v>
      </c>
      <c r="AQ55">
        <v>0</v>
      </c>
      <c r="AR55">
        <v>0</v>
      </c>
      <c r="AS55" t="s">
        <v>3</v>
      </c>
      <c r="AT55">
        <v>41.617122000000002</v>
      </c>
      <c r="AU55" t="s">
        <v>24</v>
      </c>
      <c r="AV55">
        <v>0</v>
      </c>
      <c r="AW55">
        <v>1</v>
      </c>
      <c r="AX55">
        <v>-1</v>
      </c>
      <c r="AY55">
        <v>0</v>
      </c>
      <c r="AZ55">
        <v>0</v>
      </c>
      <c r="BA55" t="s">
        <v>3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ROUND(Y55*Source!I81,9)</f>
        <v>6.9999999199999996</v>
      </c>
      <c r="CY55">
        <f>AA55</f>
        <v>1167.72</v>
      </c>
      <c r="CZ55">
        <f>AE55</f>
        <v>1167.72</v>
      </c>
      <c r="DA55">
        <f>AI55</f>
        <v>1</v>
      </c>
      <c r="DB55">
        <f>ROUND((ROUND(AT55*CZ55,2)*1),6)</f>
        <v>48597.15</v>
      </c>
      <c r="DC55">
        <f>ROUND((ROUND(AT55*AG55,2)*1),6)</f>
        <v>0</v>
      </c>
      <c r="DD55" t="s">
        <v>3</v>
      </c>
      <c r="DE55" t="s">
        <v>3</v>
      </c>
      <c r="DF55">
        <f>ROUND(ROUND(AE55,2)*CX55,2)</f>
        <v>8174.04</v>
      </c>
      <c r="DG55">
        <f>ROUND(ROUND(AF55,2)*CX55,2)</f>
        <v>0</v>
      </c>
      <c r="DH55">
        <f>ROUND(ROUND(AG55,2)*CX55,2)</f>
        <v>0</v>
      </c>
      <c r="DI55">
        <f t="shared" si="24"/>
        <v>0</v>
      </c>
      <c r="DJ55">
        <f>DF55</f>
        <v>8174.04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ROW(Source!A84)</f>
        <v>84</v>
      </c>
      <c r="B56">
        <v>56793366</v>
      </c>
      <c r="C56">
        <v>56794129</v>
      </c>
      <c r="D56">
        <v>55926487</v>
      </c>
      <c r="E56">
        <v>1081</v>
      </c>
      <c r="F56">
        <v>1</v>
      </c>
      <c r="G56">
        <v>1081</v>
      </c>
      <c r="H56">
        <v>1</v>
      </c>
      <c r="I56" t="s">
        <v>354</v>
      </c>
      <c r="J56" t="s">
        <v>3</v>
      </c>
      <c r="K56" t="s">
        <v>355</v>
      </c>
      <c r="L56">
        <v>1191</v>
      </c>
      <c r="N56">
        <v>1013</v>
      </c>
      <c r="O56" t="s">
        <v>356</v>
      </c>
      <c r="P56" t="s">
        <v>356</v>
      </c>
      <c r="Q56">
        <v>1</v>
      </c>
      <c r="W56">
        <v>0</v>
      </c>
      <c r="X56">
        <v>476480486</v>
      </c>
      <c r="Y56">
        <f>(AT56*6*1.15)</f>
        <v>23.735999999999997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3.44</v>
      </c>
      <c r="AU56" t="s">
        <v>167</v>
      </c>
      <c r="AV56">
        <v>1</v>
      </c>
      <c r="AW56">
        <v>2</v>
      </c>
      <c r="AX56">
        <v>56794135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U56">
        <f>ROUND(AT56*Source!I84*AH56*AL56,2)</f>
        <v>0</v>
      </c>
      <c r="CV56">
        <f>ROUND(Y56*Source!I84,9)</f>
        <v>3.9923951999999998</v>
      </c>
      <c r="CW56">
        <v>0</v>
      </c>
      <c r="CX56">
        <f>ROUND(Y56*Source!I84,9)</f>
        <v>3.9923951999999998</v>
      </c>
      <c r="CY56">
        <f>AD56</f>
        <v>0</v>
      </c>
      <c r="CZ56">
        <f>AH56</f>
        <v>0</v>
      </c>
      <c r="DA56">
        <f>AL56</f>
        <v>1</v>
      </c>
      <c r="DB56">
        <f>ROUND((ROUND(AT56*CZ56,2)*6*1.15),6)</f>
        <v>0</v>
      </c>
      <c r="DC56">
        <f>ROUND((ROUND(AT56*AG56,2)*6*1.15),6)</f>
        <v>0</v>
      </c>
      <c r="DD56" t="s">
        <v>3</v>
      </c>
      <c r="DE56" t="s">
        <v>3</v>
      </c>
      <c r="DF56">
        <f>ROUND(ROUND(AE56,2)*CX56,2)</f>
        <v>0</v>
      </c>
      <c r="DG56">
        <f>ROUND(ROUND(AF56,2)*CX56,2)</f>
        <v>0</v>
      </c>
      <c r="DH56">
        <f>ROUND(ROUND(AG56,2)*CX56,2)</f>
        <v>0</v>
      </c>
      <c r="DI56">
        <f t="shared" si="24"/>
        <v>0</v>
      </c>
      <c r="DJ56">
        <f>DI56</f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ROW(Source!A84)</f>
        <v>84</v>
      </c>
      <c r="B57">
        <v>56793366</v>
      </c>
      <c r="C57">
        <v>56794129</v>
      </c>
      <c r="D57">
        <v>55992399</v>
      </c>
      <c r="E57">
        <v>1</v>
      </c>
      <c r="F57">
        <v>1</v>
      </c>
      <c r="G57">
        <v>1081</v>
      </c>
      <c r="H57">
        <v>2</v>
      </c>
      <c r="I57" t="s">
        <v>374</v>
      </c>
      <c r="J57" t="s">
        <v>375</v>
      </c>
      <c r="K57" t="s">
        <v>376</v>
      </c>
      <c r="L57">
        <v>1368</v>
      </c>
      <c r="N57">
        <v>1011</v>
      </c>
      <c r="O57" t="s">
        <v>377</v>
      </c>
      <c r="P57" t="s">
        <v>377</v>
      </c>
      <c r="Q57">
        <v>1</v>
      </c>
      <c r="W57">
        <v>0</v>
      </c>
      <c r="X57">
        <v>874612079</v>
      </c>
      <c r="Y57">
        <f>(AT57*6*1.15)</f>
        <v>0.69000000000000006</v>
      </c>
      <c r="AA57">
        <v>0</v>
      </c>
      <c r="AB57">
        <v>1518.25</v>
      </c>
      <c r="AC57">
        <v>753.81</v>
      </c>
      <c r="AD57">
        <v>0</v>
      </c>
      <c r="AE57">
        <v>0</v>
      </c>
      <c r="AF57">
        <v>83.1</v>
      </c>
      <c r="AG57">
        <v>12.62</v>
      </c>
      <c r="AH57">
        <v>0</v>
      </c>
      <c r="AI57">
        <v>1</v>
      </c>
      <c r="AJ57">
        <v>17.45</v>
      </c>
      <c r="AK57">
        <v>57.05</v>
      </c>
      <c r="AL57">
        <v>1</v>
      </c>
      <c r="AM57">
        <v>2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0.1</v>
      </c>
      <c r="AU57" t="s">
        <v>167</v>
      </c>
      <c r="AV57">
        <v>0</v>
      </c>
      <c r="AW57">
        <v>2</v>
      </c>
      <c r="AX57">
        <v>56794136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f>ROUND(Y57*Source!I84*DO57,9)</f>
        <v>1.4646519600000001</v>
      </c>
      <c r="CX57">
        <f>ROUND(Y57*Source!I84,9)</f>
        <v>0.11605799999999999</v>
      </c>
      <c r="CY57">
        <f>AB57</f>
        <v>1518.25</v>
      </c>
      <c r="CZ57">
        <f>AF57</f>
        <v>83.1</v>
      </c>
      <c r="DA57">
        <f>AJ57</f>
        <v>17.45</v>
      </c>
      <c r="DB57">
        <f>ROUND((ROUND(AT57*CZ57,2)*6*1.15),6)</f>
        <v>57.338999999999999</v>
      </c>
      <c r="DC57">
        <f>ROUND((ROUND(AT57*AG57,2)*6*1.15),6)</f>
        <v>8.6940000000000008</v>
      </c>
      <c r="DD57" t="s">
        <v>3</v>
      </c>
      <c r="DE57" t="s">
        <v>3</v>
      </c>
      <c r="DF57">
        <f>ROUND(ROUND(AE57,2)*CX57,2)</f>
        <v>0</v>
      </c>
      <c r="DG57">
        <f>ROUND(ROUND(AF57*AJ57,2)*CX57,2)</f>
        <v>168.3</v>
      </c>
      <c r="DH57">
        <f>ROUND(ROUND(AG57*AK57,2)*CX57,2)</f>
        <v>83.56</v>
      </c>
      <c r="DI57">
        <f t="shared" si="24"/>
        <v>0</v>
      </c>
      <c r="DJ57">
        <f>DG57</f>
        <v>168.3</v>
      </c>
      <c r="DK57">
        <v>0</v>
      </c>
      <c r="DL57" t="s">
        <v>378</v>
      </c>
      <c r="DM57">
        <v>0</v>
      </c>
      <c r="DN57" t="s">
        <v>356</v>
      </c>
      <c r="DO57">
        <v>12.62</v>
      </c>
    </row>
    <row r="58" spans="1:119" x14ac:dyDescent="0.2">
      <c r="A58">
        <f>ROW(Source!A84)</f>
        <v>84</v>
      </c>
      <c r="B58">
        <v>56793366</v>
      </c>
      <c r="C58">
        <v>56794129</v>
      </c>
      <c r="D58">
        <v>55992521</v>
      </c>
      <c r="E58">
        <v>1</v>
      </c>
      <c r="F58">
        <v>1</v>
      </c>
      <c r="G58">
        <v>1081</v>
      </c>
      <c r="H58">
        <v>2</v>
      </c>
      <c r="I58" t="s">
        <v>421</v>
      </c>
      <c r="J58" t="s">
        <v>422</v>
      </c>
      <c r="K58" t="s">
        <v>423</v>
      </c>
      <c r="L58">
        <v>1368</v>
      </c>
      <c r="N58">
        <v>1011</v>
      </c>
      <c r="O58" t="s">
        <v>377</v>
      </c>
      <c r="P58" t="s">
        <v>377</v>
      </c>
      <c r="Q58">
        <v>1</v>
      </c>
      <c r="W58">
        <v>0</v>
      </c>
      <c r="X58">
        <v>1043446422</v>
      </c>
      <c r="Y58">
        <f>(AT58*6*1.15)</f>
        <v>4.1399999999999997</v>
      </c>
      <c r="AA58">
        <v>0</v>
      </c>
      <c r="AB58">
        <v>12.48</v>
      </c>
      <c r="AC58">
        <v>0</v>
      </c>
      <c r="AD58">
        <v>0</v>
      </c>
      <c r="AE58">
        <v>0</v>
      </c>
      <c r="AF58">
        <v>1.1100000000000001</v>
      </c>
      <c r="AG58">
        <v>0</v>
      </c>
      <c r="AH58">
        <v>0</v>
      </c>
      <c r="AI58">
        <v>1</v>
      </c>
      <c r="AJ58">
        <v>10.74</v>
      </c>
      <c r="AK58">
        <v>1</v>
      </c>
      <c r="AL58">
        <v>1</v>
      </c>
      <c r="AM58">
        <v>2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0.6</v>
      </c>
      <c r="AU58" t="s">
        <v>167</v>
      </c>
      <c r="AV58">
        <v>0</v>
      </c>
      <c r="AW58">
        <v>2</v>
      </c>
      <c r="AX58">
        <v>56794137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f>ROUND(Y58*Source!I84*DO58,9)</f>
        <v>0</v>
      </c>
      <c r="CX58">
        <f>ROUND(Y58*Source!I84,9)</f>
        <v>0.69634799999999997</v>
      </c>
      <c r="CY58">
        <f>AB58</f>
        <v>12.48</v>
      </c>
      <c r="CZ58">
        <f>AF58</f>
        <v>1.1100000000000001</v>
      </c>
      <c r="DA58">
        <f>AJ58</f>
        <v>10.74</v>
      </c>
      <c r="DB58">
        <f>ROUND((ROUND(AT58*CZ58,2)*6*1.15),6)</f>
        <v>4.6230000000000002</v>
      </c>
      <c r="DC58">
        <f>ROUND((ROUND(AT58*AG58,2)*6*1.15),6)</f>
        <v>0</v>
      </c>
      <c r="DD58" t="s">
        <v>3</v>
      </c>
      <c r="DE58" t="s">
        <v>3</v>
      </c>
      <c r="DF58">
        <f>ROUND(ROUND(AE58,2)*CX58,2)</f>
        <v>0</v>
      </c>
      <c r="DG58">
        <f>ROUND(ROUND(AF58*AJ58,2)*CX58,2)</f>
        <v>8.3000000000000007</v>
      </c>
      <c r="DH58">
        <f>ROUND(ROUND(AG58,2)*CX58,2)</f>
        <v>0</v>
      </c>
      <c r="DI58">
        <f t="shared" si="24"/>
        <v>0</v>
      </c>
      <c r="DJ58">
        <f>DG58</f>
        <v>8.3000000000000007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ROW(Source!A84)</f>
        <v>84</v>
      </c>
      <c r="B59">
        <v>56793366</v>
      </c>
      <c r="C59">
        <v>56794129</v>
      </c>
      <c r="D59">
        <v>55961427</v>
      </c>
      <c r="E59">
        <v>1</v>
      </c>
      <c r="F59">
        <v>1</v>
      </c>
      <c r="G59">
        <v>1081</v>
      </c>
      <c r="H59">
        <v>3</v>
      </c>
      <c r="I59" t="s">
        <v>424</v>
      </c>
      <c r="J59" t="s">
        <v>425</v>
      </c>
      <c r="K59" t="s">
        <v>426</v>
      </c>
      <c r="L59">
        <v>1339</v>
      </c>
      <c r="N59">
        <v>1007</v>
      </c>
      <c r="O59" t="s">
        <v>151</v>
      </c>
      <c r="P59" t="s">
        <v>151</v>
      </c>
      <c r="Q59">
        <v>1</v>
      </c>
      <c r="W59">
        <v>0</v>
      </c>
      <c r="X59">
        <v>-1622585150</v>
      </c>
      <c r="Y59">
        <f>AT59</f>
        <v>4.0399999999999998E-2</v>
      </c>
      <c r="AA59">
        <v>54.79</v>
      </c>
      <c r="AB59">
        <v>0</v>
      </c>
      <c r="AC59">
        <v>0</v>
      </c>
      <c r="AD59">
        <v>0</v>
      </c>
      <c r="AE59">
        <v>7.07</v>
      </c>
      <c r="AF59">
        <v>0</v>
      </c>
      <c r="AG59">
        <v>0</v>
      </c>
      <c r="AH59">
        <v>0</v>
      </c>
      <c r="AI59">
        <v>7.75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4.0399999999999998E-2</v>
      </c>
      <c r="AU59" t="s">
        <v>3</v>
      </c>
      <c r="AV59">
        <v>0</v>
      </c>
      <c r="AW59">
        <v>2</v>
      </c>
      <c r="AX59">
        <v>56794138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ROUND(Y59*Source!I84,9)</f>
        <v>6.7952799999999999E-3</v>
      </c>
      <c r="CY59">
        <f>AA59</f>
        <v>54.79</v>
      </c>
      <c r="CZ59">
        <f>AE59</f>
        <v>7.07</v>
      </c>
      <c r="DA59">
        <f>AI59</f>
        <v>7.75</v>
      </c>
      <c r="DB59">
        <f>ROUND(ROUND(AT59*CZ59,2),6)</f>
        <v>0.28999999999999998</v>
      </c>
      <c r="DC59">
        <f>ROUND(ROUND(AT59*AG59,2),6)</f>
        <v>0</v>
      </c>
      <c r="DD59" t="s">
        <v>3</v>
      </c>
      <c r="DE59" t="s">
        <v>3</v>
      </c>
      <c r="DF59">
        <f>ROUND(ROUND(AE59*AI59,2)*CX59,2)</f>
        <v>0.37</v>
      </c>
      <c r="DG59">
        <f>ROUND(ROUND(AF59,2)*CX59,2)</f>
        <v>0</v>
      </c>
      <c r="DH59">
        <f>ROUND(ROUND(AG59,2)*CX59,2)</f>
        <v>0</v>
      </c>
      <c r="DI59">
        <f t="shared" si="24"/>
        <v>0</v>
      </c>
      <c r="DJ59">
        <f>DF59</f>
        <v>0.37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ROW(Source!A84)</f>
        <v>84</v>
      </c>
      <c r="B60">
        <v>56793366</v>
      </c>
      <c r="C60">
        <v>56794129</v>
      </c>
      <c r="D60">
        <v>0</v>
      </c>
      <c r="E60">
        <v>1081</v>
      </c>
      <c r="F60">
        <v>1</v>
      </c>
      <c r="G60">
        <v>1081</v>
      </c>
      <c r="H60">
        <v>3</v>
      </c>
      <c r="I60" t="s">
        <v>39</v>
      </c>
      <c r="J60" t="s">
        <v>3</v>
      </c>
      <c r="K60" t="s">
        <v>157</v>
      </c>
      <c r="L60">
        <v>1371</v>
      </c>
      <c r="N60">
        <v>1013</v>
      </c>
      <c r="O60" t="s">
        <v>158</v>
      </c>
      <c r="P60" t="s">
        <v>158</v>
      </c>
      <c r="Q60">
        <v>1</v>
      </c>
      <c r="W60">
        <v>0</v>
      </c>
      <c r="X60">
        <v>-1993809694</v>
      </c>
      <c r="Y60">
        <f>AT60</f>
        <v>41.617122000000002</v>
      </c>
      <c r="AA60">
        <v>1167.72</v>
      </c>
      <c r="AB60">
        <v>0</v>
      </c>
      <c r="AC60">
        <v>0</v>
      </c>
      <c r="AD60">
        <v>0</v>
      </c>
      <c r="AE60">
        <v>1167.72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0</v>
      </c>
      <c r="AN60">
        <v>0</v>
      </c>
      <c r="AO60">
        <v>0</v>
      </c>
      <c r="AP60">
        <v>1</v>
      </c>
      <c r="AQ60">
        <v>0</v>
      </c>
      <c r="AR60">
        <v>0</v>
      </c>
      <c r="AS60" t="s">
        <v>3</v>
      </c>
      <c r="AT60">
        <v>41.617122000000002</v>
      </c>
      <c r="AU60" t="s">
        <v>3</v>
      </c>
      <c r="AV60">
        <v>0</v>
      </c>
      <c r="AW60">
        <v>1</v>
      </c>
      <c r="AX60">
        <v>-1</v>
      </c>
      <c r="AY60">
        <v>0</v>
      </c>
      <c r="AZ60">
        <v>0</v>
      </c>
      <c r="BA60" t="s">
        <v>3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ROUND(Y60*Source!I84,9)</f>
        <v>6.9999999199999996</v>
      </c>
      <c r="CY60">
        <f>AA60</f>
        <v>1167.72</v>
      </c>
      <c r="CZ60">
        <f>AE60</f>
        <v>1167.72</v>
      </c>
      <c r="DA60">
        <f>AI60</f>
        <v>1</v>
      </c>
      <c r="DB60">
        <f>ROUND(ROUND(AT60*CZ60,2),6)</f>
        <v>48597.15</v>
      </c>
      <c r="DC60">
        <f>ROUND(ROUND(AT60*AG60,2),6)</f>
        <v>0</v>
      </c>
      <c r="DD60" t="s">
        <v>3</v>
      </c>
      <c r="DE60" t="s">
        <v>3</v>
      </c>
      <c r="DF60">
        <f>ROUND(ROUND(AE60,2)*CX60,2)</f>
        <v>8174.04</v>
      </c>
      <c r="DG60">
        <f>ROUND(ROUND(AF60,2)*CX60,2)</f>
        <v>0</v>
      </c>
      <c r="DH60">
        <f>ROUND(ROUND(AG60,2)*CX60,2)</f>
        <v>0</v>
      </c>
      <c r="DI60">
        <f t="shared" si="24"/>
        <v>0</v>
      </c>
      <c r="DJ60">
        <f>DF60</f>
        <v>8174.04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ROW(Source!A86)</f>
        <v>86</v>
      </c>
      <c r="B61">
        <v>56793366</v>
      </c>
      <c r="C61">
        <v>56794141</v>
      </c>
      <c r="D61">
        <v>55926487</v>
      </c>
      <c r="E61">
        <v>1081</v>
      </c>
      <c r="F61">
        <v>1</v>
      </c>
      <c r="G61">
        <v>1081</v>
      </c>
      <c r="H61">
        <v>1</v>
      </c>
      <c r="I61" t="s">
        <v>354</v>
      </c>
      <c r="J61" t="s">
        <v>3</v>
      </c>
      <c r="K61" t="s">
        <v>355</v>
      </c>
      <c r="L61">
        <v>1191</v>
      </c>
      <c r="N61">
        <v>1013</v>
      </c>
      <c r="O61" t="s">
        <v>356</v>
      </c>
      <c r="P61" t="s">
        <v>356</v>
      </c>
      <c r="Q61">
        <v>1</v>
      </c>
      <c r="W61">
        <v>0</v>
      </c>
      <c r="X61">
        <v>476480486</v>
      </c>
      <c r="Y61">
        <f>(AT61*1.15)</f>
        <v>0.45999999999999996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0.4</v>
      </c>
      <c r="AU61" t="s">
        <v>48</v>
      </c>
      <c r="AV61">
        <v>1</v>
      </c>
      <c r="AW61">
        <v>2</v>
      </c>
      <c r="AX61">
        <v>56794148</v>
      </c>
      <c r="AY61">
        <v>1</v>
      </c>
      <c r="AZ61">
        <v>2048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U61">
        <f>ROUND(AT61*Source!I86*AH61*AL61,2)</f>
        <v>0</v>
      </c>
      <c r="CV61">
        <f>ROUND(Y61*Source!I86,9)</f>
        <v>0.85560000000000003</v>
      </c>
      <c r="CW61">
        <v>0</v>
      </c>
      <c r="CX61">
        <f>ROUND(Y61*Source!I86,9)</f>
        <v>0.85560000000000003</v>
      </c>
      <c r="CY61">
        <f>AD61</f>
        <v>0</v>
      </c>
      <c r="CZ61">
        <f>AH61</f>
        <v>0</v>
      </c>
      <c r="DA61">
        <f>AL61</f>
        <v>1</v>
      </c>
      <c r="DB61">
        <f>ROUND((ROUND(AT61*CZ61,2)*1.15),6)</f>
        <v>0</v>
      </c>
      <c r="DC61">
        <f>ROUND((ROUND(AT61*AG61,2)*1.15),6)</f>
        <v>0</v>
      </c>
      <c r="DD61" t="s">
        <v>3</v>
      </c>
      <c r="DE61" t="s">
        <v>3</v>
      </c>
      <c r="DF61">
        <f>ROUND(ROUND(AE61,2)*CX61,2)</f>
        <v>0</v>
      </c>
      <c r="DG61">
        <f>ROUND(ROUND(AF61,2)*CX61,2)</f>
        <v>0</v>
      </c>
      <c r="DH61">
        <f>ROUND(ROUND(AG61,2)*CX61,2)</f>
        <v>0</v>
      </c>
      <c r="DI61">
        <f t="shared" si="24"/>
        <v>0</v>
      </c>
      <c r="DJ61">
        <f>DI61</f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ROW(Source!A86)</f>
        <v>86</v>
      </c>
      <c r="B62">
        <v>56793366</v>
      </c>
      <c r="C62">
        <v>56794141</v>
      </c>
      <c r="D62">
        <v>55992133</v>
      </c>
      <c r="E62">
        <v>1</v>
      </c>
      <c r="F62">
        <v>1</v>
      </c>
      <c r="G62">
        <v>1081</v>
      </c>
      <c r="H62">
        <v>2</v>
      </c>
      <c r="I62" t="s">
        <v>397</v>
      </c>
      <c r="J62" t="s">
        <v>398</v>
      </c>
      <c r="K62" t="s">
        <v>399</v>
      </c>
      <c r="L62">
        <v>1368</v>
      </c>
      <c r="N62">
        <v>1011</v>
      </c>
      <c r="O62" t="s">
        <v>377</v>
      </c>
      <c r="P62" t="s">
        <v>377</v>
      </c>
      <c r="Q62">
        <v>1</v>
      </c>
      <c r="W62">
        <v>0</v>
      </c>
      <c r="X62">
        <v>-259890331</v>
      </c>
      <c r="Y62">
        <f>(AT62*1.15)</f>
        <v>5.7499999999999996E-2</v>
      </c>
      <c r="AA62">
        <v>0</v>
      </c>
      <c r="AB62">
        <v>44.19</v>
      </c>
      <c r="AC62">
        <v>0</v>
      </c>
      <c r="AD62">
        <v>0</v>
      </c>
      <c r="AE62">
        <v>0</v>
      </c>
      <c r="AF62">
        <v>4.6900000000000004</v>
      </c>
      <c r="AG62">
        <v>0</v>
      </c>
      <c r="AH62">
        <v>0</v>
      </c>
      <c r="AI62">
        <v>1</v>
      </c>
      <c r="AJ62">
        <v>9</v>
      </c>
      <c r="AK62">
        <v>1</v>
      </c>
      <c r="AL62">
        <v>1</v>
      </c>
      <c r="AM62">
        <v>2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0.05</v>
      </c>
      <c r="AU62" t="s">
        <v>48</v>
      </c>
      <c r="AV62">
        <v>0</v>
      </c>
      <c r="AW62">
        <v>2</v>
      </c>
      <c r="AX62">
        <v>56794149</v>
      </c>
      <c r="AY62">
        <v>1</v>
      </c>
      <c r="AZ62">
        <v>2048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f>ROUND(Y62*Source!I86*DO62,9)</f>
        <v>0</v>
      </c>
      <c r="CX62">
        <f>ROUND(Y62*Source!I86,9)</f>
        <v>0.10695</v>
      </c>
      <c r="CY62">
        <f>AB62</f>
        <v>44.19</v>
      </c>
      <c r="CZ62">
        <f>AF62</f>
        <v>4.6900000000000004</v>
      </c>
      <c r="DA62">
        <f>AJ62</f>
        <v>9</v>
      </c>
      <c r="DB62">
        <f>ROUND((ROUND(AT62*CZ62,2)*1.15),6)</f>
        <v>0.26450000000000001</v>
      </c>
      <c r="DC62">
        <f>ROUND((ROUND(AT62*AG62,2)*1.15),6)</f>
        <v>0</v>
      </c>
      <c r="DD62" t="s">
        <v>3</v>
      </c>
      <c r="DE62" t="s">
        <v>3</v>
      </c>
      <c r="DF62">
        <f>ROUND(ROUND(AE62,2)*CX62,2)</f>
        <v>0</v>
      </c>
      <c r="DG62">
        <f>ROUND(ROUND(AF62*AJ62,2)*CX62,2)</f>
        <v>4.51</v>
      </c>
      <c r="DH62">
        <f>ROUND(ROUND(AG62,2)*CX62,2)</f>
        <v>0</v>
      </c>
      <c r="DI62">
        <f t="shared" si="24"/>
        <v>0</v>
      </c>
      <c r="DJ62">
        <f>DG62</f>
        <v>4.51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ROW(Source!A86)</f>
        <v>86</v>
      </c>
      <c r="B63">
        <v>56793366</v>
      </c>
      <c r="C63">
        <v>56794141</v>
      </c>
      <c r="D63">
        <v>55992399</v>
      </c>
      <c r="E63">
        <v>1</v>
      </c>
      <c r="F63">
        <v>1</v>
      </c>
      <c r="G63">
        <v>1081</v>
      </c>
      <c r="H63">
        <v>2</v>
      </c>
      <c r="I63" t="s">
        <v>374</v>
      </c>
      <c r="J63" t="s">
        <v>375</v>
      </c>
      <c r="K63" t="s">
        <v>376</v>
      </c>
      <c r="L63">
        <v>1368</v>
      </c>
      <c r="N63">
        <v>1011</v>
      </c>
      <c r="O63" t="s">
        <v>377</v>
      </c>
      <c r="P63" t="s">
        <v>377</v>
      </c>
      <c r="Q63">
        <v>1</v>
      </c>
      <c r="W63">
        <v>0</v>
      </c>
      <c r="X63">
        <v>874612079</v>
      </c>
      <c r="Y63">
        <f>(AT63*1.15)</f>
        <v>4.5999999999999999E-3</v>
      </c>
      <c r="AA63">
        <v>0</v>
      </c>
      <c r="AB63">
        <v>1518.25</v>
      </c>
      <c r="AC63">
        <v>753.81</v>
      </c>
      <c r="AD63">
        <v>0</v>
      </c>
      <c r="AE63">
        <v>0</v>
      </c>
      <c r="AF63">
        <v>83.1</v>
      </c>
      <c r="AG63">
        <v>12.62</v>
      </c>
      <c r="AH63">
        <v>0</v>
      </c>
      <c r="AI63">
        <v>1</v>
      </c>
      <c r="AJ63">
        <v>17.45</v>
      </c>
      <c r="AK63">
        <v>57.05</v>
      </c>
      <c r="AL63">
        <v>1</v>
      </c>
      <c r="AM63">
        <v>2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4.0000000000000001E-3</v>
      </c>
      <c r="AU63" t="s">
        <v>48</v>
      </c>
      <c r="AV63">
        <v>0</v>
      </c>
      <c r="AW63">
        <v>2</v>
      </c>
      <c r="AX63">
        <v>56794150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f>ROUND(Y63*Source!I86*DO63,9)</f>
        <v>0.10797672</v>
      </c>
      <c r="CX63">
        <f>ROUND(Y63*Source!I86,9)</f>
        <v>8.5559999999999994E-3</v>
      </c>
      <c r="CY63">
        <f>AB63</f>
        <v>1518.25</v>
      </c>
      <c r="CZ63">
        <f>AF63</f>
        <v>83.1</v>
      </c>
      <c r="DA63">
        <f>AJ63</f>
        <v>17.45</v>
      </c>
      <c r="DB63">
        <f>ROUND((ROUND(AT63*CZ63,2)*1.15),6)</f>
        <v>0.3795</v>
      </c>
      <c r="DC63">
        <f>ROUND((ROUND(AT63*AG63,2)*1.15),6)</f>
        <v>5.7500000000000002E-2</v>
      </c>
      <c r="DD63" t="s">
        <v>3</v>
      </c>
      <c r="DE63" t="s">
        <v>3</v>
      </c>
      <c r="DF63">
        <f>ROUND(ROUND(AE63,2)*CX63,2)</f>
        <v>0</v>
      </c>
      <c r="DG63">
        <f>ROUND(ROUND(AF63*AJ63,2)*CX63,2)</f>
        <v>12.41</v>
      </c>
      <c r="DH63">
        <f>ROUND(ROUND(AG63*AK63,2)*CX63,2)</f>
        <v>6.16</v>
      </c>
      <c r="DI63">
        <f t="shared" si="24"/>
        <v>0</v>
      </c>
      <c r="DJ63">
        <f>DG63</f>
        <v>12.41</v>
      </c>
      <c r="DK63">
        <v>0</v>
      </c>
      <c r="DL63" t="s">
        <v>378</v>
      </c>
      <c r="DM63">
        <v>0</v>
      </c>
      <c r="DN63" t="s">
        <v>356</v>
      </c>
      <c r="DO63">
        <v>12.62</v>
      </c>
    </row>
    <row r="64" spans="1:119" x14ac:dyDescent="0.2">
      <c r="A64">
        <f>ROW(Source!A86)</f>
        <v>86</v>
      </c>
      <c r="B64">
        <v>56793366</v>
      </c>
      <c r="C64">
        <v>56794141</v>
      </c>
      <c r="D64">
        <v>55963752</v>
      </c>
      <c r="E64">
        <v>1</v>
      </c>
      <c r="F64">
        <v>1</v>
      </c>
      <c r="G64">
        <v>1081</v>
      </c>
      <c r="H64">
        <v>3</v>
      </c>
      <c r="I64" t="s">
        <v>430</v>
      </c>
      <c r="J64" t="s">
        <v>431</v>
      </c>
      <c r="K64" t="s">
        <v>432</v>
      </c>
      <c r="L64">
        <v>1346</v>
      </c>
      <c r="N64">
        <v>1009</v>
      </c>
      <c r="O64" t="s">
        <v>146</v>
      </c>
      <c r="P64" t="s">
        <v>146</v>
      </c>
      <c r="Q64">
        <v>1</v>
      </c>
      <c r="W64">
        <v>0</v>
      </c>
      <c r="X64">
        <v>-1976209697</v>
      </c>
      <c r="Y64">
        <f>(AT64*1)</f>
        <v>0.32</v>
      </c>
      <c r="AA64">
        <v>110.07</v>
      </c>
      <c r="AB64">
        <v>0</v>
      </c>
      <c r="AC64">
        <v>0</v>
      </c>
      <c r="AD64">
        <v>0</v>
      </c>
      <c r="AE64">
        <v>25.42</v>
      </c>
      <c r="AF64">
        <v>0</v>
      </c>
      <c r="AG64">
        <v>0</v>
      </c>
      <c r="AH64">
        <v>0</v>
      </c>
      <c r="AI64">
        <v>4.33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0.32</v>
      </c>
      <c r="AU64" t="s">
        <v>24</v>
      </c>
      <c r="AV64">
        <v>0</v>
      </c>
      <c r="AW64">
        <v>2</v>
      </c>
      <c r="AX64">
        <v>56794151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ROUND(Y64*Source!I86,9)</f>
        <v>0.59519999999999995</v>
      </c>
      <c r="CY64">
        <f>AA64</f>
        <v>110.07</v>
      </c>
      <c r="CZ64">
        <f>AE64</f>
        <v>25.42</v>
      </c>
      <c r="DA64">
        <f>AI64</f>
        <v>4.33</v>
      </c>
      <c r="DB64">
        <f>ROUND((ROUND(AT64*CZ64,2)*1),6)</f>
        <v>8.1300000000000008</v>
      </c>
      <c r="DC64">
        <f>ROUND((ROUND(AT64*AG64,2)*1),6)</f>
        <v>0</v>
      </c>
      <c r="DD64" t="s">
        <v>3</v>
      </c>
      <c r="DE64" t="s">
        <v>3</v>
      </c>
      <c r="DF64">
        <f>ROUND(ROUND(AE64*AI64,2)*CX64,2)</f>
        <v>65.510000000000005</v>
      </c>
      <c r="DG64">
        <f>ROUND(ROUND(AF64,2)*CX64,2)</f>
        <v>0</v>
      </c>
      <c r="DH64">
        <f>ROUND(ROUND(AG64,2)*CX64,2)</f>
        <v>0</v>
      </c>
      <c r="DI64">
        <f t="shared" si="24"/>
        <v>0</v>
      </c>
      <c r="DJ64">
        <f>DF64</f>
        <v>65.510000000000005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ROW(Source!A86)</f>
        <v>86</v>
      </c>
      <c r="B65">
        <v>56793366</v>
      </c>
      <c r="C65">
        <v>56794141</v>
      </c>
      <c r="D65">
        <v>55963868</v>
      </c>
      <c r="E65">
        <v>1</v>
      </c>
      <c r="F65">
        <v>1</v>
      </c>
      <c r="G65">
        <v>1081</v>
      </c>
      <c r="H65">
        <v>3</v>
      </c>
      <c r="I65" t="s">
        <v>433</v>
      </c>
      <c r="J65" t="s">
        <v>434</v>
      </c>
      <c r="K65" t="s">
        <v>435</v>
      </c>
      <c r="L65">
        <v>1296</v>
      </c>
      <c r="N65">
        <v>1002</v>
      </c>
      <c r="O65" t="s">
        <v>436</v>
      </c>
      <c r="P65" t="s">
        <v>436</v>
      </c>
      <c r="Q65">
        <v>1</v>
      </c>
      <c r="W65">
        <v>0</v>
      </c>
      <c r="X65">
        <v>-955252443</v>
      </c>
      <c r="Y65">
        <f>(AT65*1)</f>
        <v>0.09</v>
      </c>
      <c r="AA65">
        <v>104.82</v>
      </c>
      <c r="AB65">
        <v>0</v>
      </c>
      <c r="AC65">
        <v>0</v>
      </c>
      <c r="AD65">
        <v>0</v>
      </c>
      <c r="AE65">
        <v>40.159999999999997</v>
      </c>
      <c r="AF65">
        <v>0</v>
      </c>
      <c r="AG65">
        <v>0</v>
      </c>
      <c r="AH65">
        <v>0</v>
      </c>
      <c r="AI65">
        <v>2.61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0.09</v>
      </c>
      <c r="AU65" t="s">
        <v>24</v>
      </c>
      <c r="AV65">
        <v>0</v>
      </c>
      <c r="AW65">
        <v>2</v>
      </c>
      <c r="AX65">
        <v>56794152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ROUND(Y65*Source!I86,9)</f>
        <v>0.16739999999999999</v>
      </c>
      <c r="CY65">
        <f>AA65</f>
        <v>104.82</v>
      </c>
      <c r="CZ65">
        <f>AE65</f>
        <v>40.159999999999997</v>
      </c>
      <c r="DA65">
        <f>AI65</f>
        <v>2.61</v>
      </c>
      <c r="DB65">
        <f>ROUND((ROUND(AT65*CZ65,2)*1),6)</f>
        <v>3.61</v>
      </c>
      <c r="DC65">
        <f>ROUND((ROUND(AT65*AG65,2)*1),6)</f>
        <v>0</v>
      </c>
      <c r="DD65" t="s">
        <v>3</v>
      </c>
      <c r="DE65" t="s">
        <v>3</v>
      </c>
      <c r="DF65">
        <f>ROUND(ROUND(AE65*AI65,2)*CX65,2)</f>
        <v>17.55</v>
      </c>
      <c r="DG65">
        <f>ROUND(ROUND(AF65,2)*CX65,2)</f>
        <v>0</v>
      </c>
      <c r="DH65">
        <f>ROUND(ROUND(AG65,2)*CX65,2)</f>
        <v>0</v>
      </c>
      <c r="DI65">
        <f t="shared" ref="DI65:DI96" si="40">ROUND(ROUND(AH65,2)*CX65,2)</f>
        <v>0</v>
      </c>
      <c r="DJ65">
        <f>DF65</f>
        <v>17.55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ROW(Source!A86)</f>
        <v>86</v>
      </c>
      <c r="B66">
        <v>56793366</v>
      </c>
      <c r="C66">
        <v>56794141</v>
      </c>
      <c r="D66">
        <v>0</v>
      </c>
      <c r="E66">
        <v>1081</v>
      </c>
      <c r="F66">
        <v>1</v>
      </c>
      <c r="G66">
        <v>1081</v>
      </c>
      <c r="H66">
        <v>3</v>
      </c>
      <c r="I66" t="s">
        <v>39</v>
      </c>
      <c r="J66" t="s">
        <v>3</v>
      </c>
      <c r="K66" t="s">
        <v>173</v>
      </c>
      <c r="L66">
        <v>1327</v>
      </c>
      <c r="N66">
        <v>1005</v>
      </c>
      <c r="O66" t="s">
        <v>174</v>
      </c>
      <c r="P66" t="s">
        <v>174</v>
      </c>
      <c r="Q66">
        <v>1</v>
      </c>
      <c r="W66">
        <v>0</v>
      </c>
      <c r="X66">
        <v>1148462391</v>
      </c>
      <c r="Y66">
        <f>AT66</f>
        <v>0.96774194000000002</v>
      </c>
      <c r="AA66">
        <v>3358.47</v>
      </c>
      <c r="AB66">
        <v>0</v>
      </c>
      <c r="AC66">
        <v>0</v>
      </c>
      <c r="AD66">
        <v>0</v>
      </c>
      <c r="AE66">
        <v>3358.47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1</v>
      </c>
      <c r="AQ66">
        <v>0</v>
      </c>
      <c r="AR66">
        <v>0</v>
      </c>
      <c r="AS66" t="s">
        <v>3</v>
      </c>
      <c r="AT66">
        <v>0.96774194000000002</v>
      </c>
      <c r="AU66" t="s">
        <v>3</v>
      </c>
      <c r="AV66">
        <v>0</v>
      </c>
      <c r="AW66">
        <v>1</v>
      </c>
      <c r="AX66">
        <v>-1</v>
      </c>
      <c r="AY66">
        <v>0</v>
      </c>
      <c r="AZ66">
        <v>0</v>
      </c>
      <c r="BA66" t="s">
        <v>3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ROUND(Y66*Source!I86,9)</f>
        <v>1.800000008</v>
      </c>
      <c r="CY66">
        <f>AA66</f>
        <v>3358.47</v>
      </c>
      <c r="CZ66">
        <f>AE66</f>
        <v>3358.47</v>
      </c>
      <c r="DA66">
        <f>AI66</f>
        <v>1</v>
      </c>
      <c r="DB66">
        <f>ROUND(ROUND(AT66*CZ66,2),6)</f>
        <v>3250.13</v>
      </c>
      <c r="DC66">
        <f>ROUND(ROUND(AT66*AG66,2),6)</f>
        <v>0</v>
      </c>
      <c r="DD66" t="s">
        <v>3</v>
      </c>
      <c r="DE66" t="s">
        <v>3</v>
      </c>
      <c r="DF66">
        <f>ROUND(ROUND(AE66,2)*CX66,2)</f>
        <v>6045.25</v>
      </c>
      <c r="DG66">
        <f>ROUND(ROUND(AF66,2)*CX66,2)</f>
        <v>0</v>
      </c>
      <c r="DH66">
        <f>ROUND(ROUND(AG66,2)*CX66,2)</f>
        <v>0</v>
      </c>
      <c r="DI66">
        <f t="shared" si="40"/>
        <v>0</v>
      </c>
      <c r="DJ66">
        <f>DF66</f>
        <v>6045.25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ROW(Source!A88)</f>
        <v>88</v>
      </c>
      <c r="B67">
        <v>56793366</v>
      </c>
      <c r="C67">
        <v>56794155</v>
      </c>
      <c r="D67">
        <v>55926487</v>
      </c>
      <c r="E67">
        <v>1081</v>
      </c>
      <c r="F67">
        <v>1</v>
      </c>
      <c r="G67">
        <v>1081</v>
      </c>
      <c r="H67">
        <v>1</v>
      </c>
      <c r="I67" t="s">
        <v>354</v>
      </c>
      <c r="J67" t="s">
        <v>3</v>
      </c>
      <c r="K67" t="s">
        <v>355</v>
      </c>
      <c r="L67">
        <v>1191</v>
      </c>
      <c r="N67">
        <v>1013</v>
      </c>
      <c r="O67" t="s">
        <v>356</v>
      </c>
      <c r="P67" t="s">
        <v>356</v>
      </c>
      <c r="Q67">
        <v>1</v>
      </c>
      <c r="W67">
        <v>0</v>
      </c>
      <c r="X67">
        <v>476480486</v>
      </c>
      <c r="Y67">
        <f>(AT67*1.15)</f>
        <v>30.279499999999995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26.33</v>
      </c>
      <c r="AU67" t="s">
        <v>48</v>
      </c>
      <c r="AV67">
        <v>1</v>
      </c>
      <c r="AW67">
        <v>2</v>
      </c>
      <c r="AX67">
        <v>56794163</v>
      </c>
      <c r="AY67">
        <v>1</v>
      </c>
      <c r="AZ67">
        <v>2048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U67">
        <f>ROUND(AT67*Source!I88*AH67*AL67,2)</f>
        <v>0</v>
      </c>
      <c r="CV67">
        <f>ROUND(Y67*Source!I88,9)</f>
        <v>5.0930118999999996</v>
      </c>
      <c r="CW67">
        <v>0</v>
      </c>
      <c r="CX67">
        <f>ROUND(Y67*Source!I88,9)</f>
        <v>5.0930118999999996</v>
      </c>
      <c r="CY67">
        <f>AD67</f>
        <v>0</v>
      </c>
      <c r="CZ67">
        <f>AH67</f>
        <v>0</v>
      </c>
      <c r="DA67">
        <f>AL67</f>
        <v>1</v>
      </c>
      <c r="DB67">
        <f>ROUND((ROUND(AT67*CZ67,2)*1.15),6)</f>
        <v>0</v>
      </c>
      <c r="DC67">
        <f>ROUND((ROUND(AT67*AG67,2)*1.15),6)</f>
        <v>0</v>
      </c>
      <c r="DD67" t="s">
        <v>3</v>
      </c>
      <c r="DE67" t="s">
        <v>3</v>
      </c>
      <c r="DF67">
        <f>ROUND(ROUND(AE67,2)*CX67,2)</f>
        <v>0</v>
      </c>
      <c r="DG67">
        <f>ROUND(ROUND(AF67,2)*CX67,2)</f>
        <v>0</v>
      </c>
      <c r="DH67">
        <f>ROUND(ROUND(AG67,2)*CX67,2)</f>
        <v>0</v>
      </c>
      <c r="DI67">
        <f t="shared" si="40"/>
        <v>0</v>
      </c>
      <c r="DJ67">
        <f>DI67</f>
        <v>0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ROW(Source!A88)</f>
        <v>88</v>
      </c>
      <c r="B68">
        <v>56793366</v>
      </c>
      <c r="C68">
        <v>56794155</v>
      </c>
      <c r="D68">
        <v>55992399</v>
      </c>
      <c r="E68">
        <v>1</v>
      </c>
      <c r="F68">
        <v>1</v>
      </c>
      <c r="G68">
        <v>1081</v>
      </c>
      <c r="H68">
        <v>2</v>
      </c>
      <c r="I68" t="s">
        <v>374</v>
      </c>
      <c r="J68" t="s">
        <v>375</v>
      </c>
      <c r="K68" t="s">
        <v>376</v>
      </c>
      <c r="L68">
        <v>1368</v>
      </c>
      <c r="N68">
        <v>1011</v>
      </c>
      <c r="O68" t="s">
        <v>377</v>
      </c>
      <c r="P68" t="s">
        <v>377</v>
      </c>
      <c r="Q68">
        <v>1</v>
      </c>
      <c r="W68">
        <v>0</v>
      </c>
      <c r="X68">
        <v>874612079</v>
      </c>
      <c r="Y68">
        <f>(AT68*1.15)</f>
        <v>0.13799999999999998</v>
      </c>
      <c r="AA68">
        <v>0</v>
      </c>
      <c r="AB68">
        <v>1518.25</v>
      </c>
      <c r="AC68">
        <v>753.81</v>
      </c>
      <c r="AD68">
        <v>0</v>
      </c>
      <c r="AE68">
        <v>0</v>
      </c>
      <c r="AF68">
        <v>83.1</v>
      </c>
      <c r="AG68">
        <v>12.62</v>
      </c>
      <c r="AH68">
        <v>0</v>
      </c>
      <c r="AI68">
        <v>1</v>
      </c>
      <c r="AJ68">
        <v>17.45</v>
      </c>
      <c r="AK68">
        <v>57.05</v>
      </c>
      <c r="AL68">
        <v>1</v>
      </c>
      <c r="AM68">
        <v>2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0.12</v>
      </c>
      <c r="AU68" t="s">
        <v>48</v>
      </c>
      <c r="AV68">
        <v>0</v>
      </c>
      <c r="AW68">
        <v>2</v>
      </c>
      <c r="AX68">
        <v>56794164</v>
      </c>
      <c r="AY68">
        <v>1</v>
      </c>
      <c r="AZ68">
        <v>2048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f>ROUND(Y68*Source!I88*DO68,9)</f>
        <v>0.29293039199999998</v>
      </c>
      <c r="CX68">
        <f>ROUND(Y68*Source!I88,9)</f>
        <v>2.3211599999999999E-2</v>
      </c>
      <c r="CY68">
        <f>AB68</f>
        <v>1518.25</v>
      </c>
      <c r="CZ68">
        <f>AF68</f>
        <v>83.1</v>
      </c>
      <c r="DA68">
        <f>AJ68</f>
        <v>17.45</v>
      </c>
      <c r="DB68">
        <f>ROUND((ROUND(AT68*CZ68,2)*1.15),6)</f>
        <v>11.4655</v>
      </c>
      <c r="DC68">
        <f>ROUND((ROUND(AT68*AG68,2)*1.15),6)</f>
        <v>1.7364999999999999</v>
      </c>
      <c r="DD68" t="s">
        <v>3</v>
      </c>
      <c r="DE68" t="s">
        <v>3</v>
      </c>
      <c r="DF68">
        <f>ROUND(ROUND(AE68,2)*CX68,2)</f>
        <v>0</v>
      </c>
      <c r="DG68">
        <f>ROUND(ROUND(AF68*AJ68,2)*CX68,2)</f>
        <v>33.659999999999997</v>
      </c>
      <c r="DH68">
        <f>ROUND(ROUND(AG68*AK68,2)*CX68,2)</f>
        <v>16.71</v>
      </c>
      <c r="DI68">
        <f t="shared" si="40"/>
        <v>0</v>
      </c>
      <c r="DJ68">
        <f>DG68</f>
        <v>33.659999999999997</v>
      </c>
      <c r="DK68">
        <v>0</v>
      </c>
      <c r="DL68" t="s">
        <v>378</v>
      </c>
      <c r="DM68">
        <v>0</v>
      </c>
      <c r="DN68" t="s">
        <v>356</v>
      </c>
      <c r="DO68">
        <v>12.62</v>
      </c>
    </row>
    <row r="69" spans="1:119" x14ac:dyDescent="0.2">
      <c r="A69">
        <f>ROW(Source!A88)</f>
        <v>88</v>
      </c>
      <c r="B69">
        <v>56793366</v>
      </c>
      <c r="C69">
        <v>56794155</v>
      </c>
      <c r="D69">
        <v>55992472</v>
      </c>
      <c r="E69">
        <v>1</v>
      </c>
      <c r="F69">
        <v>1</v>
      </c>
      <c r="G69">
        <v>1081</v>
      </c>
      <c r="H69">
        <v>2</v>
      </c>
      <c r="I69" t="s">
        <v>437</v>
      </c>
      <c r="J69" t="s">
        <v>438</v>
      </c>
      <c r="K69" t="s">
        <v>439</v>
      </c>
      <c r="L69">
        <v>1368</v>
      </c>
      <c r="N69">
        <v>1011</v>
      </c>
      <c r="O69" t="s">
        <v>377</v>
      </c>
      <c r="P69" t="s">
        <v>377</v>
      </c>
      <c r="Q69">
        <v>1</v>
      </c>
      <c r="W69">
        <v>0</v>
      </c>
      <c r="X69">
        <v>-652974994</v>
      </c>
      <c r="Y69">
        <f>(AT69*1.15)</f>
        <v>0.253</v>
      </c>
      <c r="AA69">
        <v>0</v>
      </c>
      <c r="AB69">
        <v>9.9</v>
      </c>
      <c r="AC69">
        <v>0</v>
      </c>
      <c r="AD69">
        <v>0</v>
      </c>
      <c r="AE69">
        <v>0</v>
      </c>
      <c r="AF69">
        <v>0.43</v>
      </c>
      <c r="AG69">
        <v>0</v>
      </c>
      <c r="AH69">
        <v>0</v>
      </c>
      <c r="AI69">
        <v>1</v>
      </c>
      <c r="AJ69">
        <v>22</v>
      </c>
      <c r="AK69">
        <v>1</v>
      </c>
      <c r="AL69">
        <v>1</v>
      </c>
      <c r="AM69">
        <v>2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0.22</v>
      </c>
      <c r="AU69" t="s">
        <v>48</v>
      </c>
      <c r="AV69">
        <v>0</v>
      </c>
      <c r="AW69">
        <v>2</v>
      </c>
      <c r="AX69">
        <v>56794165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f>ROUND(Y69*Source!I88*DO69,9)</f>
        <v>0</v>
      </c>
      <c r="CX69">
        <f>ROUND(Y69*Source!I88,9)</f>
        <v>4.2554599999999998E-2</v>
      </c>
      <c r="CY69">
        <f>AB69</f>
        <v>9.9</v>
      </c>
      <c r="CZ69">
        <f>AF69</f>
        <v>0.43</v>
      </c>
      <c r="DA69">
        <f>AJ69</f>
        <v>22</v>
      </c>
      <c r="DB69">
        <f>ROUND((ROUND(AT69*CZ69,2)*1.15),6)</f>
        <v>0.10349999999999999</v>
      </c>
      <c r="DC69">
        <f>ROUND((ROUND(AT69*AG69,2)*1.15),6)</f>
        <v>0</v>
      </c>
      <c r="DD69" t="s">
        <v>3</v>
      </c>
      <c r="DE69" t="s">
        <v>3</v>
      </c>
      <c r="DF69">
        <f>ROUND(ROUND(AE69,2)*CX69,2)</f>
        <v>0</v>
      </c>
      <c r="DG69">
        <f>ROUND(ROUND(AF69*AJ69,2)*CX69,2)</f>
        <v>0.4</v>
      </c>
      <c r="DH69">
        <f>ROUND(ROUND(AG69,2)*CX69,2)</f>
        <v>0</v>
      </c>
      <c r="DI69">
        <f t="shared" si="40"/>
        <v>0</v>
      </c>
      <c r="DJ69">
        <f>DG69</f>
        <v>0.4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ROW(Source!A88)</f>
        <v>88</v>
      </c>
      <c r="B70">
        <v>56793366</v>
      </c>
      <c r="C70">
        <v>56794155</v>
      </c>
      <c r="D70">
        <v>55991701</v>
      </c>
      <c r="E70">
        <v>1</v>
      </c>
      <c r="F70">
        <v>1</v>
      </c>
      <c r="G70">
        <v>1081</v>
      </c>
      <c r="H70">
        <v>2</v>
      </c>
      <c r="I70" t="s">
        <v>440</v>
      </c>
      <c r="J70" t="s">
        <v>441</v>
      </c>
      <c r="K70" t="s">
        <v>442</v>
      </c>
      <c r="L70">
        <v>1368</v>
      </c>
      <c r="N70">
        <v>1011</v>
      </c>
      <c r="O70" t="s">
        <v>377</v>
      </c>
      <c r="P70" t="s">
        <v>377</v>
      </c>
      <c r="Q70">
        <v>1</v>
      </c>
      <c r="W70">
        <v>0</v>
      </c>
      <c r="X70">
        <v>2021085460</v>
      </c>
      <c r="Y70">
        <f>(AT70*1.15)</f>
        <v>0.14949999999999999</v>
      </c>
      <c r="AA70">
        <v>0</v>
      </c>
      <c r="AB70">
        <v>1382.71</v>
      </c>
      <c r="AC70">
        <v>753.81</v>
      </c>
      <c r="AD70">
        <v>0</v>
      </c>
      <c r="AE70">
        <v>0</v>
      </c>
      <c r="AF70">
        <v>61.77</v>
      </c>
      <c r="AG70">
        <v>12.62</v>
      </c>
      <c r="AH70">
        <v>0</v>
      </c>
      <c r="AI70">
        <v>1</v>
      </c>
      <c r="AJ70">
        <v>21.38</v>
      </c>
      <c r="AK70">
        <v>57.05</v>
      </c>
      <c r="AL70">
        <v>1</v>
      </c>
      <c r="AM70">
        <v>2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0.13</v>
      </c>
      <c r="AU70" t="s">
        <v>48</v>
      </c>
      <c r="AV70">
        <v>0</v>
      </c>
      <c r="AW70">
        <v>2</v>
      </c>
      <c r="AX70">
        <v>56794166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V70">
        <v>0</v>
      </c>
      <c r="CW70">
        <f>ROUND(Y70*Source!I88*DO70,9)</f>
        <v>0.31734125800000001</v>
      </c>
      <c r="CX70">
        <f>ROUND(Y70*Source!I88,9)</f>
        <v>2.5145899999999999E-2</v>
      </c>
      <c r="CY70">
        <f>AB70</f>
        <v>1382.71</v>
      </c>
      <c r="CZ70">
        <f>AF70</f>
        <v>61.77</v>
      </c>
      <c r="DA70">
        <f>AJ70</f>
        <v>21.38</v>
      </c>
      <c r="DB70">
        <f>ROUND((ROUND(AT70*CZ70,2)*1.15),6)</f>
        <v>9.2345000000000006</v>
      </c>
      <c r="DC70">
        <f>ROUND((ROUND(AT70*AG70,2)*1.15),6)</f>
        <v>1.8859999999999999</v>
      </c>
      <c r="DD70" t="s">
        <v>3</v>
      </c>
      <c r="DE70" t="s">
        <v>3</v>
      </c>
      <c r="DF70">
        <f>ROUND(ROUND(AE70,2)*CX70,2)</f>
        <v>0</v>
      </c>
      <c r="DG70">
        <f>ROUND(ROUND(AF70*AJ70,2)*CX70,2)</f>
        <v>33.21</v>
      </c>
      <c r="DH70">
        <f>ROUND(ROUND(AG70*AK70,2)*CX70,2)</f>
        <v>18.100000000000001</v>
      </c>
      <c r="DI70">
        <f t="shared" si="40"/>
        <v>0</v>
      </c>
      <c r="DJ70">
        <f>DG70</f>
        <v>33.21</v>
      </c>
      <c r="DK70">
        <v>0</v>
      </c>
      <c r="DL70" t="s">
        <v>378</v>
      </c>
      <c r="DM70">
        <v>0</v>
      </c>
      <c r="DN70" t="s">
        <v>356</v>
      </c>
      <c r="DO70">
        <v>12.62</v>
      </c>
    </row>
    <row r="71" spans="1:119" x14ac:dyDescent="0.2">
      <c r="A71">
        <f>ROW(Source!A88)</f>
        <v>88</v>
      </c>
      <c r="B71">
        <v>56793366</v>
      </c>
      <c r="C71">
        <v>56794155</v>
      </c>
      <c r="D71">
        <v>55963231</v>
      </c>
      <c r="E71">
        <v>1</v>
      </c>
      <c r="F71">
        <v>1</v>
      </c>
      <c r="G71">
        <v>1081</v>
      </c>
      <c r="H71">
        <v>3</v>
      </c>
      <c r="I71" t="s">
        <v>443</v>
      </c>
      <c r="J71" t="s">
        <v>444</v>
      </c>
      <c r="K71" t="s">
        <v>445</v>
      </c>
      <c r="L71">
        <v>1301</v>
      </c>
      <c r="N71">
        <v>1003</v>
      </c>
      <c r="O71" t="s">
        <v>201</v>
      </c>
      <c r="P71" t="s">
        <v>201</v>
      </c>
      <c r="Q71">
        <v>1</v>
      </c>
      <c r="W71">
        <v>0</v>
      </c>
      <c r="X71">
        <v>361374718</v>
      </c>
      <c r="Y71">
        <f>(AT71*1)</f>
        <v>88.46</v>
      </c>
      <c r="AA71">
        <v>2.16</v>
      </c>
      <c r="AB71">
        <v>0</v>
      </c>
      <c r="AC71">
        <v>0</v>
      </c>
      <c r="AD71">
        <v>0</v>
      </c>
      <c r="AE71">
        <v>0.28999999999999998</v>
      </c>
      <c r="AF71">
        <v>0</v>
      </c>
      <c r="AG71">
        <v>0</v>
      </c>
      <c r="AH71">
        <v>0</v>
      </c>
      <c r="AI71">
        <v>7.45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88.46</v>
      </c>
      <c r="AU71" t="s">
        <v>24</v>
      </c>
      <c r="AV71">
        <v>0</v>
      </c>
      <c r="AW71">
        <v>2</v>
      </c>
      <c r="AX71">
        <v>56794167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ROUND(Y71*Source!I88,9)</f>
        <v>14.878971999999999</v>
      </c>
      <c r="CY71">
        <f>AA71</f>
        <v>2.16</v>
      </c>
      <c r="CZ71">
        <f>AE71</f>
        <v>0.28999999999999998</v>
      </c>
      <c r="DA71">
        <f>AI71</f>
        <v>7.45</v>
      </c>
      <c r="DB71">
        <f>ROUND((ROUND(AT71*CZ71,2)*1),6)</f>
        <v>25.65</v>
      </c>
      <c r="DC71">
        <f>ROUND((ROUND(AT71*AG71,2)*1),6)</f>
        <v>0</v>
      </c>
      <c r="DD71" t="s">
        <v>3</v>
      </c>
      <c r="DE71" t="s">
        <v>3</v>
      </c>
      <c r="DF71">
        <f>ROUND(ROUND(AE71*AI71,2)*CX71,2)</f>
        <v>32.14</v>
      </c>
      <c r="DG71">
        <f>ROUND(ROUND(AF71,2)*CX71,2)</f>
        <v>0</v>
      </c>
      <c r="DH71">
        <f>ROUND(ROUND(AG71,2)*CX71,2)</f>
        <v>0</v>
      </c>
      <c r="DI71">
        <f t="shared" si="40"/>
        <v>0</v>
      </c>
      <c r="DJ71">
        <f>DF71</f>
        <v>32.14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ROW(Source!A89)</f>
        <v>89</v>
      </c>
      <c r="B72">
        <v>56793366</v>
      </c>
      <c r="C72">
        <v>56794172</v>
      </c>
      <c r="D72">
        <v>55926487</v>
      </c>
      <c r="E72">
        <v>1081</v>
      </c>
      <c r="F72">
        <v>1</v>
      </c>
      <c r="G72">
        <v>1081</v>
      </c>
      <c r="H72">
        <v>1</v>
      </c>
      <c r="I72" t="s">
        <v>354</v>
      </c>
      <c r="J72" t="s">
        <v>3</v>
      </c>
      <c r="K72" t="s">
        <v>355</v>
      </c>
      <c r="L72">
        <v>1191</v>
      </c>
      <c r="N72">
        <v>1013</v>
      </c>
      <c r="O72" t="s">
        <v>356</v>
      </c>
      <c r="P72" t="s">
        <v>356</v>
      </c>
      <c r="Q72">
        <v>1</v>
      </c>
      <c r="W72">
        <v>0</v>
      </c>
      <c r="X72">
        <v>476480486</v>
      </c>
      <c r="Y72">
        <f>(AT72*1.15)</f>
        <v>7.6589999999999998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-2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6.66</v>
      </c>
      <c r="AU72" t="s">
        <v>48</v>
      </c>
      <c r="AV72">
        <v>1</v>
      </c>
      <c r="AW72">
        <v>2</v>
      </c>
      <c r="AX72">
        <v>56794183</v>
      </c>
      <c r="AY72">
        <v>1</v>
      </c>
      <c r="AZ72">
        <v>0</v>
      </c>
      <c r="BA72">
        <v>74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U72">
        <f>ROUND(AT72*Source!I89*AH72*AL72,2)</f>
        <v>0</v>
      </c>
      <c r="CV72">
        <f>ROUND(Y72*Source!I89,9)</f>
        <v>1.3326659999999999</v>
      </c>
      <c r="CW72">
        <v>0</v>
      </c>
      <c r="CX72">
        <f>ROUND(Y72*Source!I89,9)</f>
        <v>1.3326659999999999</v>
      </c>
      <c r="CY72">
        <f>AD72</f>
        <v>0</v>
      </c>
      <c r="CZ72">
        <f>AH72</f>
        <v>0</v>
      </c>
      <c r="DA72">
        <f>AL72</f>
        <v>1</v>
      </c>
      <c r="DB72">
        <f>ROUND((ROUND(AT72*CZ72,2)*1.15),6)</f>
        <v>0</v>
      </c>
      <c r="DC72">
        <f>ROUND((ROUND(AT72*AG72,2)*1.15),6)</f>
        <v>0</v>
      </c>
      <c r="DD72" t="s">
        <v>3</v>
      </c>
      <c r="DE72" t="s">
        <v>3</v>
      </c>
      <c r="DF72">
        <f>ROUND(ROUND(AE72,2)*CX72,2)</f>
        <v>0</v>
      </c>
      <c r="DG72">
        <f>ROUND(ROUND(AF72,2)*CX72,2)</f>
        <v>0</v>
      </c>
      <c r="DH72">
        <f>ROUND(ROUND(AG72,2)*CX72,2)</f>
        <v>0</v>
      </c>
      <c r="DI72">
        <f t="shared" si="40"/>
        <v>0</v>
      </c>
      <c r="DJ72">
        <f>DI72</f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ROW(Source!A89)</f>
        <v>89</v>
      </c>
      <c r="B73">
        <v>56793366</v>
      </c>
      <c r="C73">
        <v>56794172</v>
      </c>
      <c r="D73">
        <v>55992399</v>
      </c>
      <c r="E73">
        <v>1</v>
      </c>
      <c r="F73">
        <v>1</v>
      </c>
      <c r="G73">
        <v>1081</v>
      </c>
      <c r="H73">
        <v>2</v>
      </c>
      <c r="I73" t="s">
        <v>374</v>
      </c>
      <c r="J73" t="s">
        <v>375</v>
      </c>
      <c r="K73" t="s">
        <v>376</v>
      </c>
      <c r="L73">
        <v>1368</v>
      </c>
      <c r="N73">
        <v>1011</v>
      </c>
      <c r="O73" t="s">
        <v>377</v>
      </c>
      <c r="P73" t="s">
        <v>377</v>
      </c>
      <c r="Q73">
        <v>1</v>
      </c>
      <c r="W73">
        <v>0</v>
      </c>
      <c r="X73">
        <v>874612079</v>
      </c>
      <c r="Y73">
        <f>(AT73*1.15)</f>
        <v>3.4499999999999996E-2</v>
      </c>
      <c r="AA73">
        <v>0</v>
      </c>
      <c r="AB73">
        <v>1518.25</v>
      </c>
      <c r="AC73">
        <v>753.81</v>
      </c>
      <c r="AD73">
        <v>0</v>
      </c>
      <c r="AE73">
        <v>0</v>
      </c>
      <c r="AF73">
        <v>83.1</v>
      </c>
      <c r="AG73">
        <v>12.62</v>
      </c>
      <c r="AH73">
        <v>0</v>
      </c>
      <c r="AI73">
        <v>1</v>
      </c>
      <c r="AJ73">
        <v>17.45</v>
      </c>
      <c r="AK73">
        <v>57.05</v>
      </c>
      <c r="AL73">
        <v>1</v>
      </c>
      <c r="AM73">
        <v>2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0.03</v>
      </c>
      <c r="AU73" t="s">
        <v>48</v>
      </c>
      <c r="AV73">
        <v>0</v>
      </c>
      <c r="AW73">
        <v>2</v>
      </c>
      <c r="AX73">
        <v>56794184</v>
      </c>
      <c r="AY73">
        <v>1</v>
      </c>
      <c r="AZ73">
        <v>2048</v>
      </c>
      <c r="BA73">
        <v>75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f>ROUND(Y73*Source!I89*DO73,9)</f>
        <v>7.5757859999999996E-2</v>
      </c>
      <c r="CX73">
        <f>ROUND(Y73*Source!I89,9)</f>
        <v>6.0029999999999997E-3</v>
      </c>
      <c r="CY73">
        <f>AB73</f>
        <v>1518.25</v>
      </c>
      <c r="CZ73">
        <f>AF73</f>
        <v>83.1</v>
      </c>
      <c r="DA73">
        <f>AJ73</f>
        <v>17.45</v>
      </c>
      <c r="DB73">
        <f>ROUND((ROUND(AT73*CZ73,2)*1.15),6)</f>
        <v>2.8635000000000002</v>
      </c>
      <c r="DC73">
        <f>ROUND((ROUND(AT73*AG73,2)*1.15),6)</f>
        <v>0.437</v>
      </c>
      <c r="DD73" t="s">
        <v>3</v>
      </c>
      <c r="DE73" t="s">
        <v>3</v>
      </c>
      <c r="DF73">
        <f>ROUND(ROUND(AE73,2)*CX73,2)</f>
        <v>0</v>
      </c>
      <c r="DG73">
        <f>ROUND(ROUND(AF73*AJ73,2)*CX73,2)</f>
        <v>8.6999999999999993</v>
      </c>
      <c r="DH73">
        <f>ROUND(ROUND(AG73*AK73,2)*CX73,2)</f>
        <v>4.32</v>
      </c>
      <c r="DI73">
        <f t="shared" si="40"/>
        <v>0</v>
      </c>
      <c r="DJ73">
        <f>DG73</f>
        <v>8.6999999999999993</v>
      </c>
      <c r="DK73">
        <v>0</v>
      </c>
      <c r="DL73" t="s">
        <v>378</v>
      </c>
      <c r="DM73">
        <v>0</v>
      </c>
      <c r="DN73" t="s">
        <v>356</v>
      </c>
      <c r="DO73">
        <v>12.62</v>
      </c>
    </row>
    <row r="74" spans="1:119" x14ac:dyDescent="0.2">
      <c r="A74">
        <f>ROW(Source!A89)</f>
        <v>89</v>
      </c>
      <c r="B74">
        <v>56793366</v>
      </c>
      <c r="C74">
        <v>56794172</v>
      </c>
      <c r="D74">
        <v>55992520</v>
      </c>
      <c r="E74">
        <v>1</v>
      </c>
      <c r="F74">
        <v>1</v>
      </c>
      <c r="G74">
        <v>1081</v>
      </c>
      <c r="H74">
        <v>2</v>
      </c>
      <c r="I74" t="s">
        <v>400</v>
      </c>
      <c r="J74" t="s">
        <v>401</v>
      </c>
      <c r="K74" t="s">
        <v>402</v>
      </c>
      <c r="L74">
        <v>1368</v>
      </c>
      <c r="N74">
        <v>1011</v>
      </c>
      <c r="O74" t="s">
        <v>377</v>
      </c>
      <c r="P74" t="s">
        <v>377</v>
      </c>
      <c r="Q74">
        <v>1</v>
      </c>
      <c r="W74">
        <v>0</v>
      </c>
      <c r="X74">
        <v>-2083101341</v>
      </c>
      <c r="Y74">
        <f>(AT74*1.15)</f>
        <v>1.5294999999999999</v>
      </c>
      <c r="AA74">
        <v>0</v>
      </c>
      <c r="AB74">
        <v>8.2799999999999994</v>
      </c>
      <c r="AC74">
        <v>0</v>
      </c>
      <c r="AD74">
        <v>0</v>
      </c>
      <c r="AE74">
        <v>0</v>
      </c>
      <c r="AF74">
        <v>0.8</v>
      </c>
      <c r="AG74">
        <v>0</v>
      </c>
      <c r="AH74">
        <v>0</v>
      </c>
      <c r="AI74">
        <v>1</v>
      </c>
      <c r="AJ74">
        <v>9.8800000000000008</v>
      </c>
      <c r="AK74">
        <v>1</v>
      </c>
      <c r="AL74">
        <v>1</v>
      </c>
      <c r="AM74">
        <v>2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1.33</v>
      </c>
      <c r="AU74" t="s">
        <v>48</v>
      </c>
      <c r="AV74">
        <v>0</v>
      </c>
      <c r="AW74">
        <v>2</v>
      </c>
      <c r="AX74">
        <v>56794185</v>
      </c>
      <c r="AY74">
        <v>1</v>
      </c>
      <c r="AZ74">
        <v>2048</v>
      </c>
      <c r="BA74">
        <v>76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f>ROUND(Y74*Source!I89*DO74,9)</f>
        <v>0</v>
      </c>
      <c r="CX74">
        <f>ROUND(Y74*Source!I89,9)</f>
        <v>0.26613300000000001</v>
      </c>
      <c r="CY74">
        <f>AB74</f>
        <v>8.2799999999999994</v>
      </c>
      <c r="CZ74">
        <f>AF74</f>
        <v>0.8</v>
      </c>
      <c r="DA74">
        <f>AJ74</f>
        <v>9.8800000000000008</v>
      </c>
      <c r="DB74">
        <f>ROUND((ROUND(AT74*CZ74,2)*1.15),6)</f>
        <v>1.2190000000000001</v>
      </c>
      <c r="DC74">
        <f>ROUND((ROUND(AT74*AG74,2)*1.15),6)</f>
        <v>0</v>
      </c>
      <c r="DD74" t="s">
        <v>3</v>
      </c>
      <c r="DE74" t="s">
        <v>3</v>
      </c>
      <c r="DF74">
        <f>ROUND(ROUND(AE74,2)*CX74,2)</f>
        <v>0</v>
      </c>
      <c r="DG74">
        <f>ROUND(ROUND(AF74*AJ74,2)*CX74,2)</f>
        <v>2.1</v>
      </c>
      <c r="DH74">
        <f t="shared" ref="DH74:DH82" si="41">ROUND(ROUND(AG74,2)*CX74,2)</f>
        <v>0</v>
      </c>
      <c r="DI74">
        <f t="shared" si="40"/>
        <v>0</v>
      </c>
      <c r="DJ74">
        <f>DG74</f>
        <v>2.1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ROW(Source!A89)</f>
        <v>89</v>
      </c>
      <c r="B75">
        <v>56793366</v>
      </c>
      <c r="C75">
        <v>56794172</v>
      </c>
      <c r="D75">
        <v>55992486</v>
      </c>
      <c r="E75">
        <v>1</v>
      </c>
      <c r="F75">
        <v>1</v>
      </c>
      <c r="G75">
        <v>1081</v>
      </c>
      <c r="H75">
        <v>2</v>
      </c>
      <c r="I75" t="s">
        <v>446</v>
      </c>
      <c r="J75" t="s">
        <v>447</v>
      </c>
      <c r="K75" t="s">
        <v>448</v>
      </c>
      <c r="L75">
        <v>1368</v>
      </c>
      <c r="N75">
        <v>1011</v>
      </c>
      <c r="O75" t="s">
        <v>377</v>
      </c>
      <c r="P75" t="s">
        <v>377</v>
      </c>
      <c r="Q75">
        <v>1</v>
      </c>
      <c r="W75">
        <v>0</v>
      </c>
      <c r="X75">
        <v>-643591644</v>
      </c>
      <c r="Y75">
        <f>(AT75*1.15)</f>
        <v>2.3114999999999997</v>
      </c>
      <c r="AA75">
        <v>0</v>
      </c>
      <c r="AB75">
        <v>7.12</v>
      </c>
      <c r="AC75">
        <v>0</v>
      </c>
      <c r="AD75">
        <v>0</v>
      </c>
      <c r="AE75">
        <v>0</v>
      </c>
      <c r="AF75">
        <v>0.47</v>
      </c>
      <c r="AG75">
        <v>0</v>
      </c>
      <c r="AH75">
        <v>0</v>
      </c>
      <c r="AI75">
        <v>1</v>
      </c>
      <c r="AJ75">
        <v>14.47</v>
      </c>
      <c r="AK75">
        <v>1</v>
      </c>
      <c r="AL75">
        <v>1</v>
      </c>
      <c r="AM75">
        <v>2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2.0099999999999998</v>
      </c>
      <c r="AU75" t="s">
        <v>48</v>
      </c>
      <c r="AV75">
        <v>0</v>
      </c>
      <c r="AW75">
        <v>2</v>
      </c>
      <c r="AX75">
        <v>56794186</v>
      </c>
      <c r="AY75">
        <v>1</v>
      </c>
      <c r="AZ75">
        <v>2048</v>
      </c>
      <c r="BA75">
        <v>77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f>ROUND(Y75*Source!I89*DO75,9)</f>
        <v>0</v>
      </c>
      <c r="CX75">
        <f>ROUND(Y75*Source!I89,9)</f>
        <v>0.40220099999999998</v>
      </c>
      <c r="CY75">
        <f>AB75</f>
        <v>7.12</v>
      </c>
      <c r="CZ75">
        <f>AF75</f>
        <v>0.47</v>
      </c>
      <c r="DA75">
        <f>AJ75</f>
        <v>14.47</v>
      </c>
      <c r="DB75">
        <f>ROUND((ROUND(AT75*CZ75,2)*1.15),6)</f>
        <v>1.081</v>
      </c>
      <c r="DC75">
        <f>ROUND((ROUND(AT75*AG75,2)*1.15),6)</f>
        <v>0</v>
      </c>
      <c r="DD75" t="s">
        <v>3</v>
      </c>
      <c r="DE75" t="s">
        <v>3</v>
      </c>
      <c r="DF75">
        <f>ROUND(ROUND(AE75,2)*CX75,2)</f>
        <v>0</v>
      </c>
      <c r="DG75">
        <f>ROUND(ROUND(AF75*AJ75,2)*CX75,2)</f>
        <v>2.73</v>
      </c>
      <c r="DH75">
        <f t="shared" si="41"/>
        <v>0</v>
      </c>
      <c r="DI75">
        <f t="shared" si="40"/>
        <v>0</v>
      </c>
      <c r="DJ75">
        <f>DG75</f>
        <v>2.73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ROW(Source!A89)</f>
        <v>89</v>
      </c>
      <c r="B76">
        <v>56793366</v>
      </c>
      <c r="C76">
        <v>56794172</v>
      </c>
      <c r="D76">
        <v>55961553</v>
      </c>
      <c r="E76">
        <v>1</v>
      </c>
      <c r="F76">
        <v>1</v>
      </c>
      <c r="G76">
        <v>1081</v>
      </c>
      <c r="H76">
        <v>3</v>
      </c>
      <c r="I76" t="s">
        <v>199</v>
      </c>
      <c r="J76" t="s">
        <v>202</v>
      </c>
      <c r="K76" t="s">
        <v>200</v>
      </c>
      <c r="L76">
        <v>1301</v>
      </c>
      <c r="N76">
        <v>1003</v>
      </c>
      <c r="O76" t="s">
        <v>201</v>
      </c>
      <c r="P76" t="s">
        <v>201</v>
      </c>
      <c r="Q76">
        <v>1</v>
      </c>
      <c r="W76">
        <v>0</v>
      </c>
      <c r="X76">
        <v>233633753</v>
      </c>
      <c r="Y76">
        <f t="shared" ref="Y76:Y81" si="42">(AT76*1)</f>
        <v>101</v>
      </c>
      <c r="AA76">
        <v>39.26</v>
      </c>
      <c r="AB76">
        <v>0</v>
      </c>
      <c r="AC76">
        <v>0</v>
      </c>
      <c r="AD76">
        <v>0</v>
      </c>
      <c r="AE76">
        <v>22.18</v>
      </c>
      <c r="AF76">
        <v>0</v>
      </c>
      <c r="AG76">
        <v>0</v>
      </c>
      <c r="AH76">
        <v>0</v>
      </c>
      <c r="AI76">
        <v>1.77</v>
      </c>
      <c r="AJ76">
        <v>1</v>
      </c>
      <c r="AK76">
        <v>1</v>
      </c>
      <c r="AL76">
        <v>1</v>
      </c>
      <c r="AM76">
        <v>0</v>
      </c>
      <c r="AN76">
        <v>0</v>
      </c>
      <c r="AO76">
        <v>0</v>
      </c>
      <c r="AP76">
        <v>1</v>
      </c>
      <c r="AQ76">
        <v>0</v>
      </c>
      <c r="AR76">
        <v>0</v>
      </c>
      <c r="AS76" t="s">
        <v>3</v>
      </c>
      <c r="AT76">
        <v>101</v>
      </c>
      <c r="AU76" t="s">
        <v>24</v>
      </c>
      <c r="AV76">
        <v>0</v>
      </c>
      <c r="AW76">
        <v>1</v>
      </c>
      <c r="AX76">
        <v>-1</v>
      </c>
      <c r="AY76">
        <v>0</v>
      </c>
      <c r="AZ76">
        <v>0</v>
      </c>
      <c r="BA76" t="s">
        <v>3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ROUND(Y76*Source!I89,9)</f>
        <v>17.574000000000002</v>
      </c>
      <c r="CY76">
        <f t="shared" ref="CY76:CY81" si="43">AA76</f>
        <v>39.26</v>
      </c>
      <c r="CZ76">
        <f t="shared" ref="CZ76:CZ81" si="44">AE76</f>
        <v>22.18</v>
      </c>
      <c r="DA76">
        <f t="shared" ref="DA76:DA81" si="45">AI76</f>
        <v>1.77</v>
      </c>
      <c r="DB76">
        <f t="shared" ref="DB76:DB81" si="46">ROUND((ROUND(AT76*CZ76,2)*1),6)</f>
        <v>2240.1799999999998</v>
      </c>
      <c r="DC76">
        <f t="shared" ref="DC76:DC81" si="47">ROUND((ROUND(AT76*AG76,2)*1),6)</f>
        <v>0</v>
      </c>
      <c r="DD76" t="s">
        <v>3</v>
      </c>
      <c r="DE76" t="s">
        <v>3</v>
      </c>
      <c r="DF76">
        <f t="shared" ref="DF76:DF81" si="48">ROUND(ROUND(AE76*AI76,2)*CX76,2)</f>
        <v>689.96</v>
      </c>
      <c r="DG76">
        <f t="shared" ref="DG76:DG82" si="49">ROUND(ROUND(AF76,2)*CX76,2)</f>
        <v>0</v>
      </c>
      <c r="DH76">
        <f t="shared" si="41"/>
        <v>0</v>
      </c>
      <c r="DI76">
        <f t="shared" si="40"/>
        <v>0</v>
      </c>
      <c r="DJ76">
        <f t="shared" ref="DJ76:DJ81" si="50">DF76</f>
        <v>689.96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ROW(Source!A89)</f>
        <v>89</v>
      </c>
      <c r="B77">
        <v>56793366</v>
      </c>
      <c r="C77">
        <v>56794172</v>
      </c>
      <c r="D77">
        <v>55963965</v>
      </c>
      <c r="E77">
        <v>1</v>
      </c>
      <c r="F77">
        <v>1</v>
      </c>
      <c r="G77">
        <v>1081</v>
      </c>
      <c r="H77">
        <v>3</v>
      </c>
      <c r="I77" t="s">
        <v>449</v>
      </c>
      <c r="J77" t="s">
        <v>450</v>
      </c>
      <c r="K77" t="s">
        <v>451</v>
      </c>
      <c r="L77">
        <v>1355</v>
      </c>
      <c r="N77">
        <v>1010</v>
      </c>
      <c r="O77" t="s">
        <v>22</v>
      </c>
      <c r="P77" t="s">
        <v>22</v>
      </c>
      <c r="Q77">
        <v>100</v>
      </c>
      <c r="W77">
        <v>0</v>
      </c>
      <c r="X77">
        <v>55994593</v>
      </c>
      <c r="Y77">
        <f t="shared" si="42"/>
        <v>2.63</v>
      </c>
      <c r="AA77">
        <v>98.18</v>
      </c>
      <c r="AB77">
        <v>0</v>
      </c>
      <c r="AC77">
        <v>0</v>
      </c>
      <c r="AD77">
        <v>0</v>
      </c>
      <c r="AE77">
        <v>64.17</v>
      </c>
      <c r="AF77">
        <v>0</v>
      </c>
      <c r="AG77">
        <v>0</v>
      </c>
      <c r="AH77">
        <v>0</v>
      </c>
      <c r="AI77">
        <v>1.53</v>
      </c>
      <c r="AJ77">
        <v>1</v>
      </c>
      <c r="AK77">
        <v>1</v>
      </c>
      <c r="AL77">
        <v>1</v>
      </c>
      <c r="AM77">
        <v>2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2.63</v>
      </c>
      <c r="AU77" t="s">
        <v>24</v>
      </c>
      <c r="AV77">
        <v>0</v>
      </c>
      <c r="AW77">
        <v>2</v>
      </c>
      <c r="AX77">
        <v>56794187</v>
      </c>
      <c r="AY77">
        <v>1</v>
      </c>
      <c r="AZ77">
        <v>0</v>
      </c>
      <c r="BA77">
        <v>78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ROUND(Y77*Source!I89,9)</f>
        <v>0.45762000000000003</v>
      </c>
      <c r="CY77">
        <f t="shared" si="43"/>
        <v>98.18</v>
      </c>
      <c r="CZ77">
        <f t="shared" si="44"/>
        <v>64.17</v>
      </c>
      <c r="DA77">
        <f t="shared" si="45"/>
        <v>1.53</v>
      </c>
      <c r="DB77">
        <f t="shared" si="46"/>
        <v>168.77</v>
      </c>
      <c r="DC77">
        <f t="shared" si="47"/>
        <v>0</v>
      </c>
      <c r="DD77" t="s">
        <v>3</v>
      </c>
      <c r="DE77" t="s">
        <v>3</v>
      </c>
      <c r="DF77">
        <f t="shared" si="48"/>
        <v>44.93</v>
      </c>
      <c r="DG77">
        <f t="shared" si="49"/>
        <v>0</v>
      </c>
      <c r="DH77">
        <f t="shared" si="41"/>
        <v>0</v>
      </c>
      <c r="DI77">
        <f t="shared" si="40"/>
        <v>0</v>
      </c>
      <c r="DJ77">
        <f t="shared" si="50"/>
        <v>44.93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ROW(Source!A89)</f>
        <v>89</v>
      </c>
      <c r="B78">
        <v>56793366</v>
      </c>
      <c r="C78">
        <v>56794172</v>
      </c>
      <c r="D78">
        <v>55963981</v>
      </c>
      <c r="E78">
        <v>1</v>
      </c>
      <c r="F78">
        <v>1</v>
      </c>
      <c r="G78">
        <v>1081</v>
      </c>
      <c r="H78">
        <v>3</v>
      </c>
      <c r="I78" t="s">
        <v>452</v>
      </c>
      <c r="J78" t="s">
        <v>453</v>
      </c>
      <c r="K78" t="s">
        <v>454</v>
      </c>
      <c r="L78">
        <v>1355</v>
      </c>
      <c r="N78">
        <v>1010</v>
      </c>
      <c r="O78" t="s">
        <v>22</v>
      </c>
      <c r="P78" t="s">
        <v>22</v>
      </c>
      <c r="Q78">
        <v>100</v>
      </c>
      <c r="W78">
        <v>0</v>
      </c>
      <c r="X78">
        <v>-429645653</v>
      </c>
      <c r="Y78">
        <f t="shared" si="42"/>
        <v>2.63</v>
      </c>
      <c r="AA78">
        <v>16.43</v>
      </c>
      <c r="AB78">
        <v>0</v>
      </c>
      <c r="AC78">
        <v>0</v>
      </c>
      <c r="AD78">
        <v>0</v>
      </c>
      <c r="AE78">
        <v>10.6</v>
      </c>
      <c r="AF78">
        <v>0</v>
      </c>
      <c r="AG78">
        <v>0</v>
      </c>
      <c r="AH78">
        <v>0</v>
      </c>
      <c r="AI78">
        <v>1.55</v>
      </c>
      <c r="AJ78">
        <v>1</v>
      </c>
      <c r="AK78">
        <v>1</v>
      </c>
      <c r="AL78">
        <v>1</v>
      </c>
      <c r="AM78">
        <v>2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2.63</v>
      </c>
      <c r="AU78" t="s">
        <v>24</v>
      </c>
      <c r="AV78">
        <v>0</v>
      </c>
      <c r="AW78">
        <v>2</v>
      </c>
      <c r="AX78">
        <v>56794188</v>
      </c>
      <c r="AY78">
        <v>1</v>
      </c>
      <c r="AZ78">
        <v>0</v>
      </c>
      <c r="BA78">
        <v>79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ROUND(Y78*Source!I89,9)</f>
        <v>0.45762000000000003</v>
      </c>
      <c r="CY78">
        <f t="shared" si="43"/>
        <v>16.43</v>
      </c>
      <c r="CZ78">
        <f t="shared" si="44"/>
        <v>10.6</v>
      </c>
      <c r="DA78">
        <f t="shared" si="45"/>
        <v>1.55</v>
      </c>
      <c r="DB78">
        <f t="shared" si="46"/>
        <v>27.88</v>
      </c>
      <c r="DC78">
        <f t="shared" si="47"/>
        <v>0</v>
      </c>
      <c r="DD78" t="s">
        <v>3</v>
      </c>
      <c r="DE78" t="s">
        <v>3</v>
      </c>
      <c r="DF78">
        <f t="shared" si="48"/>
        <v>7.52</v>
      </c>
      <c r="DG78">
        <f t="shared" si="49"/>
        <v>0</v>
      </c>
      <c r="DH78">
        <f t="shared" si="41"/>
        <v>0</v>
      </c>
      <c r="DI78">
        <f t="shared" si="40"/>
        <v>0</v>
      </c>
      <c r="DJ78">
        <f t="shared" si="50"/>
        <v>7.52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ROW(Source!A89)</f>
        <v>89</v>
      </c>
      <c r="B79">
        <v>56793366</v>
      </c>
      <c r="C79">
        <v>56794172</v>
      </c>
      <c r="D79">
        <v>55973647</v>
      </c>
      <c r="E79">
        <v>1</v>
      </c>
      <c r="F79">
        <v>1</v>
      </c>
      <c r="G79">
        <v>1081</v>
      </c>
      <c r="H79">
        <v>3</v>
      </c>
      <c r="I79" t="s">
        <v>187</v>
      </c>
      <c r="J79" t="s">
        <v>189</v>
      </c>
      <c r="K79" t="s">
        <v>188</v>
      </c>
      <c r="L79">
        <v>1355</v>
      </c>
      <c r="N79">
        <v>1010</v>
      </c>
      <c r="O79" t="s">
        <v>22</v>
      </c>
      <c r="P79" t="s">
        <v>22</v>
      </c>
      <c r="Q79">
        <v>100</v>
      </c>
      <c r="W79">
        <v>0</v>
      </c>
      <c r="X79">
        <v>429359898</v>
      </c>
      <c r="Y79">
        <f t="shared" si="42"/>
        <v>34.482759000000001</v>
      </c>
      <c r="AA79">
        <v>719.87</v>
      </c>
      <c r="AB79">
        <v>0</v>
      </c>
      <c r="AC79">
        <v>0</v>
      </c>
      <c r="AD79">
        <v>0</v>
      </c>
      <c r="AE79">
        <v>153.49</v>
      </c>
      <c r="AF79">
        <v>0</v>
      </c>
      <c r="AG79">
        <v>0</v>
      </c>
      <c r="AH79">
        <v>0</v>
      </c>
      <c r="AI79">
        <v>4.6900000000000004</v>
      </c>
      <c r="AJ79">
        <v>1</v>
      </c>
      <c r="AK79">
        <v>1</v>
      </c>
      <c r="AL79">
        <v>1</v>
      </c>
      <c r="AM79">
        <v>0</v>
      </c>
      <c r="AN79">
        <v>0</v>
      </c>
      <c r="AO79">
        <v>0</v>
      </c>
      <c r="AP79">
        <v>1</v>
      </c>
      <c r="AQ79">
        <v>0</v>
      </c>
      <c r="AR79">
        <v>0</v>
      </c>
      <c r="AS79" t="s">
        <v>3</v>
      </c>
      <c r="AT79">
        <v>34.482759000000001</v>
      </c>
      <c r="AU79" t="s">
        <v>24</v>
      </c>
      <c r="AV79">
        <v>0</v>
      </c>
      <c r="AW79">
        <v>1</v>
      </c>
      <c r="AX79">
        <v>-1</v>
      </c>
      <c r="AY79">
        <v>0</v>
      </c>
      <c r="AZ79">
        <v>0</v>
      </c>
      <c r="BA79" t="s">
        <v>3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ROUND(Y79*Source!I89,9)</f>
        <v>6.0000000660000001</v>
      </c>
      <c r="CY79">
        <f t="shared" si="43"/>
        <v>719.87</v>
      </c>
      <c r="CZ79">
        <f t="shared" si="44"/>
        <v>153.49</v>
      </c>
      <c r="DA79">
        <f t="shared" si="45"/>
        <v>4.6900000000000004</v>
      </c>
      <c r="DB79">
        <f t="shared" si="46"/>
        <v>5292.76</v>
      </c>
      <c r="DC79">
        <f t="shared" si="47"/>
        <v>0</v>
      </c>
      <c r="DD79" t="s">
        <v>3</v>
      </c>
      <c r="DE79" t="s">
        <v>3</v>
      </c>
      <c r="DF79">
        <f t="shared" si="48"/>
        <v>4319.22</v>
      </c>
      <c r="DG79">
        <f t="shared" si="49"/>
        <v>0</v>
      </c>
      <c r="DH79">
        <f t="shared" si="41"/>
        <v>0</v>
      </c>
      <c r="DI79">
        <f t="shared" si="40"/>
        <v>0</v>
      </c>
      <c r="DJ79">
        <f t="shared" si="50"/>
        <v>4319.22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ROW(Source!A89)</f>
        <v>89</v>
      </c>
      <c r="B80">
        <v>56793366</v>
      </c>
      <c r="C80">
        <v>56794172</v>
      </c>
      <c r="D80">
        <v>55973648</v>
      </c>
      <c r="E80">
        <v>1</v>
      </c>
      <c r="F80">
        <v>1</v>
      </c>
      <c r="G80">
        <v>1081</v>
      </c>
      <c r="H80">
        <v>3</v>
      </c>
      <c r="I80" t="s">
        <v>191</v>
      </c>
      <c r="J80" t="s">
        <v>193</v>
      </c>
      <c r="K80" t="s">
        <v>192</v>
      </c>
      <c r="L80">
        <v>1355</v>
      </c>
      <c r="N80">
        <v>1010</v>
      </c>
      <c r="O80" t="s">
        <v>22</v>
      </c>
      <c r="P80" t="s">
        <v>22</v>
      </c>
      <c r="Q80">
        <v>100</v>
      </c>
      <c r="W80">
        <v>0</v>
      </c>
      <c r="X80">
        <v>653289785</v>
      </c>
      <c r="Y80">
        <f t="shared" si="42"/>
        <v>5.7471259999999997</v>
      </c>
      <c r="AA80">
        <v>847.63</v>
      </c>
      <c r="AB80">
        <v>0</v>
      </c>
      <c r="AC80">
        <v>0</v>
      </c>
      <c r="AD80">
        <v>0</v>
      </c>
      <c r="AE80">
        <v>170.55</v>
      </c>
      <c r="AF80">
        <v>0</v>
      </c>
      <c r="AG80">
        <v>0</v>
      </c>
      <c r="AH80">
        <v>0</v>
      </c>
      <c r="AI80">
        <v>4.97</v>
      </c>
      <c r="AJ80">
        <v>1</v>
      </c>
      <c r="AK80">
        <v>1</v>
      </c>
      <c r="AL80">
        <v>1</v>
      </c>
      <c r="AM80">
        <v>0</v>
      </c>
      <c r="AN80">
        <v>0</v>
      </c>
      <c r="AO80">
        <v>0</v>
      </c>
      <c r="AP80">
        <v>1</v>
      </c>
      <c r="AQ80">
        <v>0</v>
      </c>
      <c r="AR80">
        <v>0</v>
      </c>
      <c r="AS80" t="s">
        <v>3</v>
      </c>
      <c r="AT80">
        <v>5.7471259999999997</v>
      </c>
      <c r="AU80" t="s">
        <v>24</v>
      </c>
      <c r="AV80">
        <v>0</v>
      </c>
      <c r="AW80">
        <v>1</v>
      </c>
      <c r="AX80">
        <v>-1</v>
      </c>
      <c r="AY80">
        <v>0</v>
      </c>
      <c r="AZ80">
        <v>0</v>
      </c>
      <c r="BA80" t="s">
        <v>3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ROUND(Y80*Source!I89,9)</f>
        <v>0.99999992400000004</v>
      </c>
      <c r="CY80">
        <f t="shared" si="43"/>
        <v>847.63</v>
      </c>
      <c r="CZ80">
        <f t="shared" si="44"/>
        <v>170.55</v>
      </c>
      <c r="DA80">
        <f t="shared" si="45"/>
        <v>4.97</v>
      </c>
      <c r="DB80">
        <f t="shared" si="46"/>
        <v>980.17</v>
      </c>
      <c r="DC80">
        <f t="shared" si="47"/>
        <v>0</v>
      </c>
      <c r="DD80" t="s">
        <v>3</v>
      </c>
      <c r="DE80" t="s">
        <v>3</v>
      </c>
      <c r="DF80">
        <f t="shared" si="48"/>
        <v>847.63</v>
      </c>
      <c r="DG80">
        <f t="shared" si="49"/>
        <v>0</v>
      </c>
      <c r="DH80">
        <f t="shared" si="41"/>
        <v>0</v>
      </c>
      <c r="DI80">
        <f t="shared" si="40"/>
        <v>0</v>
      </c>
      <c r="DJ80">
        <f t="shared" si="50"/>
        <v>847.63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ROW(Source!A89)</f>
        <v>89</v>
      </c>
      <c r="B81">
        <v>56793366</v>
      </c>
      <c r="C81">
        <v>56794172</v>
      </c>
      <c r="D81">
        <v>55973649</v>
      </c>
      <c r="E81">
        <v>1</v>
      </c>
      <c r="F81">
        <v>1</v>
      </c>
      <c r="G81">
        <v>1081</v>
      </c>
      <c r="H81">
        <v>3</v>
      </c>
      <c r="I81" t="s">
        <v>195</v>
      </c>
      <c r="J81" t="s">
        <v>197</v>
      </c>
      <c r="K81" t="s">
        <v>196</v>
      </c>
      <c r="L81">
        <v>1355</v>
      </c>
      <c r="N81">
        <v>1010</v>
      </c>
      <c r="O81" t="s">
        <v>22</v>
      </c>
      <c r="P81" t="s">
        <v>22</v>
      </c>
      <c r="Q81">
        <v>100</v>
      </c>
      <c r="W81">
        <v>0</v>
      </c>
      <c r="X81">
        <v>-289508561</v>
      </c>
      <c r="Y81">
        <f t="shared" si="42"/>
        <v>17.241378999999998</v>
      </c>
      <c r="AA81">
        <v>846.08</v>
      </c>
      <c r="AB81">
        <v>0</v>
      </c>
      <c r="AC81">
        <v>0</v>
      </c>
      <c r="AD81">
        <v>0</v>
      </c>
      <c r="AE81">
        <v>170.58</v>
      </c>
      <c r="AF81">
        <v>0</v>
      </c>
      <c r="AG81">
        <v>0</v>
      </c>
      <c r="AH81">
        <v>0</v>
      </c>
      <c r="AI81">
        <v>4.96</v>
      </c>
      <c r="AJ81">
        <v>1</v>
      </c>
      <c r="AK81">
        <v>1</v>
      </c>
      <c r="AL81">
        <v>1</v>
      </c>
      <c r="AM81">
        <v>0</v>
      </c>
      <c r="AN81">
        <v>0</v>
      </c>
      <c r="AO81">
        <v>0</v>
      </c>
      <c r="AP81">
        <v>1</v>
      </c>
      <c r="AQ81">
        <v>0</v>
      </c>
      <c r="AR81">
        <v>0</v>
      </c>
      <c r="AS81" t="s">
        <v>3</v>
      </c>
      <c r="AT81">
        <v>17.241378999999998</v>
      </c>
      <c r="AU81" t="s">
        <v>24</v>
      </c>
      <c r="AV81">
        <v>0</v>
      </c>
      <c r="AW81">
        <v>1</v>
      </c>
      <c r="AX81">
        <v>-1</v>
      </c>
      <c r="AY81">
        <v>0</v>
      </c>
      <c r="AZ81">
        <v>0</v>
      </c>
      <c r="BA81" t="s">
        <v>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ROUND(Y81*Source!I89,9)</f>
        <v>2.999999946</v>
      </c>
      <c r="CY81">
        <f t="shared" si="43"/>
        <v>846.08</v>
      </c>
      <c r="CZ81">
        <f t="shared" si="44"/>
        <v>170.58</v>
      </c>
      <c r="DA81">
        <f t="shared" si="45"/>
        <v>4.96</v>
      </c>
      <c r="DB81">
        <f t="shared" si="46"/>
        <v>2941.03</v>
      </c>
      <c r="DC81">
        <f t="shared" si="47"/>
        <v>0</v>
      </c>
      <c r="DD81" t="s">
        <v>3</v>
      </c>
      <c r="DE81" t="s">
        <v>3</v>
      </c>
      <c r="DF81">
        <f t="shared" si="48"/>
        <v>2538.2399999999998</v>
      </c>
      <c r="DG81">
        <f t="shared" si="49"/>
        <v>0</v>
      </c>
      <c r="DH81">
        <f t="shared" si="41"/>
        <v>0</v>
      </c>
      <c r="DI81">
        <f t="shared" si="40"/>
        <v>0</v>
      </c>
      <c r="DJ81">
        <f t="shared" si="50"/>
        <v>2538.2399999999998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ROW(Source!A94)</f>
        <v>94</v>
      </c>
      <c r="B82">
        <v>56793366</v>
      </c>
      <c r="C82">
        <v>56794195</v>
      </c>
      <c r="D82">
        <v>55926487</v>
      </c>
      <c r="E82">
        <v>1081</v>
      </c>
      <c r="F82">
        <v>1</v>
      </c>
      <c r="G82">
        <v>1081</v>
      </c>
      <c r="H82">
        <v>1</v>
      </c>
      <c r="I82" t="s">
        <v>354</v>
      </c>
      <c r="J82" t="s">
        <v>3</v>
      </c>
      <c r="K82" t="s">
        <v>355</v>
      </c>
      <c r="L82">
        <v>1191</v>
      </c>
      <c r="N82">
        <v>1013</v>
      </c>
      <c r="O82" t="s">
        <v>356</v>
      </c>
      <c r="P82" t="s">
        <v>356</v>
      </c>
      <c r="Q82">
        <v>1</v>
      </c>
      <c r="W82">
        <v>0</v>
      </c>
      <c r="X82">
        <v>476480486</v>
      </c>
      <c r="Y82">
        <f>(AT82*1.15)</f>
        <v>19.135999999999999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M82">
        <v>-2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16.64</v>
      </c>
      <c r="AU82" t="s">
        <v>48</v>
      </c>
      <c r="AV82">
        <v>1</v>
      </c>
      <c r="AW82">
        <v>2</v>
      </c>
      <c r="AX82">
        <v>56794203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U82">
        <f>ROUND(AT82*Source!I94*AH82*AL82,2)</f>
        <v>0</v>
      </c>
      <c r="CV82">
        <f>ROUND(Y82*Source!I94,9)</f>
        <v>0.17222399999999999</v>
      </c>
      <c r="CW82">
        <v>0</v>
      </c>
      <c r="CX82">
        <f>ROUND(Y82*Source!I94,9)</f>
        <v>0.17222399999999999</v>
      </c>
      <c r="CY82">
        <f>AD82</f>
        <v>0</v>
      </c>
      <c r="CZ82">
        <f>AH82</f>
        <v>0</v>
      </c>
      <c r="DA82">
        <f>AL82</f>
        <v>1</v>
      </c>
      <c r="DB82">
        <f>ROUND((ROUND(AT82*CZ82,2)*1.15),6)</f>
        <v>0</v>
      </c>
      <c r="DC82">
        <f>ROUND((ROUND(AT82*AG82,2)*1.15),6)</f>
        <v>0</v>
      </c>
      <c r="DD82" t="s">
        <v>3</v>
      </c>
      <c r="DE82" t="s">
        <v>3</v>
      </c>
      <c r="DF82">
        <f>ROUND(ROUND(AE82,2)*CX82,2)</f>
        <v>0</v>
      </c>
      <c r="DG82">
        <f t="shared" si="49"/>
        <v>0</v>
      </c>
      <c r="DH82">
        <f t="shared" si="41"/>
        <v>0</v>
      </c>
      <c r="DI82">
        <f t="shared" si="40"/>
        <v>0</v>
      </c>
      <c r="DJ82">
        <f>DI82</f>
        <v>0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ROW(Source!A94)</f>
        <v>94</v>
      </c>
      <c r="B83">
        <v>56793366</v>
      </c>
      <c r="C83">
        <v>56794195</v>
      </c>
      <c r="D83">
        <v>55992399</v>
      </c>
      <c r="E83">
        <v>1</v>
      </c>
      <c r="F83">
        <v>1</v>
      </c>
      <c r="G83">
        <v>1081</v>
      </c>
      <c r="H83">
        <v>2</v>
      </c>
      <c r="I83" t="s">
        <v>374</v>
      </c>
      <c r="J83" t="s">
        <v>375</v>
      </c>
      <c r="K83" t="s">
        <v>376</v>
      </c>
      <c r="L83">
        <v>1368</v>
      </c>
      <c r="N83">
        <v>1011</v>
      </c>
      <c r="O83" t="s">
        <v>377</v>
      </c>
      <c r="P83" t="s">
        <v>377</v>
      </c>
      <c r="Q83">
        <v>1</v>
      </c>
      <c r="W83">
        <v>0</v>
      </c>
      <c r="X83">
        <v>874612079</v>
      </c>
      <c r="Y83">
        <f>(AT83*1.15)</f>
        <v>2.3E-2</v>
      </c>
      <c r="AA83">
        <v>0</v>
      </c>
      <c r="AB83">
        <v>1518.25</v>
      </c>
      <c r="AC83">
        <v>753.81</v>
      </c>
      <c r="AD83">
        <v>0</v>
      </c>
      <c r="AE83">
        <v>0</v>
      </c>
      <c r="AF83">
        <v>83.1</v>
      </c>
      <c r="AG83">
        <v>12.62</v>
      </c>
      <c r="AH83">
        <v>0</v>
      </c>
      <c r="AI83">
        <v>1</v>
      </c>
      <c r="AJ83">
        <v>17.45</v>
      </c>
      <c r="AK83">
        <v>57.05</v>
      </c>
      <c r="AL83">
        <v>1</v>
      </c>
      <c r="AM83">
        <v>2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0.02</v>
      </c>
      <c r="AU83" t="s">
        <v>48</v>
      </c>
      <c r="AV83">
        <v>0</v>
      </c>
      <c r="AW83">
        <v>2</v>
      </c>
      <c r="AX83">
        <v>56794204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f>ROUND(Y83*Source!I94*DO83,9)</f>
        <v>2.6123399999999999E-3</v>
      </c>
      <c r="CX83">
        <f>ROUND(Y83*Source!I94,9)</f>
        <v>2.0699999999999999E-4</v>
      </c>
      <c r="CY83">
        <f>AB83</f>
        <v>1518.25</v>
      </c>
      <c r="CZ83">
        <f>AF83</f>
        <v>83.1</v>
      </c>
      <c r="DA83">
        <f>AJ83</f>
        <v>17.45</v>
      </c>
      <c r="DB83">
        <f>ROUND((ROUND(AT83*CZ83,2)*1.15),6)</f>
        <v>1.909</v>
      </c>
      <c r="DC83">
        <f>ROUND((ROUND(AT83*AG83,2)*1.15),6)</f>
        <v>0.28749999999999998</v>
      </c>
      <c r="DD83" t="s">
        <v>3</v>
      </c>
      <c r="DE83" t="s">
        <v>3</v>
      </c>
      <c r="DF83">
        <f>ROUND(ROUND(AE83,2)*CX83,2)</f>
        <v>0</v>
      </c>
      <c r="DG83">
        <f>ROUND(ROUND(AF83*AJ83,2)*CX83,2)</f>
        <v>0.3</v>
      </c>
      <c r="DH83">
        <f>ROUND(ROUND(AG83*AK83,2)*CX83,2)</f>
        <v>0.15</v>
      </c>
      <c r="DI83">
        <f t="shared" si="40"/>
        <v>0</v>
      </c>
      <c r="DJ83">
        <f>DG83</f>
        <v>0.3</v>
      </c>
      <c r="DK83">
        <v>0</v>
      </c>
      <c r="DL83" t="s">
        <v>378</v>
      </c>
      <c r="DM83">
        <v>0</v>
      </c>
      <c r="DN83" t="s">
        <v>356</v>
      </c>
      <c r="DO83">
        <v>12.62</v>
      </c>
    </row>
    <row r="84" spans="1:119" x14ac:dyDescent="0.2">
      <c r="A84">
        <f>ROW(Source!A94)</f>
        <v>94</v>
      </c>
      <c r="B84">
        <v>56793366</v>
      </c>
      <c r="C84">
        <v>56794195</v>
      </c>
      <c r="D84">
        <v>55992520</v>
      </c>
      <c r="E84">
        <v>1</v>
      </c>
      <c r="F84">
        <v>1</v>
      </c>
      <c r="G84">
        <v>1081</v>
      </c>
      <c r="H84">
        <v>2</v>
      </c>
      <c r="I84" t="s">
        <v>400</v>
      </c>
      <c r="J84" t="s">
        <v>401</v>
      </c>
      <c r="K84" t="s">
        <v>402</v>
      </c>
      <c r="L84">
        <v>1368</v>
      </c>
      <c r="N84">
        <v>1011</v>
      </c>
      <c r="O84" t="s">
        <v>377</v>
      </c>
      <c r="P84" t="s">
        <v>377</v>
      </c>
      <c r="Q84">
        <v>1</v>
      </c>
      <c r="W84">
        <v>0</v>
      </c>
      <c r="X84">
        <v>-2083101341</v>
      </c>
      <c r="Y84">
        <f>(AT84*1.15)</f>
        <v>4.9334999999999996</v>
      </c>
      <c r="AA84">
        <v>0</v>
      </c>
      <c r="AB84">
        <v>8.2799999999999994</v>
      </c>
      <c r="AC84">
        <v>0</v>
      </c>
      <c r="AD84">
        <v>0</v>
      </c>
      <c r="AE84">
        <v>0</v>
      </c>
      <c r="AF84">
        <v>0.8</v>
      </c>
      <c r="AG84">
        <v>0</v>
      </c>
      <c r="AH84">
        <v>0</v>
      </c>
      <c r="AI84">
        <v>1</v>
      </c>
      <c r="AJ84">
        <v>9.8800000000000008</v>
      </c>
      <c r="AK84">
        <v>1</v>
      </c>
      <c r="AL84">
        <v>1</v>
      </c>
      <c r="AM84">
        <v>2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4.29</v>
      </c>
      <c r="AU84" t="s">
        <v>48</v>
      </c>
      <c r="AV84">
        <v>0</v>
      </c>
      <c r="AW84">
        <v>2</v>
      </c>
      <c r="AX84">
        <v>56794205</v>
      </c>
      <c r="AY84">
        <v>1</v>
      </c>
      <c r="AZ84">
        <v>2048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f>ROUND(Y84*Source!I94*DO84,9)</f>
        <v>0</v>
      </c>
      <c r="CX84">
        <f>ROUND(Y84*Source!I94,9)</f>
        <v>4.4401500000000003E-2</v>
      </c>
      <c r="CY84">
        <f>AB84</f>
        <v>8.2799999999999994</v>
      </c>
      <c r="CZ84">
        <f>AF84</f>
        <v>0.8</v>
      </c>
      <c r="DA84">
        <f>AJ84</f>
        <v>9.8800000000000008</v>
      </c>
      <c r="DB84">
        <f>ROUND((ROUND(AT84*CZ84,2)*1.15),6)</f>
        <v>3.9445000000000001</v>
      </c>
      <c r="DC84">
        <f>ROUND((ROUND(AT84*AG84,2)*1.15),6)</f>
        <v>0</v>
      </c>
      <c r="DD84" t="s">
        <v>3</v>
      </c>
      <c r="DE84" t="s">
        <v>3</v>
      </c>
      <c r="DF84">
        <f>ROUND(ROUND(AE84,2)*CX84,2)</f>
        <v>0</v>
      </c>
      <c r="DG84">
        <f>ROUND(ROUND(AF84*AJ84,2)*CX84,2)</f>
        <v>0.35</v>
      </c>
      <c r="DH84">
        <f t="shared" ref="DH84:DH93" si="51">ROUND(ROUND(AG84,2)*CX84,2)</f>
        <v>0</v>
      </c>
      <c r="DI84">
        <f t="shared" si="40"/>
        <v>0</v>
      </c>
      <c r="DJ84">
        <f>DG84</f>
        <v>0.35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ROW(Source!A94)</f>
        <v>94</v>
      </c>
      <c r="B85">
        <v>56793366</v>
      </c>
      <c r="C85">
        <v>56794195</v>
      </c>
      <c r="D85">
        <v>55992467</v>
      </c>
      <c r="E85">
        <v>1</v>
      </c>
      <c r="F85">
        <v>1</v>
      </c>
      <c r="G85">
        <v>1081</v>
      </c>
      <c r="H85">
        <v>2</v>
      </c>
      <c r="I85" t="s">
        <v>406</v>
      </c>
      <c r="J85" t="s">
        <v>407</v>
      </c>
      <c r="K85" t="s">
        <v>408</v>
      </c>
      <c r="L85">
        <v>1368</v>
      </c>
      <c r="N85">
        <v>1011</v>
      </c>
      <c r="O85" t="s">
        <v>377</v>
      </c>
      <c r="P85" t="s">
        <v>377</v>
      </c>
      <c r="Q85">
        <v>1</v>
      </c>
      <c r="W85">
        <v>0</v>
      </c>
      <c r="X85">
        <v>1247324715</v>
      </c>
      <c r="Y85">
        <f>(AT85*1.15)</f>
        <v>0.41399999999999998</v>
      </c>
      <c r="AA85">
        <v>0</v>
      </c>
      <c r="AB85">
        <v>4.8899999999999997</v>
      </c>
      <c r="AC85">
        <v>0</v>
      </c>
      <c r="AD85">
        <v>0</v>
      </c>
      <c r="AE85">
        <v>0</v>
      </c>
      <c r="AF85">
        <v>0.36</v>
      </c>
      <c r="AG85">
        <v>0</v>
      </c>
      <c r="AH85">
        <v>0</v>
      </c>
      <c r="AI85">
        <v>1</v>
      </c>
      <c r="AJ85">
        <v>12.97</v>
      </c>
      <c r="AK85">
        <v>1</v>
      </c>
      <c r="AL85">
        <v>1</v>
      </c>
      <c r="AM85">
        <v>2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0.36</v>
      </c>
      <c r="AU85" t="s">
        <v>48</v>
      </c>
      <c r="AV85">
        <v>0</v>
      </c>
      <c r="AW85">
        <v>2</v>
      </c>
      <c r="AX85">
        <v>56794206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f>ROUND(Y85*Source!I94*DO85,9)</f>
        <v>0</v>
      </c>
      <c r="CX85">
        <f>ROUND(Y85*Source!I94,9)</f>
        <v>3.7260000000000001E-3</v>
      </c>
      <c r="CY85">
        <f>AB85</f>
        <v>4.8899999999999997</v>
      </c>
      <c r="CZ85">
        <f>AF85</f>
        <v>0.36</v>
      </c>
      <c r="DA85">
        <f>AJ85</f>
        <v>12.97</v>
      </c>
      <c r="DB85">
        <f>ROUND((ROUND(AT85*CZ85,2)*1.15),6)</f>
        <v>0.14949999999999999</v>
      </c>
      <c r="DC85">
        <f>ROUND((ROUND(AT85*AG85,2)*1.15),6)</f>
        <v>0</v>
      </c>
      <c r="DD85" t="s">
        <v>3</v>
      </c>
      <c r="DE85" t="s">
        <v>3</v>
      </c>
      <c r="DF85">
        <f>ROUND(ROUND(AE85,2)*CX85,2)</f>
        <v>0</v>
      </c>
      <c r="DG85">
        <f>ROUND(ROUND(AF85*AJ85,2)*CX85,2)</f>
        <v>0.02</v>
      </c>
      <c r="DH85">
        <f t="shared" si="51"/>
        <v>0</v>
      </c>
      <c r="DI85">
        <f t="shared" si="40"/>
        <v>0</v>
      </c>
      <c r="DJ85">
        <f>DG85</f>
        <v>0.02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ROW(Source!A94)</f>
        <v>94</v>
      </c>
      <c r="B86">
        <v>56793366</v>
      </c>
      <c r="C86">
        <v>56794195</v>
      </c>
      <c r="D86">
        <v>55992486</v>
      </c>
      <c r="E86">
        <v>1</v>
      </c>
      <c r="F86">
        <v>1</v>
      </c>
      <c r="G86">
        <v>1081</v>
      </c>
      <c r="H86">
        <v>2</v>
      </c>
      <c r="I86" t="s">
        <v>446</v>
      </c>
      <c r="J86" t="s">
        <v>447</v>
      </c>
      <c r="K86" t="s">
        <v>448</v>
      </c>
      <c r="L86">
        <v>1368</v>
      </c>
      <c r="N86">
        <v>1011</v>
      </c>
      <c r="O86" t="s">
        <v>377</v>
      </c>
      <c r="P86" t="s">
        <v>377</v>
      </c>
      <c r="Q86">
        <v>1</v>
      </c>
      <c r="W86">
        <v>0</v>
      </c>
      <c r="X86">
        <v>-643591644</v>
      </c>
      <c r="Y86">
        <f>(AT86*1.15)</f>
        <v>6.7159999999999993</v>
      </c>
      <c r="AA86">
        <v>0</v>
      </c>
      <c r="AB86">
        <v>7.12</v>
      </c>
      <c r="AC86">
        <v>0</v>
      </c>
      <c r="AD86">
        <v>0</v>
      </c>
      <c r="AE86">
        <v>0</v>
      </c>
      <c r="AF86">
        <v>0.47</v>
      </c>
      <c r="AG86">
        <v>0</v>
      </c>
      <c r="AH86">
        <v>0</v>
      </c>
      <c r="AI86">
        <v>1</v>
      </c>
      <c r="AJ86">
        <v>14.47</v>
      </c>
      <c r="AK86">
        <v>1</v>
      </c>
      <c r="AL86">
        <v>1</v>
      </c>
      <c r="AM86">
        <v>2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5.84</v>
      </c>
      <c r="AU86" t="s">
        <v>48</v>
      </c>
      <c r="AV86">
        <v>0</v>
      </c>
      <c r="AW86">
        <v>2</v>
      </c>
      <c r="AX86">
        <v>56794207</v>
      </c>
      <c r="AY86">
        <v>1</v>
      </c>
      <c r="AZ86">
        <v>2048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f>ROUND(Y86*Source!I94*DO86,9)</f>
        <v>0</v>
      </c>
      <c r="CX86">
        <f>ROUND(Y86*Source!I94,9)</f>
        <v>6.0443999999999998E-2</v>
      </c>
      <c r="CY86">
        <f>AB86</f>
        <v>7.12</v>
      </c>
      <c r="CZ86">
        <f>AF86</f>
        <v>0.47</v>
      </c>
      <c r="DA86">
        <f>AJ86</f>
        <v>14.47</v>
      </c>
      <c r="DB86">
        <f>ROUND((ROUND(AT86*CZ86,2)*1.15),6)</f>
        <v>3.1509999999999998</v>
      </c>
      <c r="DC86">
        <f>ROUND((ROUND(AT86*AG86,2)*1.15),6)</f>
        <v>0</v>
      </c>
      <c r="DD86" t="s">
        <v>3</v>
      </c>
      <c r="DE86" t="s">
        <v>3</v>
      </c>
      <c r="DF86">
        <f>ROUND(ROUND(AE86,2)*CX86,2)</f>
        <v>0</v>
      </c>
      <c r="DG86">
        <f>ROUND(ROUND(AF86*AJ86,2)*CX86,2)</f>
        <v>0.41</v>
      </c>
      <c r="DH86">
        <f t="shared" si="51"/>
        <v>0</v>
      </c>
      <c r="DI86">
        <f t="shared" si="40"/>
        <v>0</v>
      </c>
      <c r="DJ86">
        <f>DG86</f>
        <v>0.41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ROW(Source!A94)</f>
        <v>94</v>
      </c>
      <c r="B87">
        <v>56793366</v>
      </c>
      <c r="C87">
        <v>56794195</v>
      </c>
      <c r="D87">
        <v>55961425</v>
      </c>
      <c r="E87">
        <v>1</v>
      </c>
      <c r="F87">
        <v>1</v>
      </c>
      <c r="G87">
        <v>1081</v>
      </c>
      <c r="H87">
        <v>3</v>
      </c>
      <c r="I87" t="s">
        <v>455</v>
      </c>
      <c r="J87" t="s">
        <v>456</v>
      </c>
      <c r="K87" t="s">
        <v>457</v>
      </c>
      <c r="L87">
        <v>1346</v>
      </c>
      <c r="N87">
        <v>1009</v>
      </c>
      <c r="O87" t="s">
        <v>146</v>
      </c>
      <c r="P87" t="s">
        <v>146</v>
      </c>
      <c r="Q87">
        <v>1</v>
      </c>
      <c r="W87">
        <v>0</v>
      </c>
      <c r="X87">
        <v>993680790</v>
      </c>
      <c r="Y87">
        <f>(AT87*1)</f>
        <v>0.94</v>
      </c>
      <c r="AA87">
        <v>141.05000000000001</v>
      </c>
      <c r="AB87">
        <v>0</v>
      </c>
      <c r="AC87">
        <v>0</v>
      </c>
      <c r="AD87">
        <v>0</v>
      </c>
      <c r="AE87">
        <v>48.14</v>
      </c>
      <c r="AF87">
        <v>0</v>
      </c>
      <c r="AG87">
        <v>0</v>
      </c>
      <c r="AH87">
        <v>0</v>
      </c>
      <c r="AI87">
        <v>2.93</v>
      </c>
      <c r="AJ87">
        <v>1</v>
      </c>
      <c r="AK87">
        <v>1</v>
      </c>
      <c r="AL87">
        <v>1</v>
      </c>
      <c r="AM87">
        <v>2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0.94</v>
      </c>
      <c r="AU87" t="s">
        <v>24</v>
      </c>
      <c r="AV87">
        <v>0</v>
      </c>
      <c r="AW87">
        <v>2</v>
      </c>
      <c r="AX87">
        <v>56794208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ROUND(Y87*Source!I94,9)</f>
        <v>8.4600000000000005E-3</v>
      </c>
      <c r="CY87">
        <f>AA87</f>
        <v>141.05000000000001</v>
      </c>
      <c r="CZ87">
        <f>AE87</f>
        <v>48.14</v>
      </c>
      <c r="DA87">
        <f>AI87</f>
        <v>2.93</v>
      </c>
      <c r="DB87">
        <f>ROUND((ROUND(AT87*CZ87,2)*1),6)</f>
        <v>45.25</v>
      </c>
      <c r="DC87">
        <f>ROUND((ROUND(AT87*AG87,2)*1),6)</f>
        <v>0</v>
      </c>
      <c r="DD87" t="s">
        <v>3</v>
      </c>
      <c r="DE87" t="s">
        <v>3</v>
      </c>
      <c r="DF87">
        <f>ROUND(ROUND(AE87*AI87,2)*CX87,2)</f>
        <v>1.19</v>
      </c>
      <c r="DG87">
        <f t="shared" ref="DG87:DG93" si="52">ROUND(ROUND(AF87,2)*CX87,2)</f>
        <v>0</v>
      </c>
      <c r="DH87">
        <f t="shared" si="51"/>
        <v>0</v>
      </c>
      <c r="DI87">
        <f t="shared" si="40"/>
        <v>0</v>
      </c>
      <c r="DJ87">
        <f>DF87</f>
        <v>1.19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ROW(Source!A94)</f>
        <v>94</v>
      </c>
      <c r="B88">
        <v>56793366</v>
      </c>
      <c r="C88">
        <v>56794195</v>
      </c>
      <c r="D88">
        <v>55972357</v>
      </c>
      <c r="E88">
        <v>1</v>
      </c>
      <c r="F88">
        <v>1</v>
      </c>
      <c r="G88">
        <v>1081</v>
      </c>
      <c r="H88">
        <v>3</v>
      </c>
      <c r="I88" t="s">
        <v>209</v>
      </c>
      <c r="J88" t="s">
        <v>211</v>
      </c>
      <c r="K88" t="s">
        <v>210</v>
      </c>
      <c r="L88">
        <v>1301</v>
      </c>
      <c r="N88">
        <v>1003</v>
      </c>
      <c r="O88" t="s">
        <v>201</v>
      </c>
      <c r="P88" t="s">
        <v>201</v>
      </c>
      <c r="Q88">
        <v>1</v>
      </c>
      <c r="W88">
        <v>0</v>
      </c>
      <c r="X88">
        <v>-2062550467</v>
      </c>
      <c r="Y88">
        <f>(AT88*1)</f>
        <v>105</v>
      </c>
      <c r="AA88">
        <v>158.13</v>
      </c>
      <c r="AB88">
        <v>0</v>
      </c>
      <c r="AC88">
        <v>0</v>
      </c>
      <c r="AD88">
        <v>0</v>
      </c>
      <c r="AE88">
        <v>8.7899999999999991</v>
      </c>
      <c r="AF88">
        <v>0</v>
      </c>
      <c r="AG88">
        <v>0</v>
      </c>
      <c r="AH88">
        <v>0</v>
      </c>
      <c r="AI88">
        <v>17.989999999999998</v>
      </c>
      <c r="AJ88">
        <v>1</v>
      </c>
      <c r="AK88">
        <v>1</v>
      </c>
      <c r="AL88">
        <v>1</v>
      </c>
      <c r="AM88">
        <v>0</v>
      </c>
      <c r="AN88">
        <v>0</v>
      </c>
      <c r="AO88">
        <v>0</v>
      </c>
      <c r="AP88">
        <v>1</v>
      </c>
      <c r="AQ88">
        <v>0</v>
      </c>
      <c r="AR88">
        <v>0</v>
      </c>
      <c r="AS88" t="s">
        <v>3</v>
      </c>
      <c r="AT88">
        <v>105</v>
      </c>
      <c r="AU88" t="s">
        <v>24</v>
      </c>
      <c r="AV88">
        <v>0</v>
      </c>
      <c r="AW88">
        <v>1</v>
      </c>
      <c r="AX88">
        <v>-1</v>
      </c>
      <c r="AY88">
        <v>0</v>
      </c>
      <c r="AZ88">
        <v>0</v>
      </c>
      <c r="BA88" t="s">
        <v>3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ROUND(Y88*Source!I94,9)</f>
        <v>0.94499999999999995</v>
      </c>
      <c r="CY88">
        <f>AA88</f>
        <v>158.13</v>
      </c>
      <c r="CZ88">
        <f>AE88</f>
        <v>8.7899999999999991</v>
      </c>
      <c r="DA88">
        <f>AI88</f>
        <v>17.989999999999998</v>
      </c>
      <c r="DB88">
        <f>ROUND((ROUND(AT88*CZ88,2)*1),6)</f>
        <v>922.95</v>
      </c>
      <c r="DC88">
        <f>ROUND((ROUND(AT88*AG88,2)*1),6)</f>
        <v>0</v>
      </c>
      <c r="DD88" t="s">
        <v>3</v>
      </c>
      <c r="DE88" t="s">
        <v>3</v>
      </c>
      <c r="DF88">
        <f>ROUND(ROUND(AE88*AI88,2)*CX88,2)</f>
        <v>149.43</v>
      </c>
      <c r="DG88">
        <f t="shared" si="52"/>
        <v>0</v>
      </c>
      <c r="DH88">
        <f t="shared" si="51"/>
        <v>0</v>
      </c>
      <c r="DI88">
        <f t="shared" si="40"/>
        <v>0</v>
      </c>
      <c r="DJ88">
        <f>DF88</f>
        <v>149.43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ROW(Source!A131)</f>
        <v>131</v>
      </c>
      <c r="B89">
        <v>56793366</v>
      </c>
      <c r="C89">
        <v>56794268</v>
      </c>
      <c r="D89">
        <v>55926487</v>
      </c>
      <c r="E89">
        <v>1081</v>
      </c>
      <c r="F89">
        <v>1</v>
      </c>
      <c r="G89">
        <v>1081</v>
      </c>
      <c r="H89">
        <v>1</v>
      </c>
      <c r="I89" t="s">
        <v>354</v>
      </c>
      <c r="J89" t="s">
        <v>3</v>
      </c>
      <c r="K89" t="s">
        <v>355</v>
      </c>
      <c r="L89">
        <v>1191</v>
      </c>
      <c r="N89">
        <v>1013</v>
      </c>
      <c r="O89" t="s">
        <v>356</v>
      </c>
      <c r="P89" t="s">
        <v>356</v>
      </c>
      <c r="Q89">
        <v>1</v>
      </c>
      <c r="W89">
        <v>0</v>
      </c>
      <c r="X89">
        <v>476480486</v>
      </c>
      <c r="Y89">
        <f>AT89</f>
        <v>0.6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0.6</v>
      </c>
      <c r="AU89" t="s">
        <v>3</v>
      </c>
      <c r="AV89">
        <v>1</v>
      </c>
      <c r="AW89">
        <v>2</v>
      </c>
      <c r="AX89">
        <v>56794270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U89">
        <f>ROUND(AT89*Source!I131*AH89*AL89,2)</f>
        <v>0</v>
      </c>
      <c r="CV89">
        <f>ROUND(Y89*Source!I131,9)</f>
        <v>25.92</v>
      </c>
      <c r="CW89">
        <v>0</v>
      </c>
      <c r="CX89">
        <f>ROUND(Y89*Source!I131,9)</f>
        <v>25.92</v>
      </c>
      <c r="CY89">
        <f>AD89</f>
        <v>0</v>
      </c>
      <c r="CZ89">
        <f>AH89</f>
        <v>0</v>
      </c>
      <c r="DA89">
        <f>AL89</f>
        <v>1</v>
      </c>
      <c r="DB89">
        <f>ROUND(ROUND(AT89*CZ89,2),6)</f>
        <v>0</v>
      </c>
      <c r="DC89">
        <f>ROUND(ROUND(AT89*AG89,2),6)</f>
        <v>0</v>
      </c>
      <c r="DD89" t="s">
        <v>3</v>
      </c>
      <c r="DE89" t="s">
        <v>3</v>
      </c>
      <c r="DF89">
        <f>ROUND(ROUND(AE89,2)*CX89,2)</f>
        <v>0</v>
      </c>
      <c r="DG89">
        <f t="shared" si="52"/>
        <v>0</v>
      </c>
      <c r="DH89">
        <f t="shared" si="51"/>
        <v>0</v>
      </c>
      <c r="DI89">
        <f t="shared" si="40"/>
        <v>0</v>
      </c>
      <c r="DJ89">
        <f>DI89</f>
        <v>0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ROW(Source!A132)</f>
        <v>132</v>
      </c>
      <c r="B90">
        <v>56793366</v>
      </c>
      <c r="C90">
        <v>56794271</v>
      </c>
      <c r="D90">
        <v>55926487</v>
      </c>
      <c r="E90">
        <v>1081</v>
      </c>
      <c r="F90">
        <v>1</v>
      </c>
      <c r="G90">
        <v>1081</v>
      </c>
      <c r="H90">
        <v>1</v>
      </c>
      <c r="I90" t="s">
        <v>354</v>
      </c>
      <c r="J90" t="s">
        <v>3</v>
      </c>
      <c r="K90" t="s">
        <v>355</v>
      </c>
      <c r="L90">
        <v>1191</v>
      </c>
      <c r="N90">
        <v>1013</v>
      </c>
      <c r="O90" t="s">
        <v>356</v>
      </c>
      <c r="P90" t="s">
        <v>356</v>
      </c>
      <c r="Q90">
        <v>1</v>
      </c>
      <c r="W90">
        <v>0</v>
      </c>
      <c r="X90">
        <v>476480486</v>
      </c>
      <c r="Y90">
        <f>AT90</f>
        <v>174.1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174.1</v>
      </c>
      <c r="AU90" t="s">
        <v>3</v>
      </c>
      <c r="AV90">
        <v>1</v>
      </c>
      <c r="AW90">
        <v>2</v>
      </c>
      <c r="AX90">
        <v>56794275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U90">
        <f>ROUND(AT90*Source!I132*AH90*AL90,2)</f>
        <v>0</v>
      </c>
      <c r="CV90">
        <f>ROUND(Y90*Source!I132,9)</f>
        <v>30.084479999999999</v>
      </c>
      <c r="CW90">
        <v>0</v>
      </c>
      <c r="CX90">
        <f>ROUND(Y90*Source!I132,9)</f>
        <v>30.084479999999999</v>
      </c>
      <c r="CY90">
        <f>AD90</f>
        <v>0</v>
      </c>
      <c r="CZ90">
        <f>AH90</f>
        <v>0</v>
      </c>
      <c r="DA90">
        <f>AL90</f>
        <v>1</v>
      </c>
      <c r="DB90">
        <f>ROUND(ROUND(AT90*CZ90,2),6)</f>
        <v>0</v>
      </c>
      <c r="DC90">
        <f>ROUND(ROUND(AT90*AG90,2),6)</f>
        <v>0</v>
      </c>
      <c r="DD90" t="s">
        <v>3</v>
      </c>
      <c r="DE90" t="s">
        <v>3</v>
      </c>
      <c r="DF90">
        <f>ROUND(ROUND(AE90,2)*CX90,2)</f>
        <v>0</v>
      </c>
      <c r="DG90">
        <f t="shared" si="52"/>
        <v>0</v>
      </c>
      <c r="DH90">
        <f t="shared" si="51"/>
        <v>0</v>
      </c>
      <c r="DI90">
        <f t="shared" si="40"/>
        <v>0</v>
      </c>
      <c r="DJ90">
        <f>DI90</f>
        <v>0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ROW(Source!A132)</f>
        <v>132</v>
      </c>
      <c r="B91">
        <v>56793366</v>
      </c>
      <c r="C91">
        <v>56794271</v>
      </c>
      <c r="D91">
        <v>55968896</v>
      </c>
      <c r="E91">
        <v>1</v>
      </c>
      <c r="F91">
        <v>1</v>
      </c>
      <c r="G91">
        <v>1081</v>
      </c>
      <c r="H91">
        <v>3</v>
      </c>
      <c r="I91" t="s">
        <v>227</v>
      </c>
      <c r="J91" t="s">
        <v>229</v>
      </c>
      <c r="K91" t="s">
        <v>228</v>
      </c>
      <c r="L91">
        <v>1339</v>
      </c>
      <c r="N91">
        <v>1007</v>
      </c>
      <c r="O91" t="s">
        <v>151</v>
      </c>
      <c r="P91" t="s">
        <v>151</v>
      </c>
      <c r="Q91">
        <v>1</v>
      </c>
      <c r="W91">
        <v>0</v>
      </c>
      <c r="X91">
        <v>231842433</v>
      </c>
      <c r="Y91">
        <f>(AT91*1)</f>
        <v>2.2000000000000002</v>
      </c>
      <c r="AA91">
        <v>3965.36</v>
      </c>
      <c r="AB91">
        <v>0</v>
      </c>
      <c r="AC91">
        <v>0</v>
      </c>
      <c r="AD91">
        <v>0</v>
      </c>
      <c r="AE91">
        <v>529.41999999999996</v>
      </c>
      <c r="AF91">
        <v>0</v>
      </c>
      <c r="AG91">
        <v>0</v>
      </c>
      <c r="AH91">
        <v>0</v>
      </c>
      <c r="AI91">
        <v>7.49</v>
      </c>
      <c r="AJ91">
        <v>1</v>
      </c>
      <c r="AK91">
        <v>1</v>
      </c>
      <c r="AL91">
        <v>1</v>
      </c>
      <c r="AM91">
        <v>0</v>
      </c>
      <c r="AN91">
        <v>0</v>
      </c>
      <c r="AO91">
        <v>0</v>
      </c>
      <c r="AP91">
        <v>1</v>
      </c>
      <c r="AQ91">
        <v>0</v>
      </c>
      <c r="AR91">
        <v>0</v>
      </c>
      <c r="AS91" t="s">
        <v>3</v>
      </c>
      <c r="AT91">
        <v>2.2000000000000002</v>
      </c>
      <c r="AU91" t="s">
        <v>24</v>
      </c>
      <c r="AV91">
        <v>0</v>
      </c>
      <c r="AW91">
        <v>1</v>
      </c>
      <c r="AX91">
        <v>-1</v>
      </c>
      <c r="AY91">
        <v>0</v>
      </c>
      <c r="AZ91">
        <v>0</v>
      </c>
      <c r="BA91" t="s">
        <v>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ROUND(Y91*Source!I132,9)</f>
        <v>0.38016</v>
      </c>
      <c r="CY91">
        <f>AA91</f>
        <v>3965.36</v>
      </c>
      <c r="CZ91">
        <f>AE91</f>
        <v>529.41999999999996</v>
      </c>
      <c r="DA91">
        <f>AI91</f>
        <v>7.49</v>
      </c>
      <c r="DB91">
        <f>ROUND((ROUND(AT91*CZ91,2)*1),6)</f>
        <v>1164.72</v>
      </c>
      <c r="DC91">
        <f>ROUND((ROUND(AT91*AG91,2)*1),6)</f>
        <v>0</v>
      </c>
      <c r="DD91" t="s">
        <v>3</v>
      </c>
      <c r="DE91" t="s">
        <v>3</v>
      </c>
      <c r="DF91">
        <f>ROUND(ROUND(AE91*AI91,2)*CX91,2)</f>
        <v>1507.47</v>
      </c>
      <c r="DG91">
        <f t="shared" si="52"/>
        <v>0</v>
      </c>
      <c r="DH91">
        <f t="shared" si="51"/>
        <v>0</v>
      </c>
      <c r="DI91">
        <f t="shared" si="40"/>
        <v>0</v>
      </c>
      <c r="DJ91">
        <f>DF91</f>
        <v>1507.47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ROW(Source!A132)</f>
        <v>132</v>
      </c>
      <c r="B92">
        <v>56793366</v>
      </c>
      <c r="C92">
        <v>56794271</v>
      </c>
      <c r="D92">
        <v>55926471</v>
      </c>
      <c r="E92">
        <v>1081</v>
      </c>
      <c r="F92">
        <v>1</v>
      </c>
      <c r="G92">
        <v>1081</v>
      </c>
      <c r="H92">
        <v>3</v>
      </c>
      <c r="I92" t="s">
        <v>357</v>
      </c>
      <c r="J92" t="s">
        <v>3</v>
      </c>
      <c r="K92" t="s">
        <v>358</v>
      </c>
      <c r="L92">
        <v>1348</v>
      </c>
      <c r="N92">
        <v>1009</v>
      </c>
      <c r="O92" t="s">
        <v>239</v>
      </c>
      <c r="P92" t="s">
        <v>239</v>
      </c>
      <c r="Q92">
        <v>1000</v>
      </c>
      <c r="W92">
        <v>0</v>
      </c>
      <c r="X92">
        <v>1489638031</v>
      </c>
      <c r="Y92">
        <f>(AT92*1)</f>
        <v>3.38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-2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3.38</v>
      </c>
      <c r="AU92" t="s">
        <v>24</v>
      </c>
      <c r="AV92">
        <v>0</v>
      </c>
      <c r="AW92">
        <v>2</v>
      </c>
      <c r="AX92">
        <v>56794277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ROUND(Y92*Source!I132,9)</f>
        <v>0.58406400000000003</v>
      </c>
      <c r="CY92">
        <f>AA92</f>
        <v>0</v>
      </c>
      <c r="CZ92">
        <f>AE92</f>
        <v>0</v>
      </c>
      <c r="DA92">
        <f>AI92</f>
        <v>1</v>
      </c>
      <c r="DB92">
        <f>ROUND((ROUND(AT92*CZ92,2)*1),6)</f>
        <v>0</v>
      </c>
      <c r="DC92">
        <f>ROUND((ROUND(AT92*AG92,2)*1),6)</f>
        <v>0</v>
      </c>
      <c r="DD92" t="s">
        <v>3</v>
      </c>
      <c r="DE92" t="s">
        <v>3</v>
      </c>
      <c r="DF92">
        <f>ROUND(ROUND(AE92,2)*CX92,2)</f>
        <v>0</v>
      </c>
      <c r="DG92">
        <f t="shared" si="52"/>
        <v>0</v>
      </c>
      <c r="DH92">
        <f t="shared" si="51"/>
        <v>0</v>
      </c>
      <c r="DI92">
        <f t="shared" si="40"/>
        <v>0</v>
      </c>
      <c r="DJ92">
        <f>DF92</f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ROW(Source!A134)</f>
        <v>134</v>
      </c>
      <c r="B93">
        <v>56793366</v>
      </c>
      <c r="C93">
        <v>56794279</v>
      </c>
      <c r="D93">
        <v>55926487</v>
      </c>
      <c r="E93">
        <v>1081</v>
      </c>
      <c r="F93">
        <v>1</v>
      </c>
      <c r="G93">
        <v>1081</v>
      </c>
      <c r="H93">
        <v>1</v>
      </c>
      <c r="I93" t="s">
        <v>354</v>
      </c>
      <c r="J93" t="s">
        <v>3</v>
      </c>
      <c r="K93" t="s">
        <v>355</v>
      </c>
      <c r="L93">
        <v>1191</v>
      </c>
      <c r="N93">
        <v>1013</v>
      </c>
      <c r="O93" t="s">
        <v>356</v>
      </c>
      <c r="P93" t="s">
        <v>356</v>
      </c>
      <c r="Q93">
        <v>1</v>
      </c>
      <c r="W93">
        <v>0</v>
      </c>
      <c r="X93">
        <v>476480486</v>
      </c>
      <c r="Y93">
        <f>(AT93*1.15)</f>
        <v>44.0565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-2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38.31</v>
      </c>
      <c r="AU93" t="s">
        <v>48</v>
      </c>
      <c r="AV93">
        <v>1</v>
      </c>
      <c r="AW93">
        <v>2</v>
      </c>
      <c r="AX93">
        <v>56794290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U93">
        <f>ROUND(AT93*Source!I134*AH93*AL93,2)</f>
        <v>0</v>
      </c>
      <c r="CV93">
        <f>ROUND(Y93*Source!I134,9)</f>
        <v>19.032408</v>
      </c>
      <c r="CW93">
        <v>0</v>
      </c>
      <c r="CX93">
        <f>ROUND(Y93*Source!I134,9)</f>
        <v>19.032408</v>
      </c>
      <c r="CY93">
        <f>AD93</f>
        <v>0</v>
      </c>
      <c r="CZ93">
        <f>AH93</f>
        <v>0</v>
      </c>
      <c r="DA93">
        <f>AL93</f>
        <v>1</v>
      </c>
      <c r="DB93">
        <f>ROUND((ROUND(AT93*CZ93,2)*1.15),6)</f>
        <v>0</v>
      </c>
      <c r="DC93">
        <f>ROUND((ROUND(AT93*AG93,2)*1.15),6)</f>
        <v>0</v>
      </c>
      <c r="DD93" t="s">
        <v>3</v>
      </c>
      <c r="DE93" t="s">
        <v>3</v>
      </c>
      <c r="DF93">
        <f>ROUND(ROUND(AE93,2)*CX93,2)</f>
        <v>0</v>
      </c>
      <c r="DG93">
        <f t="shared" si="52"/>
        <v>0</v>
      </c>
      <c r="DH93">
        <f t="shared" si="51"/>
        <v>0</v>
      </c>
      <c r="DI93">
        <f t="shared" si="40"/>
        <v>0</v>
      </c>
      <c r="DJ93">
        <f>DI93</f>
        <v>0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ROW(Source!A134)</f>
        <v>134</v>
      </c>
      <c r="B94">
        <v>56793366</v>
      </c>
      <c r="C94">
        <v>56794279</v>
      </c>
      <c r="D94">
        <v>55992399</v>
      </c>
      <c r="E94">
        <v>1</v>
      </c>
      <c r="F94">
        <v>1</v>
      </c>
      <c r="G94">
        <v>1081</v>
      </c>
      <c r="H94">
        <v>2</v>
      </c>
      <c r="I94" t="s">
        <v>374</v>
      </c>
      <c r="J94" t="s">
        <v>375</v>
      </c>
      <c r="K94" t="s">
        <v>376</v>
      </c>
      <c r="L94">
        <v>1368</v>
      </c>
      <c r="N94">
        <v>1011</v>
      </c>
      <c r="O94" t="s">
        <v>377</v>
      </c>
      <c r="P94" t="s">
        <v>377</v>
      </c>
      <c r="Q94">
        <v>1</v>
      </c>
      <c r="W94">
        <v>0</v>
      </c>
      <c r="X94">
        <v>874612079</v>
      </c>
      <c r="Y94">
        <f>(AT94*1.15)</f>
        <v>0.10349999999999999</v>
      </c>
      <c r="AA94">
        <v>0</v>
      </c>
      <c r="AB94">
        <v>1486.35</v>
      </c>
      <c r="AC94">
        <v>737.97</v>
      </c>
      <c r="AD94">
        <v>0</v>
      </c>
      <c r="AE94">
        <v>0</v>
      </c>
      <c r="AF94">
        <v>83.1</v>
      </c>
      <c r="AG94">
        <v>12.62</v>
      </c>
      <c r="AH94">
        <v>0</v>
      </c>
      <c r="AI94">
        <v>1</v>
      </c>
      <c r="AJ94">
        <v>17.45</v>
      </c>
      <c r="AK94">
        <v>57.05</v>
      </c>
      <c r="AL94">
        <v>1</v>
      </c>
      <c r="AM94">
        <v>2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0.09</v>
      </c>
      <c r="AU94" t="s">
        <v>48</v>
      </c>
      <c r="AV94">
        <v>0</v>
      </c>
      <c r="AW94">
        <v>2</v>
      </c>
      <c r="AX94">
        <v>56794291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f>ROUND(Y94*Source!I134*DO94,9)</f>
        <v>0.56426544000000001</v>
      </c>
      <c r="CX94">
        <f>ROUND(Y94*Source!I134,9)</f>
        <v>4.4712000000000002E-2</v>
      </c>
      <c r="CY94">
        <f>AB94</f>
        <v>1486.35</v>
      </c>
      <c r="CZ94">
        <f>AF94</f>
        <v>83.1</v>
      </c>
      <c r="DA94">
        <f>AJ94</f>
        <v>17.45</v>
      </c>
      <c r="DB94">
        <f>ROUND((ROUND(AT94*CZ94,2)*1.15),6)</f>
        <v>8.6020000000000003</v>
      </c>
      <c r="DC94">
        <f>ROUND((ROUND(AT94*AG94,2)*1.15),6)</f>
        <v>1.3109999999999999</v>
      </c>
      <c r="DD94" t="s">
        <v>3</v>
      </c>
      <c r="DE94" t="s">
        <v>3</v>
      </c>
      <c r="DF94">
        <f>ROUND(ROUND(AE94,2)*CX94,2)</f>
        <v>0</v>
      </c>
      <c r="DG94">
        <f>ROUND(ROUND(AF94*AJ94,2)*CX94,2)</f>
        <v>64.84</v>
      </c>
      <c r="DH94">
        <f>ROUND(ROUND(AG94*AK94,2)*CX94,2)</f>
        <v>32.19</v>
      </c>
      <c r="DI94">
        <f t="shared" si="40"/>
        <v>0</v>
      </c>
      <c r="DJ94">
        <f>DG94</f>
        <v>64.84</v>
      </c>
      <c r="DK94">
        <v>0</v>
      </c>
      <c r="DL94" t="s">
        <v>378</v>
      </c>
      <c r="DM94">
        <v>0</v>
      </c>
      <c r="DN94" t="s">
        <v>356</v>
      </c>
      <c r="DO94">
        <v>12.62</v>
      </c>
    </row>
    <row r="95" spans="1:119" x14ac:dyDescent="0.2">
      <c r="A95">
        <f>ROW(Source!A134)</f>
        <v>134</v>
      </c>
      <c r="B95">
        <v>56793366</v>
      </c>
      <c r="C95">
        <v>56794279</v>
      </c>
      <c r="D95">
        <v>55991703</v>
      </c>
      <c r="E95">
        <v>1</v>
      </c>
      <c r="F95">
        <v>1</v>
      </c>
      <c r="G95">
        <v>1081</v>
      </c>
      <c r="H95">
        <v>2</v>
      </c>
      <c r="I95" t="s">
        <v>458</v>
      </c>
      <c r="J95" t="s">
        <v>459</v>
      </c>
      <c r="K95" t="s">
        <v>460</v>
      </c>
      <c r="L95">
        <v>1368</v>
      </c>
      <c r="N95">
        <v>1011</v>
      </c>
      <c r="O95" t="s">
        <v>377</v>
      </c>
      <c r="P95" t="s">
        <v>377</v>
      </c>
      <c r="Q95">
        <v>1</v>
      </c>
      <c r="W95">
        <v>0</v>
      </c>
      <c r="X95">
        <v>-1520980008</v>
      </c>
      <c r="Y95">
        <f>(AT95*1.15)</f>
        <v>1.15E-2</v>
      </c>
      <c r="AA95">
        <v>0</v>
      </c>
      <c r="AB95">
        <v>1943.24</v>
      </c>
      <c r="AC95">
        <v>737.97</v>
      </c>
      <c r="AD95">
        <v>0</v>
      </c>
      <c r="AE95">
        <v>0</v>
      </c>
      <c r="AF95">
        <v>114.83</v>
      </c>
      <c r="AG95">
        <v>12.62</v>
      </c>
      <c r="AH95">
        <v>0</v>
      </c>
      <c r="AI95">
        <v>1</v>
      </c>
      <c r="AJ95">
        <v>16.510000000000002</v>
      </c>
      <c r="AK95">
        <v>57.05</v>
      </c>
      <c r="AL95">
        <v>1</v>
      </c>
      <c r="AM95">
        <v>2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0.01</v>
      </c>
      <c r="AU95" t="s">
        <v>48</v>
      </c>
      <c r="AV95">
        <v>0</v>
      </c>
      <c r="AW95">
        <v>2</v>
      </c>
      <c r="AX95">
        <v>56794292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f>ROUND(Y95*Source!I134*DO95,9)</f>
        <v>6.2696160000000001E-2</v>
      </c>
      <c r="CX95">
        <f>ROUND(Y95*Source!I134,9)</f>
        <v>4.9680000000000002E-3</v>
      </c>
      <c r="CY95">
        <f>AB95</f>
        <v>1943.24</v>
      </c>
      <c r="CZ95">
        <f>AF95</f>
        <v>114.83</v>
      </c>
      <c r="DA95">
        <f>AJ95</f>
        <v>16.510000000000002</v>
      </c>
      <c r="DB95">
        <f>ROUND((ROUND(AT95*CZ95,2)*1.15),6)</f>
        <v>1.3225</v>
      </c>
      <c r="DC95">
        <f>ROUND((ROUND(AT95*AG95,2)*1.15),6)</f>
        <v>0.14949999999999999</v>
      </c>
      <c r="DD95" t="s">
        <v>3</v>
      </c>
      <c r="DE95" t="s">
        <v>3</v>
      </c>
      <c r="DF95">
        <f>ROUND(ROUND(AE95,2)*CX95,2)</f>
        <v>0</v>
      </c>
      <c r="DG95">
        <f>ROUND(ROUND(AF95*AJ95,2)*CX95,2)</f>
        <v>9.42</v>
      </c>
      <c r="DH95">
        <f>ROUND(ROUND(AG95*AK95,2)*CX95,2)</f>
        <v>3.58</v>
      </c>
      <c r="DI95">
        <f t="shared" si="40"/>
        <v>0</v>
      </c>
      <c r="DJ95">
        <f>DG95</f>
        <v>9.42</v>
      </c>
      <c r="DK95">
        <v>0</v>
      </c>
      <c r="DL95" t="s">
        <v>378</v>
      </c>
      <c r="DM95">
        <v>0</v>
      </c>
      <c r="DN95" t="s">
        <v>356</v>
      </c>
      <c r="DO95">
        <v>12.62</v>
      </c>
    </row>
    <row r="96" spans="1:119" x14ac:dyDescent="0.2">
      <c r="A96">
        <f>ROW(Source!A134)</f>
        <v>134</v>
      </c>
      <c r="B96">
        <v>56793366</v>
      </c>
      <c r="C96">
        <v>56794279</v>
      </c>
      <c r="D96">
        <v>55991899</v>
      </c>
      <c r="E96">
        <v>1</v>
      </c>
      <c r="F96">
        <v>1</v>
      </c>
      <c r="G96">
        <v>1081</v>
      </c>
      <c r="H96">
        <v>2</v>
      </c>
      <c r="I96" t="s">
        <v>461</v>
      </c>
      <c r="J96" t="s">
        <v>462</v>
      </c>
      <c r="K96" t="s">
        <v>463</v>
      </c>
      <c r="L96">
        <v>1368</v>
      </c>
      <c r="N96">
        <v>1011</v>
      </c>
      <c r="O96" t="s">
        <v>377</v>
      </c>
      <c r="P96" t="s">
        <v>377</v>
      </c>
      <c r="Q96">
        <v>1</v>
      </c>
      <c r="W96">
        <v>0</v>
      </c>
      <c r="X96">
        <v>-1291947616</v>
      </c>
      <c r="Y96">
        <f>(AT96*1.15)</f>
        <v>0.72449999999999992</v>
      </c>
      <c r="AA96">
        <v>0</v>
      </c>
      <c r="AB96">
        <v>2.0499999999999998</v>
      </c>
      <c r="AC96">
        <v>0</v>
      </c>
      <c r="AD96">
        <v>0</v>
      </c>
      <c r="AE96">
        <v>0</v>
      </c>
      <c r="AF96">
        <v>0.17</v>
      </c>
      <c r="AG96">
        <v>0</v>
      </c>
      <c r="AH96">
        <v>0</v>
      </c>
      <c r="AI96">
        <v>1</v>
      </c>
      <c r="AJ96">
        <v>11.76</v>
      </c>
      <c r="AK96">
        <v>1</v>
      </c>
      <c r="AL96">
        <v>1</v>
      </c>
      <c r="AM96">
        <v>2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0.63</v>
      </c>
      <c r="AU96" t="s">
        <v>48</v>
      </c>
      <c r="AV96">
        <v>0</v>
      </c>
      <c r="AW96">
        <v>2</v>
      </c>
      <c r="AX96">
        <v>56794293</v>
      </c>
      <c r="AY96">
        <v>1</v>
      </c>
      <c r="AZ96">
        <v>2048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f>ROUND(Y96*Source!I134*DO96,9)</f>
        <v>0</v>
      </c>
      <c r="CX96">
        <f>ROUND(Y96*Source!I134,9)</f>
        <v>0.31298399999999998</v>
      </c>
      <c r="CY96">
        <f>AB96</f>
        <v>2.0499999999999998</v>
      </c>
      <c r="CZ96">
        <f>AF96</f>
        <v>0.17</v>
      </c>
      <c r="DA96">
        <f>AJ96</f>
        <v>11.76</v>
      </c>
      <c r="DB96">
        <f>ROUND((ROUND(AT96*CZ96,2)*1.15),6)</f>
        <v>0.1265</v>
      </c>
      <c r="DC96">
        <f>ROUND((ROUND(AT96*AG96,2)*1.15),6)</f>
        <v>0</v>
      </c>
      <c r="DD96" t="s">
        <v>3</v>
      </c>
      <c r="DE96" t="s">
        <v>3</v>
      </c>
      <c r="DF96">
        <f>ROUND(ROUND(AE96,2)*CX96,2)</f>
        <v>0</v>
      </c>
      <c r="DG96">
        <f>ROUND(ROUND(AF96*AJ96,2)*CX96,2)</f>
        <v>0.63</v>
      </c>
      <c r="DH96">
        <f t="shared" ref="DH96:DH103" si="53">ROUND(ROUND(AG96,2)*CX96,2)</f>
        <v>0</v>
      </c>
      <c r="DI96">
        <f t="shared" si="40"/>
        <v>0</v>
      </c>
      <c r="DJ96">
        <f>DG96</f>
        <v>0.63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ROW(Source!A134)</f>
        <v>134</v>
      </c>
      <c r="B97">
        <v>56793366</v>
      </c>
      <c r="C97">
        <v>56794279</v>
      </c>
      <c r="D97">
        <v>55961424</v>
      </c>
      <c r="E97">
        <v>1</v>
      </c>
      <c r="F97">
        <v>1</v>
      </c>
      <c r="G97">
        <v>1081</v>
      </c>
      <c r="H97">
        <v>3</v>
      </c>
      <c r="I97" t="s">
        <v>464</v>
      </c>
      <c r="J97" t="s">
        <v>465</v>
      </c>
      <c r="K97" t="s">
        <v>466</v>
      </c>
      <c r="L97">
        <v>1346</v>
      </c>
      <c r="N97">
        <v>1009</v>
      </c>
      <c r="O97" t="s">
        <v>146</v>
      </c>
      <c r="P97" t="s">
        <v>146</v>
      </c>
      <c r="Q97">
        <v>1</v>
      </c>
      <c r="W97">
        <v>0</v>
      </c>
      <c r="X97">
        <v>1343467368</v>
      </c>
      <c r="Y97">
        <f t="shared" ref="Y97:Y102" si="54">(AT97*1)</f>
        <v>0.1</v>
      </c>
      <c r="AA97">
        <v>21.25</v>
      </c>
      <c r="AB97">
        <v>0</v>
      </c>
      <c r="AC97">
        <v>0</v>
      </c>
      <c r="AD97">
        <v>0</v>
      </c>
      <c r="AE97">
        <v>1.61</v>
      </c>
      <c r="AF97">
        <v>0</v>
      </c>
      <c r="AG97">
        <v>0</v>
      </c>
      <c r="AH97">
        <v>0</v>
      </c>
      <c r="AI97">
        <v>13.2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0.1</v>
      </c>
      <c r="AU97" t="s">
        <v>24</v>
      </c>
      <c r="AV97">
        <v>0</v>
      </c>
      <c r="AW97">
        <v>2</v>
      </c>
      <c r="AX97">
        <v>56794294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ROUND(Y97*Source!I134,9)</f>
        <v>4.3200000000000002E-2</v>
      </c>
      <c r="CY97">
        <f t="shared" ref="CY97:CY102" si="55">AA97</f>
        <v>21.25</v>
      </c>
      <c r="CZ97">
        <f t="shared" ref="CZ97:CZ102" si="56">AE97</f>
        <v>1.61</v>
      </c>
      <c r="DA97">
        <f t="shared" ref="DA97:DA102" si="57">AI97</f>
        <v>13.2</v>
      </c>
      <c r="DB97">
        <f t="shared" ref="DB97:DB102" si="58">ROUND((ROUND(AT97*CZ97,2)*1),6)</f>
        <v>0.16</v>
      </c>
      <c r="DC97">
        <f t="shared" ref="DC97:DC102" si="59">ROUND((ROUND(AT97*AG97,2)*1),6)</f>
        <v>0</v>
      </c>
      <c r="DD97" t="s">
        <v>3</v>
      </c>
      <c r="DE97" t="s">
        <v>3</v>
      </c>
      <c r="DF97">
        <f t="shared" ref="DF97:DF102" si="60">ROUND(ROUND(AE97*AI97,2)*CX97,2)</f>
        <v>0.92</v>
      </c>
      <c r="DG97">
        <f t="shared" ref="DG97:DG103" si="61">ROUND(ROUND(AF97,2)*CX97,2)</f>
        <v>0</v>
      </c>
      <c r="DH97">
        <f t="shared" si="53"/>
        <v>0</v>
      </c>
      <c r="DI97">
        <f t="shared" ref="DI97:DI133" si="62">ROUND(ROUND(AH97,2)*CX97,2)</f>
        <v>0</v>
      </c>
      <c r="DJ97">
        <f t="shared" ref="DJ97:DJ102" si="63">DF97</f>
        <v>0.92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ROW(Source!A134)</f>
        <v>134</v>
      </c>
      <c r="B98">
        <v>56793366</v>
      </c>
      <c r="C98">
        <v>56794279</v>
      </c>
      <c r="D98">
        <v>55961427</v>
      </c>
      <c r="E98">
        <v>1</v>
      </c>
      <c r="F98">
        <v>1</v>
      </c>
      <c r="G98">
        <v>1081</v>
      </c>
      <c r="H98">
        <v>3</v>
      </c>
      <c r="I98" t="s">
        <v>424</v>
      </c>
      <c r="J98" t="s">
        <v>425</v>
      </c>
      <c r="K98" t="s">
        <v>426</v>
      </c>
      <c r="L98">
        <v>1339</v>
      </c>
      <c r="N98">
        <v>1007</v>
      </c>
      <c r="O98" t="s">
        <v>151</v>
      </c>
      <c r="P98" t="s">
        <v>151</v>
      </c>
      <c r="Q98">
        <v>1</v>
      </c>
      <c r="W98">
        <v>0</v>
      </c>
      <c r="X98">
        <v>-1622585150</v>
      </c>
      <c r="Y98">
        <f t="shared" si="54"/>
        <v>4.8300000000000003E-2</v>
      </c>
      <c r="AA98">
        <v>54.79</v>
      </c>
      <c r="AB98">
        <v>0</v>
      </c>
      <c r="AC98">
        <v>0</v>
      </c>
      <c r="AD98">
        <v>0</v>
      </c>
      <c r="AE98">
        <v>7.07</v>
      </c>
      <c r="AF98">
        <v>0</v>
      </c>
      <c r="AG98">
        <v>0</v>
      </c>
      <c r="AH98">
        <v>0</v>
      </c>
      <c r="AI98">
        <v>7.75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4.8300000000000003E-2</v>
      </c>
      <c r="AU98" t="s">
        <v>24</v>
      </c>
      <c r="AV98">
        <v>0</v>
      </c>
      <c r="AW98">
        <v>2</v>
      </c>
      <c r="AX98">
        <v>56794295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ROUND(Y98*Source!I134,9)</f>
        <v>2.0865600000000002E-2</v>
      </c>
      <c r="CY98">
        <f t="shared" si="55"/>
        <v>54.79</v>
      </c>
      <c r="CZ98">
        <f t="shared" si="56"/>
        <v>7.07</v>
      </c>
      <c r="DA98">
        <f t="shared" si="57"/>
        <v>7.75</v>
      </c>
      <c r="DB98">
        <f t="shared" si="58"/>
        <v>0.34</v>
      </c>
      <c r="DC98">
        <f t="shared" si="59"/>
        <v>0</v>
      </c>
      <c r="DD98" t="s">
        <v>3</v>
      </c>
      <c r="DE98" t="s">
        <v>3</v>
      </c>
      <c r="DF98">
        <f t="shared" si="60"/>
        <v>1.1399999999999999</v>
      </c>
      <c r="DG98">
        <f t="shared" si="61"/>
        <v>0</v>
      </c>
      <c r="DH98">
        <f t="shared" si="53"/>
        <v>0</v>
      </c>
      <c r="DI98">
        <f t="shared" si="62"/>
        <v>0</v>
      </c>
      <c r="DJ98">
        <f t="shared" si="63"/>
        <v>1.1399999999999999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ROW(Source!A134)</f>
        <v>134</v>
      </c>
      <c r="B99">
        <v>56793366</v>
      </c>
      <c r="C99">
        <v>56794279</v>
      </c>
      <c r="D99">
        <v>55962402</v>
      </c>
      <c r="E99">
        <v>1</v>
      </c>
      <c r="F99">
        <v>1</v>
      </c>
      <c r="G99">
        <v>1081</v>
      </c>
      <c r="H99">
        <v>3</v>
      </c>
      <c r="I99" t="s">
        <v>412</v>
      </c>
      <c r="J99" t="s">
        <v>413</v>
      </c>
      <c r="K99" t="s">
        <v>414</v>
      </c>
      <c r="L99">
        <v>1327</v>
      </c>
      <c r="N99">
        <v>1005</v>
      </c>
      <c r="O99" t="s">
        <v>174</v>
      </c>
      <c r="P99" t="s">
        <v>174</v>
      </c>
      <c r="Q99">
        <v>1</v>
      </c>
      <c r="W99">
        <v>0</v>
      </c>
      <c r="X99">
        <v>366502181</v>
      </c>
      <c r="Y99">
        <f t="shared" si="54"/>
        <v>0.8</v>
      </c>
      <c r="AA99">
        <v>209.02</v>
      </c>
      <c r="AB99">
        <v>0</v>
      </c>
      <c r="AC99">
        <v>0</v>
      </c>
      <c r="AD99">
        <v>0</v>
      </c>
      <c r="AE99">
        <v>103.99</v>
      </c>
      <c r="AF99">
        <v>0</v>
      </c>
      <c r="AG99">
        <v>0</v>
      </c>
      <c r="AH99">
        <v>0</v>
      </c>
      <c r="AI99">
        <v>2.0099999999999998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0.8</v>
      </c>
      <c r="AU99" t="s">
        <v>24</v>
      </c>
      <c r="AV99">
        <v>0</v>
      </c>
      <c r="AW99">
        <v>2</v>
      </c>
      <c r="AX99">
        <v>56794296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ROUND(Y99*Source!I134,9)</f>
        <v>0.34560000000000002</v>
      </c>
      <c r="CY99">
        <f t="shared" si="55"/>
        <v>209.02</v>
      </c>
      <c r="CZ99">
        <f t="shared" si="56"/>
        <v>103.99</v>
      </c>
      <c r="DA99">
        <f t="shared" si="57"/>
        <v>2.0099999999999998</v>
      </c>
      <c r="DB99">
        <f t="shared" si="58"/>
        <v>83.19</v>
      </c>
      <c r="DC99">
        <f t="shared" si="59"/>
        <v>0</v>
      </c>
      <c r="DD99" t="s">
        <v>3</v>
      </c>
      <c r="DE99" t="s">
        <v>3</v>
      </c>
      <c r="DF99">
        <f t="shared" si="60"/>
        <v>72.239999999999995</v>
      </c>
      <c r="DG99">
        <f t="shared" si="61"/>
        <v>0</v>
      </c>
      <c r="DH99">
        <f t="shared" si="53"/>
        <v>0</v>
      </c>
      <c r="DI99">
        <f t="shared" si="62"/>
        <v>0</v>
      </c>
      <c r="DJ99">
        <f t="shared" si="63"/>
        <v>72.239999999999995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ROW(Source!A134)</f>
        <v>134</v>
      </c>
      <c r="B100">
        <v>56793366</v>
      </c>
      <c r="C100">
        <v>56794279</v>
      </c>
      <c r="D100">
        <v>55963694</v>
      </c>
      <c r="E100">
        <v>1</v>
      </c>
      <c r="F100">
        <v>1</v>
      </c>
      <c r="G100">
        <v>1081</v>
      </c>
      <c r="H100">
        <v>3</v>
      </c>
      <c r="I100" t="s">
        <v>160</v>
      </c>
      <c r="J100" t="s">
        <v>162</v>
      </c>
      <c r="K100" t="s">
        <v>161</v>
      </c>
      <c r="L100">
        <v>1346</v>
      </c>
      <c r="N100">
        <v>1009</v>
      </c>
      <c r="O100" t="s">
        <v>146</v>
      </c>
      <c r="P100" t="s">
        <v>146</v>
      </c>
      <c r="Q100">
        <v>1</v>
      </c>
      <c r="W100">
        <v>0</v>
      </c>
      <c r="X100">
        <v>1866012392</v>
      </c>
      <c r="Y100">
        <f t="shared" si="54"/>
        <v>42.5</v>
      </c>
      <c r="AA100">
        <v>114.18</v>
      </c>
      <c r="AB100">
        <v>0</v>
      </c>
      <c r="AC100">
        <v>0</v>
      </c>
      <c r="AD100">
        <v>0</v>
      </c>
      <c r="AE100">
        <v>17.3</v>
      </c>
      <c r="AF100">
        <v>0</v>
      </c>
      <c r="AG100">
        <v>0</v>
      </c>
      <c r="AH100">
        <v>0</v>
      </c>
      <c r="AI100">
        <v>6.6</v>
      </c>
      <c r="AJ100">
        <v>1</v>
      </c>
      <c r="AK100">
        <v>1</v>
      </c>
      <c r="AL100">
        <v>1</v>
      </c>
      <c r="AM100">
        <v>0</v>
      </c>
      <c r="AN100">
        <v>0</v>
      </c>
      <c r="AO100">
        <v>0</v>
      </c>
      <c r="AP100">
        <v>1</v>
      </c>
      <c r="AQ100">
        <v>0</v>
      </c>
      <c r="AR100">
        <v>0</v>
      </c>
      <c r="AS100" t="s">
        <v>3</v>
      </c>
      <c r="AT100">
        <v>42.5</v>
      </c>
      <c r="AU100" t="s">
        <v>24</v>
      </c>
      <c r="AV100">
        <v>0</v>
      </c>
      <c r="AW100">
        <v>1</v>
      </c>
      <c r="AX100">
        <v>-1</v>
      </c>
      <c r="AY100">
        <v>0</v>
      </c>
      <c r="AZ100">
        <v>0</v>
      </c>
      <c r="BA100" t="s">
        <v>3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ROUND(Y100*Source!I134,9)</f>
        <v>18.36</v>
      </c>
      <c r="CY100">
        <f t="shared" si="55"/>
        <v>114.18</v>
      </c>
      <c r="CZ100">
        <f t="shared" si="56"/>
        <v>17.3</v>
      </c>
      <c r="DA100">
        <f t="shared" si="57"/>
        <v>6.6</v>
      </c>
      <c r="DB100">
        <f t="shared" si="58"/>
        <v>735.25</v>
      </c>
      <c r="DC100">
        <f t="shared" si="59"/>
        <v>0</v>
      </c>
      <c r="DD100" t="s">
        <v>3</v>
      </c>
      <c r="DE100" t="s">
        <v>3</v>
      </c>
      <c r="DF100">
        <f t="shared" si="60"/>
        <v>2096.34</v>
      </c>
      <c r="DG100">
        <f t="shared" si="61"/>
        <v>0</v>
      </c>
      <c r="DH100">
        <f t="shared" si="53"/>
        <v>0</v>
      </c>
      <c r="DI100">
        <f t="shared" si="62"/>
        <v>0</v>
      </c>
      <c r="DJ100">
        <f t="shared" si="63"/>
        <v>2096.34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ROW(Source!A134)</f>
        <v>134</v>
      </c>
      <c r="B101">
        <v>56793366</v>
      </c>
      <c r="C101">
        <v>56794279</v>
      </c>
      <c r="D101">
        <v>55961676</v>
      </c>
      <c r="E101">
        <v>1</v>
      </c>
      <c r="F101">
        <v>1</v>
      </c>
      <c r="G101">
        <v>1081</v>
      </c>
      <c r="H101">
        <v>3</v>
      </c>
      <c r="I101" t="s">
        <v>237</v>
      </c>
      <c r="J101" t="s">
        <v>240</v>
      </c>
      <c r="K101" t="s">
        <v>238</v>
      </c>
      <c r="L101">
        <v>1348</v>
      </c>
      <c r="N101">
        <v>1009</v>
      </c>
      <c r="O101" t="s">
        <v>239</v>
      </c>
      <c r="P101" t="s">
        <v>239</v>
      </c>
      <c r="Q101">
        <v>1000</v>
      </c>
      <c r="W101">
        <v>0</v>
      </c>
      <c r="X101">
        <v>-1592580343</v>
      </c>
      <c r="Y101">
        <f t="shared" si="54"/>
        <v>2.2420000000000002E-2</v>
      </c>
      <c r="AA101">
        <v>71556.149999999994</v>
      </c>
      <c r="AB101">
        <v>0</v>
      </c>
      <c r="AC101">
        <v>0</v>
      </c>
      <c r="AD101">
        <v>0</v>
      </c>
      <c r="AE101">
        <v>20922.849999999999</v>
      </c>
      <c r="AF101">
        <v>0</v>
      </c>
      <c r="AG101">
        <v>0</v>
      </c>
      <c r="AH101">
        <v>0</v>
      </c>
      <c r="AI101">
        <v>3.42</v>
      </c>
      <c r="AJ101">
        <v>1</v>
      </c>
      <c r="AK101">
        <v>1</v>
      </c>
      <c r="AL101">
        <v>1</v>
      </c>
      <c r="AM101">
        <v>0</v>
      </c>
      <c r="AN101">
        <v>0</v>
      </c>
      <c r="AO101">
        <v>0</v>
      </c>
      <c r="AP101">
        <v>1</v>
      </c>
      <c r="AQ101">
        <v>0</v>
      </c>
      <c r="AR101">
        <v>0</v>
      </c>
      <c r="AS101" t="s">
        <v>3</v>
      </c>
      <c r="AT101">
        <v>2.2420000000000002E-2</v>
      </c>
      <c r="AU101" t="s">
        <v>24</v>
      </c>
      <c r="AV101">
        <v>0</v>
      </c>
      <c r="AW101">
        <v>1</v>
      </c>
      <c r="AX101">
        <v>-1</v>
      </c>
      <c r="AY101">
        <v>0</v>
      </c>
      <c r="AZ101">
        <v>0</v>
      </c>
      <c r="BA101" t="s">
        <v>3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ROUND(Y101*Source!I134,9)</f>
        <v>9.68544E-3</v>
      </c>
      <c r="CY101">
        <f t="shared" si="55"/>
        <v>71556.149999999994</v>
      </c>
      <c r="CZ101">
        <f t="shared" si="56"/>
        <v>20922.849999999999</v>
      </c>
      <c r="DA101">
        <f t="shared" si="57"/>
        <v>3.42</v>
      </c>
      <c r="DB101">
        <f t="shared" si="58"/>
        <v>469.09</v>
      </c>
      <c r="DC101">
        <f t="shared" si="59"/>
        <v>0</v>
      </c>
      <c r="DD101" t="s">
        <v>3</v>
      </c>
      <c r="DE101" t="s">
        <v>3</v>
      </c>
      <c r="DF101">
        <f t="shared" si="60"/>
        <v>693.05</v>
      </c>
      <c r="DG101">
        <f t="shared" si="61"/>
        <v>0</v>
      </c>
      <c r="DH101">
        <f t="shared" si="53"/>
        <v>0</v>
      </c>
      <c r="DI101">
        <f t="shared" si="62"/>
        <v>0</v>
      </c>
      <c r="DJ101">
        <f t="shared" si="63"/>
        <v>693.05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ROW(Source!A134)</f>
        <v>134</v>
      </c>
      <c r="B102">
        <v>56793366</v>
      </c>
      <c r="C102">
        <v>56794279</v>
      </c>
      <c r="D102">
        <v>55969036</v>
      </c>
      <c r="E102">
        <v>1</v>
      </c>
      <c r="F102">
        <v>1</v>
      </c>
      <c r="G102">
        <v>1081</v>
      </c>
      <c r="H102">
        <v>3</v>
      </c>
      <c r="I102" t="s">
        <v>243</v>
      </c>
      <c r="J102" t="s">
        <v>244</v>
      </c>
      <c r="K102" t="s">
        <v>522</v>
      </c>
      <c r="L102">
        <v>1346</v>
      </c>
      <c r="N102">
        <v>1009</v>
      </c>
      <c r="O102" t="s">
        <v>146</v>
      </c>
      <c r="P102" t="s">
        <v>146</v>
      </c>
      <c r="Q102">
        <v>1</v>
      </c>
      <c r="W102">
        <v>0</v>
      </c>
      <c r="X102">
        <v>1859139387</v>
      </c>
      <c r="Y102">
        <f t="shared" si="54"/>
        <v>116.28</v>
      </c>
      <c r="AA102">
        <v>24.41</v>
      </c>
      <c r="AB102">
        <v>0</v>
      </c>
      <c r="AC102">
        <v>0</v>
      </c>
      <c r="AD102">
        <v>0</v>
      </c>
      <c r="AE102">
        <v>5.94</v>
      </c>
      <c r="AF102">
        <v>0</v>
      </c>
      <c r="AG102">
        <v>0</v>
      </c>
      <c r="AH102">
        <v>0</v>
      </c>
      <c r="AI102">
        <v>4.1100000000000003</v>
      </c>
      <c r="AJ102">
        <v>1</v>
      </c>
      <c r="AK102">
        <v>1</v>
      </c>
      <c r="AL102">
        <v>1</v>
      </c>
      <c r="AM102">
        <v>0</v>
      </c>
      <c r="AN102">
        <v>0</v>
      </c>
      <c r="AO102">
        <v>0</v>
      </c>
      <c r="AP102">
        <v>1</v>
      </c>
      <c r="AQ102">
        <v>0</v>
      </c>
      <c r="AR102">
        <v>0</v>
      </c>
      <c r="AS102" t="s">
        <v>3</v>
      </c>
      <c r="AT102">
        <v>116.28</v>
      </c>
      <c r="AU102" t="s">
        <v>24</v>
      </c>
      <c r="AV102">
        <v>0</v>
      </c>
      <c r="AW102">
        <v>1</v>
      </c>
      <c r="AX102">
        <v>-1</v>
      </c>
      <c r="AY102">
        <v>0</v>
      </c>
      <c r="AZ102">
        <v>0</v>
      </c>
      <c r="BA102" t="s">
        <v>3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ROUND(Y102*Source!I134,9)</f>
        <v>50.232959999999999</v>
      </c>
      <c r="CY102">
        <f t="shared" si="55"/>
        <v>24.41</v>
      </c>
      <c r="CZ102">
        <f t="shared" si="56"/>
        <v>5.94</v>
      </c>
      <c r="DA102">
        <f t="shared" si="57"/>
        <v>4.1100000000000003</v>
      </c>
      <c r="DB102">
        <f t="shared" si="58"/>
        <v>690.7</v>
      </c>
      <c r="DC102">
        <f t="shared" si="59"/>
        <v>0</v>
      </c>
      <c r="DD102" t="s">
        <v>3</v>
      </c>
      <c r="DE102" t="s">
        <v>3</v>
      </c>
      <c r="DF102">
        <f t="shared" si="60"/>
        <v>1226.19</v>
      </c>
      <c r="DG102">
        <f t="shared" si="61"/>
        <v>0</v>
      </c>
      <c r="DH102">
        <f t="shared" si="53"/>
        <v>0</v>
      </c>
      <c r="DI102">
        <f t="shared" si="62"/>
        <v>0</v>
      </c>
      <c r="DJ102">
        <f t="shared" si="63"/>
        <v>1226.19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ROW(Source!A138)</f>
        <v>138</v>
      </c>
      <c r="B103">
        <v>56793366</v>
      </c>
      <c r="C103">
        <v>56794303</v>
      </c>
      <c r="D103">
        <v>55926487</v>
      </c>
      <c r="E103">
        <v>1081</v>
      </c>
      <c r="F103">
        <v>1</v>
      </c>
      <c r="G103">
        <v>1081</v>
      </c>
      <c r="H103">
        <v>1</v>
      </c>
      <c r="I103" t="s">
        <v>354</v>
      </c>
      <c r="J103" t="s">
        <v>3</v>
      </c>
      <c r="K103" t="s">
        <v>355</v>
      </c>
      <c r="L103">
        <v>1191</v>
      </c>
      <c r="N103">
        <v>1013</v>
      </c>
      <c r="O103" t="s">
        <v>356</v>
      </c>
      <c r="P103" t="s">
        <v>356</v>
      </c>
      <c r="Q103">
        <v>1</v>
      </c>
      <c r="W103">
        <v>0</v>
      </c>
      <c r="X103">
        <v>476480486</v>
      </c>
      <c r="Y103">
        <f>(AT103*1.15)</f>
        <v>74.289999999999992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64.599999999999994</v>
      </c>
      <c r="AU103" t="s">
        <v>48</v>
      </c>
      <c r="AV103">
        <v>1</v>
      </c>
      <c r="AW103">
        <v>2</v>
      </c>
      <c r="AX103">
        <v>56794309</v>
      </c>
      <c r="AY103">
        <v>1</v>
      </c>
      <c r="AZ103">
        <v>2048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U103">
        <f>ROUND(AT103*Source!I138*AH103*AL103,2)</f>
        <v>0</v>
      </c>
      <c r="CV103">
        <f>ROUND(Y103*Source!I138,9)</f>
        <v>0.37145</v>
      </c>
      <c r="CW103">
        <v>0</v>
      </c>
      <c r="CX103">
        <f>ROUND(Y103*Source!I138,9)</f>
        <v>0.37145</v>
      </c>
      <c r="CY103">
        <f>AD103</f>
        <v>0</v>
      </c>
      <c r="CZ103">
        <f>AH103</f>
        <v>0</v>
      </c>
      <c r="DA103">
        <f>AL103</f>
        <v>1</v>
      </c>
      <c r="DB103">
        <f>ROUND((ROUND(AT103*CZ103,2)*1.15),6)</f>
        <v>0</v>
      </c>
      <c r="DC103">
        <f>ROUND((ROUND(AT103*AG103,2)*1.15),6)</f>
        <v>0</v>
      </c>
      <c r="DD103" t="s">
        <v>3</v>
      </c>
      <c r="DE103" t="s">
        <v>3</v>
      </c>
      <c r="DF103">
        <f>ROUND(ROUND(AE103,2)*CX103,2)</f>
        <v>0</v>
      </c>
      <c r="DG103">
        <f t="shared" si="61"/>
        <v>0</v>
      </c>
      <c r="DH103">
        <f t="shared" si="53"/>
        <v>0</v>
      </c>
      <c r="DI103">
        <f t="shared" si="62"/>
        <v>0</v>
      </c>
      <c r="DJ103">
        <f>DI103</f>
        <v>0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ROW(Source!A138)</f>
        <v>138</v>
      </c>
      <c r="B104">
        <v>56793366</v>
      </c>
      <c r="C104">
        <v>56794303</v>
      </c>
      <c r="D104">
        <v>55992399</v>
      </c>
      <c r="E104">
        <v>1</v>
      </c>
      <c r="F104">
        <v>1</v>
      </c>
      <c r="G104">
        <v>1081</v>
      </c>
      <c r="H104">
        <v>2</v>
      </c>
      <c r="I104" t="s">
        <v>374</v>
      </c>
      <c r="J104" t="s">
        <v>375</v>
      </c>
      <c r="K104" t="s">
        <v>376</v>
      </c>
      <c r="L104">
        <v>1368</v>
      </c>
      <c r="N104">
        <v>1011</v>
      </c>
      <c r="O104" t="s">
        <v>377</v>
      </c>
      <c r="P104" t="s">
        <v>377</v>
      </c>
      <c r="Q104">
        <v>1</v>
      </c>
      <c r="W104">
        <v>0</v>
      </c>
      <c r="X104">
        <v>874612079</v>
      </c>
      <c r="Y104">
        <f>(AT104*1.15)</f>
        <v>3.4499999999999996E-2</v>
      </c>
      <c r="AA104">
        <v>0</v>
      </c>
      <c r="AB104">
        <v>1486.35</v>
      </c>
      <c r="AC104">
        <v>737.97</v>
      </c>
      <c r="AD104">
        <v>0</v>
      </c>
      <c r="AE104">
        <v>0</v>
      </c>
      <c r="AF104">
        <v>83.1</v>
      </c>
      <c r="AG104">
        <v>12.62</v>
      </c>
      <c r="AH104">
        <v>0</v>
      </c>
      <c r="AI104">
        <v>1</v>
      </c>
      <c r="AJ104">
        <v>17.45</v>
      </c>
      <c r="AK104">
        <v>57.05</v>
      </c>
      <c r="AL104">
        <v>1</v>
      </c>
      <c r="AM104">
        <v>2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0.03</v>
      </c>
      <c r="AU104" t="s">
        <v>48</v>
      </c>
      <c r="AV104">
        <v>0</v>
      </c>
      <c r="AW104">
        <v>2</v>
      </c>
      <c r="AX104">
        <v>56794310</v>
      </c>
      <c r="AY104">
        <v>1</v>
      </c>
      <c r="AZ104">
        <v>2048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V104">
        <v>0</v>
      </c>
      <c r="CW104">
        <f>ROUND(Y104*Source!I138*DO104,9)</f>
        <v>2.17695E-3</v>
      </c>
      <c r="CX104">
        <f>ROUND(Y104*Source!I138,9)</f>
        <v>1.7249999999999999E-4</v>
      </c>
      <c r="CY104">
        <f>AB104</f>
        <v>1486.35</v>
      </c>
      <c r="CZ104">
        <f>AF104</f>
        <v>83.1</v>
      </c>
      <c r="DA104">
        <f>AJ104</f>
        <v>17.45</v>
      </c>
      <c r="DB104">
        <f>ROUND((ROUND(AT104*CZ104,2)*1.15),6)</f>
        <v>2.8635000000000002</v>
      </c>
      <c r="DC104">
        <f>ROUND((ROUND(AT104*AG104,2)*1.15),6)</f>
        <v>0.437</v>
      </c>
      <c r="DD104" t="s">
        <v>3</v>
      </c>
      <c r="DE104" t="s">
        <v>3</v>
      </c>
      <c r="DF104">
        <f>ROUND(ROUND(AE104,2)*CX104,2)</f>
        <v>0</v>
      </c>
      <c r="DG104">
        <f>ROUND(ROUND(AF104*AJ104,2)*CX104,2)</f>
        <v>0.25</v>
      </c>
      <c r="DH104">
        <f>ROUND(ROUND(AG104*AK104,2)*CX104,2)</f>
        <v>0.12</v>
      </c>
      <c r="DI104">
        <f t="shared" si="62"/>
        <v>0</v>
      </c>
      <c r="DJ104">
        <f>DG104</f>
        <v>0.25</v>
      </c>
      <c r="DK104">
        <v>0</v>
      </c>
      <c r="DL104" t="s">
        <v>378</v>
      </c>
      <c r="DM104">
        <v>0</v>
      </c>
      <c r="DN104" t="s">
        <v>356</v>
      </c>
      <c r="DO104">
        <v>12.62</v>
      </c>
    </row>
    <row r="105" spans="1:119" x14ac:dyDescent="0.2">
      <c r="A105">
        <f>ROW(Source!A138)</f>
        <v>138</v>
      </c>
      <c r="B105">
        <v>56793366</v>
      </c>
      <c r="C105">
        <v>56794303</v>
      </c>
      <c r="D105">
        <v>55961424</v>
      </c>
      <c r="E105">
        <v>1</v>
      </c>
      <c r="F105">
        <v>1</v>
      </c>
      <c r="G105">
        <v>1081</v>
      </c>
      <c r="H105">
        <v>3</v>
      </c>
      <c r="I105" t="s">
        <v>464</v>
      </c>
      <c r="J105" t="s">
        <v>465</v>
      </c>
      <c r="K105" t="s">
        <v>466</v>
      </c>
      <c r="L105">
        <v>1346</v>
      </c>
      <c r="N105">
        <v>1009</v>
      </c>
      <c r="O105" t="s">
        <v>146</v>
      </c>
      <c r="P105" t="s">
        <v>146</v>
      </c>
      <c r="Q105">
        <v>1</v>
      </c>
      <c r="W105">
        <v>0</v>
      </c>
      <c r="X105">
        <v>1343467368</v>
      </c>
      <c r="Y105">
        <f>(AT105*1)</f>
        <v>0.3</v>
      </c>
      <c r="AA105">
        <v>21.25</v>
      </c>
      <c r="AB105">
        <v>0</v>
      </c>
      <c r="AC105">
        <v>0</v>
      </c>
      <c r="AD105">
        <v>0</v>
      </c>
      <c r="AE105">
        <v>1.61</v>
      </c>
      <c r="AF105">
        <v>0</v>
      </c>
      <c r="AG105">
        <v>0</v>
      </c>
      <c r="AH105">
        <v>0</v>
      </c>
      <c r="AI105">
        <v>13.2</v>
      </c>
      <c r="AJ105">
        <v>1</v>
      </c>
      <c r="AK105">
        <v>1</v>
      </c>
      <c r="AL105">
        <v>1</v>
      </c>
      <c r="AM105">
        <v>2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0.3</v>
      </c>
      <c r="AU105" t="s">
        <v>24</v>
      </c>
      <c r="AV105">
        <v>0</v>
      </c>
      <c r="AW105">
        <v>2</v>
      </c>
      <c r="AX105">
        <v>56794311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v>0</v>
      </c>
      <c r="CX105">
        <f>ROUND(Y105*Source!I138,9)</f>
        <v>1.5E-3</v>
      </c>
      <c r="CY105">
        <f>AA105</f>
        <v>21.25</v>
      </c>
      <c r="CZ105">
        <f>AE105</f>
        <v>1.61</v>
      </c>
      <c r="DA105">
        <f>AI105</f>
        <v>13.2</v>
      </c>
      <c r="DB105">
        <f>ROUND((ROUND(AT105*CZ105,2)*1),6)</f>
        <v>0.48</v>
      </c>
      <c r="DC105">
        <f>ROUND((ROUND(AT105*AG105,2)*1),6)</f>
        <v>0</v>
      </c>
      <c r="DD105" t="s">
        <v>3</v>
      </c>
      <c r="DE105" t="s">
        <v>3</v>
      </c>
      <c r="DF105">
        <f>ROUND(ROUND(AE105*AI105,2)*CX105,2)</f>
        <v>0.03</v>
      </c>
      <c r="DG105">
        <f t="shared" ref="DG105:DG111" si="64">ROUND(ROUND(AF105,2)*CX105,2)</f>
        <v>0</v>
      </c>
      <c r="DH105">
        <f t="shared" ref="DH105:DH111" si="65">ROUND(ROUND(AG105,2)*CX105,2)</f>
        <v>0</v>
      </c>
      <c r="DI105">
        <f t="shared" si="62"/>
        <v>0</v>
      </c>
      <c r="DJ105">
        <f>DF105</f>
        <v>0.03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ROW(Source!A138)</f>
        <v>138</v>
      </c>
      <c r="B106">
        <v>56793366</v>
      </c>
      <c r="C106">
        <v>56794303</v>
      </c>
      <c r="D106">
        <v>55961692</v>
      </c>
      <c r="E106">
        <v>1</v>
      </c>
      <c r="F106">
        <v>1</v>
      </c>
      <c r="G106">
        <v>1081</v>
      </c>
      <c r="H106">
        <v>3</v>
      </c>
      <c r="I106" t="s">
        <v>251</v>
      </c>
      <c r="J106" t="s">
        <v>253</v>
      </c>
      <c r="K106" t="s">
        <v>252</v>
      </c>
      <c r="L106">
        <v>1348</v>
      </c>
      <c r="N106">
        <v>1009</v>
      </c>
      <c r="O106" t="s">
        <v>239</v>
      </c>
      <c r="P106" t="s">
        <v>239</v>
      </c>
      <c r="Q106">
        <v>1000</v>
      </c>
      <c r="W106">
        <v>0</v>
      </c>
      <c r="X106">
        <v>512212386</v>
      </c>
      <c r="Y106">
        <f>(AT106*1)</f>
        <v>2.46E-2</v>
      </c>
      <c r="AA106">
        <v>59782.78</v>
      </c>
      <c r="AB106">
        <v>0</v>
      </c>
      <c r="AC106">
        <v>0</v>
      </c>
      <c r="AD106">
        <v>0</v>
      </c>
      <c r="AE106">
        <v>15250.71</v>
      </c>
      <c r="AF106">
        <v>0</v>
      </c>
      <c r="AG106">
        <v>0</v>
      </c>
      <c r="AH106">
        <v>0</v>
      </c>
      <c r="AI106">
        <v>3.92</v>
      </c>
      <c r="AJ106">
        <v>1</v>
      </c>
      <c r="AK106">
        <v>1</v>
      </c>
      <c r="AL106">
        <v>1</v>
      </c>
      <c r="AM106">
        <v>0</v>
      </c>
      <c r="AN106">
        <v>0</v>
      </c>
      <c r="AO106">
        <v>0</v>
      </c>
      <c r="AP106">
        <v>1</v>
      </c>
      <c r="AQ106">
        <v>0</v>
      </c>
      <c r="AR106">
        <v>0</v>
      </c>
      <c r="AS106" t="s">
        <v>3</v>
      </c>
      <c r="AT106">
        <v>2.46E-2</v>
      </c>
      <c r="AU106" t="s">
        <v>24</v>
      </c>
      <c r="AV106">
        <v>0</v>
      </c>
      <c r="AW106">
        <v>1</v>
      </c>
      <c r="AX106">
        <v>-1</v>
      </c>
      <c r="AY106">
        <v>0</v>
      </c>
      <c r="AZ106">
        <v>0</v>
      </c>
      <c r="BA106" t="s">
        <v>3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V106">
        <v>0</v>
      </c>
      <c r="CW106">
        <v>0</v>
      </c>
      <c r="CX106">
        <f>ROUND(Y106*Source!I138,9)</f>
        <v>1.2300000000000001E-4</v>
      </c>
      <c r="CY106">
        <f>AA106</f>
        <v>59782.78</v>
      </c>
      <c r="CZ106">
        <f>AE106</f>
        <v>15250.71</v>
      </c>
      <c r="DA106">
        <f>AI106</f>
        <v>3.92</v>
      </c>
      <c r="DB106">
        <f>ROUND((ROUND(AT106*CZ106,2)*1),6)</f>
        <v>375.17</v>
      </c>
      <c r="DC106">
        <f>ROUND((ROUND(AT106*AG106,2)*1),6)</f>
        <v>0</v>
      </c>
      <c r="DD106" t="s">
        <v>3</v>
      </c>
      <c r="DE106" t="s">
        <v>3</v>
      </c>
      <c r="DF106">
        <f>ROUND(ROUND(AE106*AI106,2)*CX106,2)</f>
        <v>7.35</v>
      </c>
      <c r="DG106">
        <f t="shared" si="64"/>
        <v>0</v>
      </c>
      <c r="DH106">
        <f t="shared" si="65"/>
        <v>0</v>
      </c>
      <c r="DI106">
        <f t="shared" si="62"/>
        <v>0</v>
      </c>
      <c r="DJ106">
        <f>DF106</f>
        <v>7.35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ROW(Source!A138)</f>
        <v>138</v>
      </c>
      <c r="B107">
        <v>56793366</v>
      </c>
      <c r="C107">
        <v>56794303</v>
      </c>
      <c r="D107">
        <v>55961865</v>
      </c>
      <c r="E107">
        <v>1</v>
      </c>
      <c r="F107">
        <v>1</v>
      </c>
      <c r="G107">
        <v>1081</v>
      </c>
      <c r="H107">
        <v>3</v>
      </c>
      <c r="I107" t="s">
        <v>255</v>
      </c>
      <c r="J107" t="s">
        <v>257</v>
      </c>
      <c r="K107" t="s">
        <v>256</v>
      </c>
      <c r="L107">
        <v>1346</v>
      </c>
      <c r="N107">
        <v>1009</v>
      </c>
      <c r="O107" t="s">
        <v>146</v>
      </c>
      <c r="P107" t="s">
        <v>146</v>
      </c>
      <c r="Q107">
        <v>1</v>
      </c>
      <c r="W107">
        <v>0</v>
      </c>
      <c r="X107">
        <v>488689173</v>
      </c>
      <c r="Y107">
        <f>(AT107*1)</f>
        <v>2.7</v>
      </c>
      <c r="AA107">
        <v>85.81</v>
      </c>
      <c r="AB107">
        <v>0</v>
      </c>
      <c r="AC107">
        <v>0</v>
      </c>
      <c r="AD107">
        <v>0</v>
      </c>
      <c r="AE107">
        <v>20.190000000000001</v>
      </c>
      <c r="AF107">
        <v>0</v>
      </c>
      <c r="AG107">
        <v>0</v>
      </c>
      <c r="AH107">
        <v>0</v>
      </c>
      <c r="AI107">
        <v>4.25</v>
      </c>
      <c r="AJ107">
        <v>1</v>
      </c>
      <c r="AK107">
        <v>1</v>
      </c>
      <c r="AL107">
        <v>1</v>
      </c>
      <c r="AM107">
        <v>0</v>
      </c>
      <c r="AN107">
        <v>0</v>
      </c>
      <c r="AO107">
        <v>0</v>
      </c>
      <c r="AP107">
        <v>1</v>
      </c>
      <c r="AQ107">
        <v>0</v>
      </c>
      <c r="AR107">
        <v>0</v>
      </c>
      <c r="AS107" t="s">
        <v>3</v>
      </c>
      <c r="AT107">
        <v>2.7</v>
      </c>
      <c r="AU107" t="s">
        <v>24</v>
      </c>
      <c r="AV107">
        <v>0</v>
      </c>
      <c r="AW107">
        <v>1</v>
      </c>
      <c r="AX107">
        <v>-1</v>
      </c>
      <c r="AY107">
        <v>0</v>
      </c>
      <c r="AZ107">
        <v>0</v>
      </c>
      <c r="BA107" t="s">
        <v>3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ROUND(Y107*Source!I138,9)</f>
        <v>1.35E-2</v>
      </c>
      <c r="CY107">
        <f>AA107</f>
        <v>85.81</v>
      </c>
      <c r="CZ107">
        <f>AE107</f>
        <v>20.190000000000001</v>
      </c>
      <c r="DA107">
        <f>AI107</f>
        <v>4.25</v>
      </c>
      <c r="DB107">
        <f>ROUND((ROUND(AT107*CZ107,2)*1),6)</f>
        <v>54.51</v>
      </c>
      <c r="DC107">
        <f>ROUND((ROUND(AT107*AG107,2)*1),6)</f>
        <v>0</v>
      </c>
      <c r="DD107" t="s">
        <v>3</v>
      </c>
      <c r="DE107" t="s">
        <v>3</v>
      </c>
      <c r="DF107">
        <f>ROUND(ROUND(AE107*AI107,2)*CX107,2)</f>
        <v>1.1599999999999999</v>
      </c>
      <c r="DG107">
        <f t="shared" si="64"/>
        <v>0</v>
      </c>
      <c r="DH107">
        <f t="shared" si="65"/>
        <v>0</v>
      </c>
      <c r="DI107">
        <f t="shared" si="62"/>
        <v>0</v>
      </c>
      <c r="DJ107">
        <f>DF107</f>
        <v>1.1599999999999999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ROW(Source!A141)</f>
        <v>141</v>
      </c>
      <c r="B108">
        <v>56793366</v>
      </c>
      <c r="C108">
        <v>56794316</v>
      </c>
      <c r="D108">
        <v>55926487</v>
      </c>
      <c r="E108">
        <v>1081</v>
      </c>
      <c r="F108">
        <v>1</v>
      </c>
      <c r="G108">
        <v>1081</v>
      </c>
      <c r="H108">
        <v>1</v>
      </c>
      <c r="I108" t="s">
        <v>354</v>
      </c>
      <c r="J108" t="s">
        <v>3</v>
      </c>
      <c r="K108" t="s">
        <v>355</v>
      </c>
      <c r="L108">
        <v>1191</v>
      </c>
      <c r="N108">
        <v>1013</v>
      </c>
      <c r="O108" t="s">
        <v>356</v>
      </c>
      <c r="P108" t="s">
        <v>356</v>
      </c>
      <c r="Q108">
        <v>1</v>
      </c>
      <c r="W108">
        <v>0</v>
      </c>
      <c r="X108">
        <v>476480486</v>
      </c>
      <c r="Y108">
        <f>AT108</f>
        <v>46.19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M108">
        <v>-2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46.19</v>
      </c>
      <c r="AU108" t="s">
        <v>3</v>
      </c>
      <c r="AV108">
        <v>1</v>
      </c>
      <c r="AW108">
        <v>2</v>
      </c>
      <c r="AX108">
        <v>56794320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U108">
        <f>ROUND(AT108*Source!I141*AH108*AL108,2)</f>
        <v>0</v>
      </c>
      <c r="CV108">
        <f>ROUND(Y108*Source!I141,9)</f>
        <v>0.46189999999999998</v>
      </c>
      <c r="CW108">
        <v>0</v>
      </c>
      <c r="CX108">
        <f>ROUND(Y108*Source!I141,9)</f>
        <v>0.46189999999999998</v>
      </c>
      <c r="CY108">
        <f>AD108</f>
        <v>0</v>
      </c>
      <c r="CZ108">
        <f>AH108</f>
        <v>0</v>
      </c>
      <c r="DA108">
        <f>AL108</f>
        <v>1</v>
      </c>
      <c r="DB108">
        <f>ROUND(ROUND(AT108*CZ108,2),6)</f>
        <v>0</v>
      </c>
      <c r="DC108">
        <f>ROUND(ROUND(AT108*AG108,2),6)</f>
        <v>0</v>
      </c>
      <c r="DD108" t="s">
        <v>3</v>
      </c>
      <c r="DE108" t="s">
        <v>3</v>
      </c>
      <c r="DF108">
        <f>ROUND(ROUND(AE108,2)*CX108,2)</f>
        <v>0</v>
      </c>
      <c r="DG108">
        <f t="shared" si="64"/>
        <v>0</v>
      </c>
      <c r="DH108">
        <f t="shared" si="65"/>
        <v>0</v>
      </c>
      <c r="DI108">
        <f t="shared" si="62"/>
        <v>0</v>
      </c>
      <c r="DJ108">
        <f>DI108</f>
        <v>0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ROW(Source!A141)</f>
        <v>141</v>
      </c>
      <c r="B109">
        <v>56793366</v>
      </c>
      <c r="C109">
        <v>56794316</v>
      </c>
      <c r="D109">
        <v>55961451</v>
      </c>
      <c r="E109">
        <v>1</v>
      </c>
      <c r="F109">
        <v>1</v>
      </c>
      <c r="G109">
        <v>1081</v>
      </c>
      <c r="H109">
        <v>3</v>
      </c>
      <c r="I109" t="s">
        <v>365</v>
      </c>
      <c r="J109" t="s">
        <v>366</v>
      </c>
      <c r="K109" t="s">
        <v>367</v>
      </c>
      <c r="L109">
        <v>1348</v>
      </c>
      <c r="N109">
        <v>1009</v>
      </c>
      <c r="O109" t="s">
        <v>239</v>
      </c>
      <c r="P109" t="s">
        <v>239</v>
      </c>
      <c r="Q109">
        <v>1000</v>
      </c>
      <c r="W109">
        <v>0</v>
      </c>
      <c r="X109">
        <v>-2092697376</v>
      </c>
      <c r="Y109">
        <f>(AT109*1)</f>
        <v>0.05</v>
      </c>
      <c r="AA109">
        <v>7318.08</v>
      </c>
      <c r="AB109">
        <v>0</v>
      </c>
      <c r="AC109">
        <v>0</v>
      </c>
      <c r="AD109">
        <v>0</v>
      </c>
      <c r="AE109">
        <v>1219.68</v>
      </c>
      <c r="AF109">
        <v>0</v>
      </c>
      <c r="AG109">
        <v>0</v>
      </c>
      <c r="AH109">
        <v>0</v>
      </c>
      <c r="AI109">
        <v>6</v>
      </c>
      <c r="AJ109">
        <v>1</v>
      </c>
      <c r="AK109">
        <v>1</v>
      </c>
      <c r="AL109">
        <v>1</v>
      </c>
      <c r="AM109">
        <v>2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0.05</v>
      </c>
      <c r="AU109" t="s">
        <v>24</v>
      </c>
      <c r="AV109">
        <v>0</v>
      </c>
      <c r="AW109">
        <v>2</v>
      </c>
      <c r="AX109">
        <v>56794321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ROUND(Y109*Source!I141,9)</f>
        <v>5.0000000000000001E-4</v>
      </c>
      <c r="CY109">
        <f>AA109</f>
        <v>7318.08</v>
      </c>
      <c r="CZ109">
        <f>AE109</f>
        <v>1219.68</v>
      </c>
      <c r="DA109">
        <f>AI109</f>
        <v>6</v>
      </c>
      <c r="DB109">
        <f>ROUND((ROUND(AT109*CZ109,2)*1),6)</f>
        <v>60.98</v>
      </c>
      <c r="DC109">
        <f>ROUND((ROUND(AT109*AG109,2)*1),6)</f>
        <v>0</v>
      </c>
      <c r="DD109" t="s">
        <v>3</v>
      </c>
      <c r="DE109" t="s">
        <v>3</v>
      </c>
      <c r="DF109">
        <f>ROUND(ROUND(AE109*AI109,2)*CX109,2)</f>
        <v>3.66</v>
      </c>
      <c r="DG109">
        <f t="shared" si="64"/>
        <v>0</v>
      </c>
      <c r="DH109">
        <f t="shared" si="65"/>
        <v>0</v>
      </c>
      <c r="DI109">
        <f t="shared" si="62"/>
        <v>0</v>
      </c>
      <c r="DJ109">
        <f>DF109</f>
        <v>3.66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ROW(Source!A141)</f>
        <v>141</v>
      </c>
      <c r="B110">
        <v>56793366</v>
      </c>
      <c r="C110">
        <v>56794316</v>
      </c>
      <c r="D110">
        <v>55983158</v>
      </c>
      <c r="E110">
        <v>1</v>
      </c>
      <c r="F110">
        <v>1</v>
      </c>
      <c r="G110">
        <v>1081</v>
      </c>
      <c r="H110">
        <v>3</v>
      </c>
      <c r="I110" t="s">
        <v>265</v>
      </c>
      <c r="J110" t="s">
        <v>267</v>
      </c>
      <c r="K110" t="s">
        <v>266</v>
      </c>
      <c r="L110">
        <v>1354</v>
      </c>
      <c r="N110">
        <v>1010</v>
      </c>
      <c r="O110" t="s">
        <v>54</v>
      </c>
      <c r="P110" t="s">
        <v>54</v>
      </c>
      <c r="Q110">
        <v>1</v>
      </c>
      <c r="W110">
        <v>0</v>
      </c>
      <c r="X110">
        <v>2016634041</v>
      </c>
      <c r="Y110">
        <f>(AT110*1)</f>
        <v>100</v>
      </c>
      <c r="AA110">
        <v>393.86</v>
      </c>
      <c r="AB110">
        <v>0</v>
      </c>
      <c r="AC110">
        <v>0</v>
      </c>
      <c r="AD110">
        <v>0</v>
      </c>
      <c r="AE110">
        <v>92.24</v>
      </c>
      <c r="AF110">
        <v>0</v>
      </c>
      <c r="AG110">
        <v>0</v>
      </c>
      <c r="AH110">
        <v>0</v>
      </c>
      <c r="AI110">
        <v>4.2699999999999996</v>
      </c>
      <c r="AJ110">
        <v>1</v>
      </c>
      <c r="AK110">
        <v>1</v>
      </c>
      <c r="AL110">
        <v>1</v>
      </c>
      <c r="AM110">
        <v>0</v>
      </c>
      <c r="AN110">
        <v>0</v>
      </c>
      <c r="AO110">
        <v>0</v>
      </c>
      <c r="AP110">
        <v>1</v>
      </c>
      <c r="AQ110">
        <v>0</v>
      </c>
      <c r="AR110">
        <v>0</v>
      </c>
      <c r="AS110" t="s">
        <v>3</v>
      </c>
      <c r="AT110">
        <v>100</v>
      </c>
      <c r="AU110" t="s">
        <v>24</v>
      </c>
      <c r="AV110">
        <v>0</v>
      </c>
      <c r="AW110">
        <v>1</v>
      </c>
      <c r="AX110">
        <v>-1</v>
      </c>
      <c r="AY110">
        <v>0</v>
      </c>
      <c r="AZ110">
        <v>0</v>
      </c>
      <c r="BA110" t="s">
        <v>3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ROUND(Y110*Source!I141,9)</f>
        <v>1</v>
      </c>
      <c r="CY110">
        <f>AA110</f>
        <v>393.86</v>
      </c>
      <c r="CZ110">
        <f>AE110</f>
        <v>92.24</v>
      </c>
      <c r="DA110">
        <f>AI110</f>
        <v>4.2699999999999996</v>
      </c>
      <c r="DB110">
        <f>ROUND((ROUND(AT110*CZ110,2)*1),6)</f>
        <v>9224</v>
      </c>
      <c r="DC110">
        <f>ROUND((ROUND(AT110*AG110,2)*1),6)</f>
        <v>0</v>
      </c>
      <c r="DD110" t="s">
        <v>3</v>
      </c>
      <c r="DE110" t="s">
        <v>3</v>
      </c>
      <c r="DF110">
        <f>ROUND(ROUND(AE110*AI110,2)*CX110,2)</f>
        <v>393.86</v>
      </c>
      <c r="DG110">
        <f t="shared" si="64"/>
        <v>0</v>
      </c>
      <c r="DH110">
        <f t="shared" si="65"/>
        <v>0</v>
      </c>
      <c r="DI110">
        <f t="shared" si="62"/>
        <v>0</v>
      </c>
      <c r="DJ110">
        <f>DF110</f>
        <v>393.86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ROW(Source!A143)</f>
        <v>143</v>
      </c>
      <c r="B111">
        <v>56793366</v>
      </c>
      <c r="C111">
        <v>56794324</v>
      </c>
      <c r="D111">
        <v>55926487</v>
      </c>
      <c r="E111">
        <v>1081</v>
      </c>
      <c r="F111">
        <v>1</v>
      </c>
      <c r="G111">
        <v>1081</v>
      </c>
      <c r="H111">
        <v>1</v>
      </c>
      <c r="I111" t="s">
        <v>354</v>
      </c>
      <c r="J111" t="s">
        <v>3</v>
      </c>
      <c r="K111" t="s">
        <v>355</v>
      </c>
      <c r="L111">
        <v>1191</v>
      </c>
      <c r="N111">
        <v>1013</v>
      </c>
      <c r="O111" t="s">
        <v>356</v>
      </c>
      <c r="P111" t="s">
        <v>356</v>
      </c>
      <c r="Q111">
        <v>1</v>
      </c>
      <c r="W111">
        <v>0</v>
      </c>
      <c r="X111">
        <v>476480486</v>
      </c>
      <c r="Y111">
        <f>(AT111*1.15)</f>
        <v>3.9674999999999998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-2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3.45</v>
      </c>
      <c r="AU111" t="s">
        <v>48</v>
      </c>
      <c r="AV111">
        <v>1</v>
      </c>
      <c r="AW111">
        <v>2</v>
      </c>
      <c r="AX111">
        <v>56794328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U111">
        <f>ROUND(AT111*Source!I143*AH111*AL111,2)</f>
        <v>0</v>
      </c>
      <c r="CV111">
        <f>ROUND(Y111*Source!I143,9)</f>
        <v>2.4598499999999999</v>
      </c>
      <c r="CW111">
        <v>0</v>
      </c>
      <c r="CX111">
        <f>ROUND(Y111*Source!I143,9)</f>
        <v>2.4598499999999999</v>
      </c>
      <c r="CY111">
        <f>AD111</f>
        <v>0</v>
      </c>
      <c r="CZ111">
        <f>AH111</f>
        <v>0</v>
      </c>
      <c r="DA111">
        <f>AL111</f>
        <v>1</v>
      </c>
      <c r="DB111">
        <f>ROUND((ROUND(AT111*CZ111,2)*1.15),6)</f>
        <v>0</v>
      </c>
      <c r="DC111">
        <f>ROUND((ROUND(AT111*AG111,2)*1.15),6)</f>
        <v>0</v>
      </c>
      <c r="DD111" t="s">
        <v>3</v>
      </c>
      <c r="DE111" t="s">
        <v>3</v>
      </c>
      <c r="DF111">
        <f>ROUND(ROUND(AE111,2)*CX111,2)</f>
        <v>0</v>
      </c>
      <c r="DG111">
        <f t="shared" si="64"/>
        <v>0</v>
      </c>
      <c r="DH111">
        <f t="shared" si="65"/>
        <v>0</v>
      </c>
      <c r="DI111">
        <f t="shared" si="62"/>
        <v>0</v>
      </c>
      <c r="DJ111">
        <f>DI111</f>
        <v>0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ROW(Source!A143)</f>
        <v>143</v>
      </c>
      <c r="B112">
        <v>56793366</v>
      </c>
      <c r="C112">
        <v>56794324</v>
      </c>
      <c r="D112">
        <v>55992399</v>
      </c>
      <c r="E112">
        <v>1</v>
      </c>
      <c r="F112">
        <v>1</v>
      </c>
      <c r="G112">
        <v>1081</v>
      </c>
      <c r="H112">
        <v>2</v>
      </c>
      <c r="I112" t="s">
        <v>374</v>
      </c>
      <c r="J112" t="s">
        <v>375</v>
      </c>
      <c r="K112" t="s">
        <v>376</v>
      </c>
      <c r="L112">
        <v>1368</v>
      </c>
      <c r="N112">
        <v>1011</v>
      </c>
      <c r="O112" t="s">
        <v>377</v>
      </c>
      <c r="P112" t="s">
        <v>377</v>
      </c>
      <c r="Q112">
        <v>1</v>
      </c>
      <c r="W112">
        <v>0</v>
      </c>
      <c r="X112">
        <v>874612079</v>
      </c>
      <c r="Y112">
        <f>(AT112*1.15)</f>
        <v>2.3E-2</v>
      </c>
      <c r="AA112">
        <v>0</v>
      </c>
      <c r="AB112">
        <v>1518.25</v>
      </c>
      <c r="AC112">
        <v>753.81</v>
      </c>
      <c r="AD112">
        <v>0</v>
      </c>
      <c r="AE112">
        <v>0</v>
      </c>
      <c r="AF112">
        <v>83.1</v>
      </c>
      <c r="AG112">
        <v>12.62</v>
      </c>
      <c r="AH112">
        <v>0</v>
      </c>
      <c r="AI112">
        <v>1</v>
      </c>
      <c r="AJ112">
        <v>17.45</v>
      </c>
      <c r="AK112">
        <v>57.05</v>
      </c>
      <c r="AL112">
        <v>1</v>
      </c>
      <c r="AM112">
        <v>2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0.02</v>
      </c>
      <c r="AU112" t="s">
        <v>48</v>
      </c>
      <c r="AV112">
        <v>0</v>
      </c>
      <c r="AW112">
        <v>2</v>
      </c>
      <c r="AX112">
        <v>56794329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f>ROUND(Y112*Source!I143*DO112,9)</f>
        <v>0.17996119999999999</v>
      </c>
      <c r="CX112">
        <f>ROUND(Y112*Source!I143,9)</f>
        <v>1.426E-2</v>
      </c>
      <c r="CY112">
        <f>AB112</f>
        <v>1518.25</v>
      </c>
      <c r="CZ112">
        <f>AF112</f>
        <v>83.1</v>
      </c>
      <c r="DA112">
        <f>AJ112</f>
        <v>17.45</v>
      </c>
      <c r="DB112">
        <f>ROUND((ROUND(AT112*CZ112,2)*1.15),6)</f>
        <v>1.909</v>
      </c>
      <c r="DC112">
        <f>ROUND((ROUND(AT112*AG112,2)*1.15),6)</f>
        <v>0.28749999999999998</v>
      </c>
      <c r="DD112" t="s">
        <v>3</v>
      </c>
      <c r="DE112" t="s">
        <v>3</v>
      </c>
      <c r="DF112">
        <f>ROUND(ROUND(AE112,2)*CX112,2)</f>
        <v>0</v>
      </c>
      <c r="DG112">
        <f>ROUND(ROUND(AF112*AJ112,2)*CX112,2)</f>
        <v>20.68</v>
      </c>
      <c r="DH112">
        <f>ROUND(ROUND(AG112*AK112,2)*CX112,2)</f>
        <v>10.27</v>
      </c>
      <c r="DI112">
        <f t="shared" si="62"/>
        <v>0</v>
      </c>
      <c r="DJ112">
        <f>DG112</f>
        <v>20.68</v>
      </c>
      <c r="DK112">
        <v>0</v>
      </c>
      <c r="DL112" t="s">
        <v>378</v>
      </c>
      <c r="DM112">
        <v>0</v>
      </c>
      <c r="DN112" t="s">
        <v>356</v>
      </c>
      <c r="DO112">
        <v>12.62</v>
      </c>
    </row>
    <row r="113" spans="1:119" x14ac:dyDescent="0.2">
      <c r="A113">
        <f>ROW(Source!A143)</f>
        <v>143</v>
      </c>
      <c r="B113">
        <v>56793366</v>
      </c>
      <c r="C113">
        <v>56794324</v>
      </c>
      <c r="D113">
        <v>55963149</v>
      </c>
      <c r="E113">
        <v>1</v>
      </c>
      <c r="F113">
        <v>1</v>
      </c>
      <c r="G113">
        <v>1081</v>
      </c>
      <c r="H113">
        <v>3</v>
      </c>
      <c r="I113" t="s">
        <v>273</v>
      </c>
      <c r="J113" t="s">
        <v>275</v>
      </c>
      <c r="K113" t="s">
        <v>274</v>
      </c>
      <c r="L113">
        <v>1327</v>
      </c>
      <c r="N113">
        <v>1005</v>
      </c>
      <c r="O113" t="s">
        <v>174</v>
      </c>
      <c r="P113" t="s">
        <v>174</v>
      </c>
      <c r="Q113">
        <v>1</v>
      </c>
      <c r="W113">
        <v>0</v>
      </c>
      <c r="X113">
        <v>-1503232983</v>
      </c>
      <c r="Y113">
        <f>(AT113*1)</f>
        <v>122.4</v>
      </c>
      <c r="AA113">
        <v>9.27</v>
      </c>
      <c r="AB113">
        <v>0</v>
      </c>
      <c r="AC113">
        <v>0</v>
      </c>
      <c r="AD113">
        <v>0</v>
      </c>
      <c r="AE113">
        <v>8.1300000000000008</v>
      </c>
      <c r="AF113">
        <v>0</v>
      </c>
      <c r="AG113">
        <v>0</v>
      </c>
      <c r="AH113">
        <v>0</v>
      </c>
      <c r="AI113">
        <v>1.1399999999999999</v>
      </c>
      <c r="AJ113">
        <v>1</v>
      </c>
      <c r="AK113">
        <v>1</v>
      </c>
      <c r="AL113">
        <v>1</v>
      </c>
      <c r="AM113">
        <v>0</v>
      </c>
      <c r="AN113">
        <v>0</v>
      </c>
      <c r="AO113">
        <v>0</v>
      </c>
      <c r="AP113">
        <v>1</v>
      </c>
      <c r="AQ113">
        <v>0</v>
      </c>
      <c r="AR113">
        <v>0</v>
      </c>
      <c r="AS113" t="s">
        <v>3</v>
      </c>
      <c r="AT113">
        <v>122.4</v>
      </c>
      <c r="AU113" t="s">
        <v>24</v>
      </c>
      <c r="AV113">
        <v>0</v>
      </c>
      <c r="AW113">
        <v>1</v>
      </c>
      <c r="AX113">
        <v>-1</v>
      </c>
      <c r="AY113">
        <v>0</v>
      </c>
      <c r="AZ113">
        <v>0</v>
      </c>
      <c r="BA113" t="s">
        <v>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V113">
        <v>0</v>
      </c>
      <c r="CW113">
        <v>0</v>
      </c>
      <c r="CX113">
        <f>ROUND(Y113*Source!I143,9)</f>
        <v>75.888000000000005</v>
      </c>
      <c r="CY113">
        <f>AA113</f>
        <v>9.27</v>
      </c>
      <c r="CZ113">
        <f>AE113</f>
        <v>8.1300000000000008</v>
      </c>
      <c r="DA113">
        <f>AI113</f>
        <v>1.1399999999999999</v>
      </c>
      <c r="DB113">
        <f>ROUND((ROUND(AT113*CZ113,2)*1),6)</f>
        <v>995.11</v>
      </c>
      <c r="DC113">
        <f>ROUND((ROUND(AT113*AG113,2)*1),6)</f>
        <v>0</v>
      </c>
      <c r="DD113" t="s">
        <v>3</v>
      </c>
      <c r="DE113" t="s">
        <v>3</v>
      </c>
      <c r="DF113">
        <f>ROUND(ROUND(AE113*AI113,2)*CX113,2)</f>
        <v>703.48</v>
      </c>
      <c r="DG113">
        <f>ROUND(ROUND(AF113,2)*CX113,2)</f>
        <v>0</v>
      </c>
      <c r="DH113">
        <f>ROUND(ROUND(AG113,2)*CX113,2)</f>
        <v>0</v>
      </c>
      <c r="DI113">
        <f t="shared" si="62"/>
        <v>0</v>
      </c>
      <c r="DJ113">
        <f>DF113</f>
        <v>703.48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ROW(Source!A145)</f>
        <v>145</v>
      </c>
      <c r="B114">
        <v>56793366</v>
      </c>
      <c r="C114">
        <v>56794332</v>
      </c>
      <c r="D114">
        <v>55926487</v>
      </c>
      <c r="E114">
        <v>1081</v>
      </c>
      <c r="F114">
        <v>1</v>
      </c>
      <c r="G114">
        <v>1081</v>
      </c>
      <c r="H114">
        <v>1</v>
      </c>
      <c r="I114" t="s">
        <v>354</v>
      </c>
      <c r="J114" t="s">
        <v>3</v>
      </c>
      <c r="K114" t="s">
        <v>355</v>
      </c>
      <c r="L114">
        <v>1191</v>
      </c>
      <c r="N114">
        <v>1013</v>
      </c>
      <c r="O114" t="s">
        <v>356</v>
      </c>
      <c r="P114" t="s">
        <v>356</v>
      </c>
      <c r="Q114">
        <v>1</v>
      </c>
      <c r="W114">
        <v>0</v>
      </c>
      <c r="X114">
        <v>476480486</v>
      </c>
      <c r="Y114">
        <f>(AT114*0.8)</f>
        <v>2.7600000000000002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-2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3.45</v>
      </c>
      <c r="AU114" t="s">
        <v>278</v>
      </c>
      <c r="AV114">
        <v>1</v>
      </c>
      <c r="AW114">
        <v>2</v>
      </c>
      <c r="AX114">
        <v>56794335</v>
      </c>
      <c r="AY114">
        <v>1</v>
      </c>
      <c r="AZ114">
        <v>2048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U114">
        <f>ROUND(AT114*Source!I145*AH114*AL114,2)</f>
        <v>0</v>
      </c>
      <c r="CV114">
        <f>ROUND(Y114*Source!I145,9)</f>
        <v>1.7112000000000001</v>
      </c>
      <c r="CW114">
        <v>0</v>
      </c>
      <c r="CX114">
        <f>ROUND(Y114*Source!I145,9)</f>
        <v>1.7112000000000001</v>
      </c>
      <c r="CY114">
        <f>AD114</f>
        <v>0</v>
      </c>
      <c r="CZ114">
        <f>AH114</f>
        <v>0</v>
      </c>
      <c r="DA114">
        <f>AL114</f>
        <v>1</v>
      </c>
      <c r="DB114">
        <f>ROUND((ROUND(AT114*CZ114,2)*0.8),6)</f>
        <v>0</v>
      </c>
      <c r="DC114">
        <f>ROUND((ROUND(AT114*AG114,2)*0.8),6)</f>
        <v>0</v>
      </c>
      <c r="DD114" t="s">
        <v>3</v>
      </c>
      <c r="DE114" t="s">
        <v>3</v>
      </c>
      <c r="DF114">
        <f>ROUND(ROUND(AE114,2)*CX114,2)</f>
        <v>0</v>
      </c>
      <c r="DG114">
        <f>ROUND(ROUND(AF114,2)*CX114,2)</f>
        <v>0</v>
      </c>
      <c r="DH114">
        <f>ROUND(ROUND(AG114,2)*CX114,2)</f>
        <v>0</v>
      </c>
      <c r="DI114">
        <f t="shared" si="62"/>
        <v>0</v>
      </c>
      <c r="DJ114">
        <f>DI114</f>
        <v>0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ROW(Source!A145)</f>
        <v>145</v>
      </c>
      <c r="B115">
        <v>56793366</v>
      </c>
      <c r="C115">
        <v>56794332</v>
      </c>
      <c r="D115">
        <v>55992399</v>
      </c>
      <c r="E115">
        <v>1</v>
      </c>
      <c r="F115">
        <v>1</v>
      </c>
      <c r="G115">
        <v>1081</v>
      </c>
      <c r="H115">
        <v>2</v>
      </c>
      <c r="I115" t="s">
        <v>374</v>
      </c>
      <c r="J115" t="s">
        <v>375</v>
      </c>
      <c r="K115" t="s">
        <v>376</v>
      </c>
      <c r="L115">
        <v>1368</v>
      </c>
      <c r="N115">
        <v>1011</v>
      </c>
      <c r="O115" t="s">
        <v>377</v>
      </c>
      <c r="P115" t="s">
        <v>377</v>
      </c>
      <c r="Q115">
        <v>1</v>
      </c>
      <c r="W115">
        <v>0</v>
      </c>
      <c r="X115">
        <v>874612079</v>
      </c>
      <c r="Y115">
        <f>(AT115*0.8)</f>
        <v>1.6E-2</v>
      </c>
      <c r="AA115">
        <v>0</v>
      </c>
      <c r="AB115">
        <v>1518.25</v>
      </c>
      <c r="AC115">
        <v>753.81</v>
      </c>
      <c r="AD115">
        <v>0</v>
      </c>
      <c r="AE115">
        <v>0</v>
      </c>
      <c r="AF115">
        <v>83.1</v>
      </c>
      <c r="AG115">
        <v>12.62</v>
      </c>
      <c r="AH115">
        <v>0</v>
      </c>
      <c r="AI115">
        <v>1</v>
      </c>
      <c r="AJ115">
        <v>17.45</v>
      </c>
      <c r="AK115">
        <v>57.05</v>
      </c>
      <c r="AL115">
        <v>1</v>
      </c>
      <c r="AM115">
        <v>2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0.02</v>
      </c>
      <c r="AU115" t="s">
        <v>278</v>
      </c>
      <c r="AV115">
        <v>0</v>
      </c>
      <c r="AW115">
        <v>2</v>
      </c>
      <c r="AX115">
        <v>56794336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V115">
        <v>0</v>
      </c>
      <c r="CW115">
        <f>ROUND(Y115*Source!I145*DO115,9)</f>
        <v>0.12519040000000001</v>
      </c>
      <c r="CX115">
        <f>ROUND(Y115*Source!I145,9)</f>
        <v>9.92E-3</v>
      </c>
      <c r="CY115">
        <f>AB115</f>
        <v>1518.25</v>
      </c>
      <c r="CZ115">
        <f>AF115</f>
        <v>83.1</v>
      </c>
      <c r="DA115">
        <f>AJ115</f>
        <v>17.45</v>
      </c>
      <c r="DB115">
        <f>ROUND((ROUND(AT115*CZ115,2)*0.8),6)</f>
        <v>1.3280000000000001</v>
      </c>
      <c r="DC115">
        <f>ROUND((ROUND(AT115*AG115,2)*0.8),6)</f>
        <v>0.2</v>
      </c>
      <c r="DD115" t="s">
        <v>3</v>
      </c>
      <c r="DE115" t="s">
        <v>3</v>
      </c>
      <c r="DF115">
        <f>ROUND(ROUND(AE115,2)*CX115,2)</f>
        <v>0</v>
      </c>
      <c r="DG115">
        <f>ROUND(ROUND(AF115*AJ115,2)*CX115,2)</f>
        <v>14.38</v>
      </c>
      <c r="DH115">
        <f>ROUND(ROUND(AG115*AK115,2)*CX115,2)</f>
        <v>7.14</v>
      </c>
      <c r="DI115">
        <f t="shared" si="62"/>
        <v>0</v>
      </c>
      <c r="DJ115">
        <f>DG115</f>
        <v>14.38</v>
      </c>
      <c r="DK115">
        <v>0</v>
      </c>
      <c r="DL115" t="s">
        <v>378</v>
      </c>
      <c r="DM115">
        <v>0</v>
      </c>
      <c r="DN115" t="s">
        <v>356</v>
      </c>
      <c r="DO115">
        <v>12.62</v>
      </c>
    </row>
    <row r="116" spans="1:119" x14ac:dyDescent="0.2">
      <c r="A116">
        <f>ROW(Source!A181)</f>
        <v>181</v>
      </c>
      <c r="B116">
        <v>56793366</v>
      </c>
      <c r="C116">
        <v>56794395</v>
      </c>
      <c r="D116">
        <v>55926487</v>
      </c>
      <c r="E116">
        <v>1081</v>
      </c>
      <c r="F116">
        <v>1</v>
      </c>
      <c r="G116">
        <v>1081</v>
      </c>
      <c r="H116">
        <v>1</v>
      </c>
      <c r="I116" t="s">
        <v>354</v>
      </c>
      <c r="J116" t="s">
        <v>3</v>
      </c>
      <c r="K116" t="s">
        <v>355</v>
      </c>
      <c r="L116">
        <v>1191</v>
      </c>
      <c r="N116">
        <v>1013</v>
      </c>
      <c r="O116" t="s">
        <v>356</v>
      </c>
      <c r="P116" t="s">
        <v>356</v>
      </c>
      <c r="Q116">
        <v>1</v>
      </c>
      <c r="W116">
        <v>0</v>
      </c>
      <c r="X116">
        <v>476480486</v>
      </c>
      <c r="Y116">
        <f>AT116</f>
        <v>0.53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0.53</v>
      </c>
      <c r="AU116" t="s">
        <v>3</v>
      </c>
      <c r="AV116">
        <v>1</v>
      </c>
      <c r="AW116">
        <v>2</v>
      </c>
      <c r="AX116">
        <v>56794397</v>
      </c>
      <c r="AY116">
        <v>1</v>
      </c>
      <c r="AZ116">
        <v>0</v>
      </c>
      <c r="BA116">
        <v>117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U116">
        <f>ROUND(AT116*Source!I181*AH116*AL116,2)</f>
        <v>0</v>
      </c>
      <c r="CV116">
        <f>ROUND(Y116*Source!I181,9)</f>
        <v>8.9039999999999999</v>
      </c>
      <c r="CW116">
        <v>0</v>
      </c>
      <c r="CX116">
        <f>ROUND(Y116*Source!I181,9)</f>
        <v>8.9039999999999999</v>
      </c>
      <c r="CY116">
        <f>AD116</f>
        <v>0</v>
      </c>
      <c r="CZ116">
        <f>AH116</f>
        <v>0</v>
      </c>
      <c r="DA116">
        <f>AL116</f>
        <v>1</v>
      </c>
      <c r="DB116">
        <f>ROUND(ROUND(AT116*CZ116,2),6)</f>
        <v>0</v>
      </c>
      <c r="DC116">
        <f>ROUND(ROUND(AT116*AG116,2),6)</f>
        <v>0</v>
      </c>
      <c r="DD116" t="s">
        <v>3</v>
      </c>
      <c r="DE116" t="s">
        <v>3</v>
      </c>
      <c r="DF116">
        <f>ROUND(ROUND(AE116,2)*CX116,2)</f>
        <v>0</v>
      </c>
      <c r="DG116">
        <f t="shared" ref="DG116:DG121" si="66">ROUND(ROUND(AF116,2)*CX116,2)</f>
        <v>0</v>
      </c>
      <c r="DH116">
        <f t="shared" ref="DH116:DH121" si="67">ROUND(ROUND(AG116,2)*CX116,2)</f>
        <v>0</v>
      </c>
      <c r="DI116">
        <f t="shared" si="62"/>
        <v>0</v>
      </c>
      <c r="DJ116">
        <f>DI116</f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ROW(Source!A181)</f>
        <v>181</v>
      </c>
      <c r="B117">
        <v>56793366</v>
      </c>
      <c r="C117">
        <v>56794395</v>
      </c>
      <c r="D117">
        <v>55962783</v>
      </c>
      <c r="E117">
        <v>1</v>
      </c>
      <c r="F117">
        <v>1</v>
      </c>
      <c r="G117">
        <v>1081</v>
      </c>
      <c r="H117">
        <v>3</v>
      </c>
      <c r="I117" t="s">
        <v>290</v>
      </c>
      <c r="J117" t="s">
        <v>291</v>
      </c>
      <c r="K117" t="s">
        <v>524</v>
      </c>
      <c r="L117">
        <v>1348</v>
      </c>
      <c r="N117">
        <v>1009</v>
      </c>
      <c r="O117" t="s">
        <v>239</v>
      </c>
      <c r="P117" t="s">
        <v>239</v>
      </c>
      <c r="Q117">
        <v>1000</v>
      </c>
      <c r="W117">
        <v>0</v>
      </c>
      <c r="X117">
        <v>1487016038</v>
      </c>
      <c r="Y117">
        <f>AT117</f>
        <v>1.1904999999999999E-3</v>
      </c>
      <c r="AA117">
        <v>34873.870000000003</v>
      </c>
      <c r="AB117">
        <v>0</v>
      </c>
      <c r="AC117">
        <v>0</v>
      </c>
      <c r="AD117">
        <v>0</v>
      </c>
      <c r="AE117">
        <v>9448.25</v>
      </c>
      <c r="AF117">
        <v>0</v>
      </c>
      <c r="AG117">
        <v>0</v>
      </c>
      <c r="AH117">
        <v>0</v>
      </c>
      <c r="AI117">
        <v>3.68</v>
      </c>
      <c r="AJ117">
        <v>1</v>
      </c>
      <c r="AK117">
        <v>1</v>
      </c>
      <c r="AL117">
        <v>1</v>
      </c>
      <c r="AM117">
        <v>0</v>
      </c>
      <c r="AN117">
        <v>0</v>
      </c>
      <c r="AO117">
        <v>0</v>
      </c>
      <c r="AP117">
        <v>1</v>
      </c>
      <c r="AQ117">
        <v>0</v>
      </c>
      <c r="AR117">
        <v>0</v>
      </c>
      <c r="AS117" t="s">
        <v>3</v>
      </c>
      <c r="AT117">
        <v>1.1904999999999999E-3</v>
      </c>
      <c r="AU117" t="s">
        <v>3</v>
      </c>
      <c r="AV117">
        <v>0</v>
      </c>
      <c r="AW117">
        <v>1</v>
      </c>
      <c r="AX117">
        <v>-1</v>
      </c>
      <c r="AY117">
        <v>0</v>
      </c>
      <c r="AZ117">
        <v>0</v>
      </c>
      <c r="BA117" t="s">
        <v>3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v>0</v>
      </c>
      <c r="CX117">
        <f>ROUND(Y117*Source!I181,9)</f>
        <v>2.0000400000000002E-2</v>
      </c>
      <c r="CY117">
        <f>AA117</f>
        <v>34873.870000000003</v>
      </c>
      <c r="CZ117">
        <f>AE117</f>
        <v>9448.25</v>
      </c>
      <c r="DA117">
        <f>AI117</f>
        <v>3.68</v>
      </c>
      <c r="DB117">
        <f>ROUND(ROUND(AT117*CZ117,2),6)</f>
        <v>11.25</v>
      </c>
      <c r="DC117">
        <f>ROUND(ROUND(AT117*AG117,2),6)</f>
        <v>0</v>
      </c>
      <c r="DD117" t="s">
        <v>3</v>
      </c>
      <c r="DE117" t="s">
        <v>3</v>
      </c>
      <c r="DF117">
        <f>ROUND(ROUND(AE117*AI117,2)*CX117,2)</f>
        <v>695.41</v>
      </c>
      <c r="DG117">
        <f t="shared" si="66"/>
        <v>0</v>
      </c>
      <c r="DH117">
        <f t="shared" si="67"/>
        <v>0</v>
      </c>
      <c r="DI117">
        <f t="shared" si="62"/>
        <v>0</v>
      </c>
      <c r="DJ117">
        <f>DF117</f>
        <v>695.41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ROW(Source!A183)</f>
        <v>183</v>
      </c>
      <c r="B118">
        <v>56793366</v>
      </c>
      <c r="C118">
        <v>56794398</v>
      </c>
      <c r="D118">
        <v>55926487</v>
      </c>
      <c r="E118">
        <v>1081</v>
      </c>
      <c r="F118">
        <v>1</v>
      </c>
      <c r="G118">
        <v>1081</v>
      </c>
      <c r="H118">
        <v>1</v>
      </c>
      <c r="I118" t="s">
        <v>354</v>
      </c>
      <c r="J118" t="s">
        <v>3</v>
      </c>
      <c r="K118" t="s">
        <v>355</v>
      </c>
      <c r="L118">
        <v>1191</v>
      </c>
      <c r="N118">
        <v>1013</v>
      </c>
      <c r="O118" t="s">
        <v>356</v>
      </c>
      <c r="P118" t="s">
        <v>356</v>
      </c>
      <c r="Q118">
        <v>1</v>
      </c>
      <c r="W118">
        <v>0</v>
      </c>
      <c r="X118">
        <v>476480486</v>
      </c>
      <c r="Y118">
        <f>AT118</f>
        <v>42.37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42.37</v>
      </c>
      <c r="AU118" t="s">
        <v>3</v>
      </c>
      <c r="AV118">
        <v>1</v>
      </c>
      <c r="AW118">
        <v>2</v>
      </c>
      <c r="AX118">
        <v>56794402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U118">
        <f>ROUND(AT118*Source!I183*AH118*AL118,2)</f>
        <v>0</v>
      </c>
      <c r="CV118">
        <f>ROUND(Y118*Source!I183,9)</f>
        <v>7.1181599999999996</v>
      </c>
      <c r="CW118">
        <v>0</v>
      </c>
      <c r="CX118">
        <f>ROUND(Y118*Source!I183,9)</f>
        <v>7.1181599999999996</v>
      </c>
      <c r="CY118">
        <f>AD118</f>
        <v>0</v>
      </c>
      <c r="CZ118">
        <f>AH118</f>
        <v>0</v>
      </c>
      <c r="DA118">
        <f>AL118</f>
        <v>1</v>
      </c>
      <c r="DB118">
        <f>ROUND(ROUND(AT118*CZ118,2),6)</f>
        <v>0</v>
      </c>
      <c r="DC118">
        <f>ROUND(ROUND(AT118*AG118,2),6)</f>
        <v>0</v>
      </c>
      <c r="DD118" t="s">
        <v>3</v>
      </c>
      <c r="DE118" t="s">
        <v>3</v>
      </c>
      <c r="DF118">
        <f>ROUND(ROUND(AE118,2)*CX118,2)</f>
        <v>0</v>
      </c>
      <c r="DG118">
        <f t="shared" si="66"/>
        <v>0</v>
      </c>
      <c r="DH118">
        <f t="shared" si="67"/>
        <v>0</v>
      </c>
      <c r="DI118">
        <f t="shared" si="62"/>
        <v>0</v>
      </c>
      <c r="DJ118">
        <f>DI118</f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ROW(Source!A183)</f>
        <v>183</v>
      </c>
      <c r="B119">
        <v>56793366</v>
      </c>
      <c r="C119">
        <v>56794398</v>
      </c>
      <c r="D119">
        <v>55962690</v>
      </c>
      <c r="E119">
        <v>1</v>
      </c>
      <c r="F119">
        <v>1</v>
      </c>
      <c r="G119">
        <v>1081</v>
      </c>
      <c r="H119">
        <v>3</v>
      </c>
      <c r="I119" t="s">
        <v>300</v>
      </c>
      <c r="J119" t="s">
        <v>301</v>
      </c>
      <c r="K119" t="s">
        <v>525</v>
      </c>
      <c r="L119">
        <v>1346</v>
      </c>
      <c r="N119">
        <v>1009</v>
      </c>
      <c r="O119" t="s">
        <v>146</v>
      </c>
      <c r="P119" t="s">
        <v>146</v>
      </c>
      <c r="Q119">
        <v>1</v>
      </c>
      <c r="W119">
        <v>0</v>
      </c>
      <c r="X119">
        <v>356450355</v>
      </c>
      <c r="Y119">
        <f>(AT119*1)</f>
        <v>12</v>
      </c>
      <c r="AA119">
        <v>266.11</v>
      </c>
      <c r="AB119">
        <v>0</v>
      </c>
      <c r="AC119">
        <v>0</v>
      </c>
      <c r="AD119">
        <v>0</v>
      </c>
      <c r="AE119">
        <v>117.23</v>
      </c>
      <c r="AF119">
        <v>0</v>
      </c>
      <c r="AG119">
        <v>0</v>
      </c>
      <c r="AH119">
        <v>0</v>
      </c>
      <c r="AI119">
        <v>2.27</v>
      </c>
      <c r="AJ119">
        <v>1</v>
      </c>
      <c r="AK119">
        <v>1</v>
      </c>
      <c r="AL119">
        <v>1</v>
      </c>
      <c r="AM119">
        <v>0</v>
      </c>
      <c r="AN119">
        <v>0</v>
      </c>
      <c r="AO119">
        <v>0</v>
      </c>
      <c r="AP119">
        <v>1</v>
      </c>
      <c r="AQ119">
        <v>0</v>
      </c>
      <c r="AR119">
        <v>0</v>
      </c>
      <c r="AS119" t="s">
        <v>3</v>
      </c>
      <c r="AT119">
        <v>12</v>
      </c>
      <c r="AU119" t="s">
        <v>24</v>
      </c>
      <c r="AV119">
        <v>0</v>
      </c>
      <c r="AW119">
        <v>1</v>
      </c>
      <c r="AX119">
        <v>-1</v>
      </c>
      <c r="AY119">
        <v>0</v>
      </c>
      <c r="AZ119">
        <v>0</v>
      </c>
      <c r="BA119" t="s">
        <v>3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ROUND(Y119*Source!I183,9)</f>
        <v>2.016</v>
      </c>
      <c r="CY119">
        <f>AA119</f>
        <v>266.11</v>
      </c>
      <c r="CZ119">
        <f>AE119</f>
        <v>117.23</v>
      </c>
      <c r="DA119">
        <f>AI119</f>
        <v>2.27</v>
      </c>
      <c r="DB119">
        <f>ROUND((ROUND(AT119*CZ119,2)*1),6)</f>
        <v>1406.76</v>
      </c>
      <c r="DC119">
        <f>ROUND((ROUND(AT119*AG119,2)*1),6)</f>
        <v>0</v>
      </c>
      <c r="DD119" t="s">
        <v>3</v>
      </c>
      <c r="DE119" t="s">
        <v>3</v>
      </c>
      <c r="DF119">
        <f>ROUND(ROUND(AE119*AI119,2)*CX119,2)</f>
        <v>536.48</v>
      </c>
      <c r="DG119">
        <f t="shared" si="66"/>
        <v>0</v>
      </c>
      <c r="DH119">
        <f t="shared" si="67"/>
        <v>0</v>
      </c>
      <c r="DI119">
        <f t="shared" si="62"/>
        <v>0</v>
      </c>
      <c r="DJ119">
        <f>DF119</f>
        <v>536.48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ROW(Source!A183)</f>
        <v>183</v>
      </c>
      <c r="B120">
        <v>56793366</v>
      </c>
      <c r="C120">
        <v>56794398</v>
      </c>
      <c r="D120">
        <v>55968959</v>
      </c>
      <c r="E120">
        <v>1</v>
      </c>
      <c r="F120">
        <v>1</v>
      </c>
      <c r="G120">
        <v>1081</v>
      </c>
      <c r="H120">
        <v>3</v>
      </c>
      <c r="I120" t="s">
        <v>297</v>
      </c>
      <c r="J120" t="s">
        <v>298</v>
      </c>
      <c r="K120" t="s">
        <v>526</v>
      </c>
      <c r="L120">
        <v>1348</v>
      </c>
      <c r="N120">
        <v>1009</v>
      </c>
      <c r="O120" t="s">
        <v>239</v>
      </c>
      <c r="P120" t="s">
        <v>239</v>
      </c>
      <c r="Q120">
        <v>1000</v>
      </c>
      <c r="W120">
        <v>0</v>
      </c>
      <c r="X120">
        <v>-1987841773</v>
      </c>
      <c r="Y120">
        <f>(AT120*1)</f>
        <v>2</v>
      </c>
      <c r="AA120">
        <v>44479.91</v>
      </c>
      <c r="AB120">
        <v>0</v>
      </c>
      <c r="AC120">
        <v>0</v>
      </c>
      <c r="AD120">
        <v>0</v>
      </c>
      <c r="AE120">
        <v>18847.419999999998</v>
      </c>
      <c r="AF120">
        <v>0</v>
      </c>
      <c r="AG120">
        <v>0</v>
      </c>
      <c r="AH120">
        <v>0</v>
      </c>
      <c r="AI120">
        <v>2.36</v>
      </c>
      <c r="AJ120">
        <v>1</v>
      </c>
      <c r="AK120">
        <v>1</v>
      </c>
      <c r="AL120">
        <v>1</v>
      </c>
      <c r="AM120">
        <v>0</v>
      </c>
      <c r="AN120">
        <v>0</v>
      </c>
      <c r="AO120">
        <v>0</v>
      </c>
      <c r="AP120">
        <v>1</v>
      </c>
      <c r="AQ120">
        <v>0</v>
      </c>
      <c r="AR120">
        <v>0</v>
      </c>
      <c r="AS120" t="s">
        <v>3</v>
      </c>
      <c r="AT120">
        <v>2</v>
      </c>
      <c r="AU120" t="s">
        <v>24</v>
      </c>
      <c r="AV120">
        <v>0</v>
      </c>
      <c r="AW120">
        <v>1</v>
      </c>
      <c r="AX120">
        <v>-1</v>
      </c>
      <c r="AY120">
        <v>0</v>
      </c>
      <c r="AZ120">
        <v>0</v>
      </c>
      <c r="BA120" t="s">
        <v>3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V120">
        <v>0</v>
      </c>
      <c r="CW120">
        <v>0</v>
      </c>
      <c r="CX120">
        <f>ROUND(Y120*Source!I183,9)</f>
        <v>0.33600000000000002</v>
      </c>
      <c r="CY120">
        <f>AA120</f>
        <v>44479.91</v>
      </c>
      <c r="CZ120">
        <f>AE120</f>
        <v>18847.419999999998</v>
      </c>
      <c r="DA120">
        <f>AI120</f>
        <v>2.36</v>
      </c>
      <c r="DB120">
        <f>ROUND((ROUND(AT120*CZ120,2)*1),6)</f>
        <v>37694.839999999997</v>
      </c>
      <c r="DC120">
        <f>ROUND((ROUND(AT120*AG120,2)*1),6)</f>
        <v>0</v>
      </c>
      <c r="DD120" t="s">
        <v>3</v>
      </c>
      <c r="DE120" t="s">
        <v>3</v>
      </c>
      <c r="DF120">
        <f>ROUND(ROUND(AE120*AI120,2)*CX120,2)</f>
        <v>14945.25</v>
      </c>
      <c r="DG120">
        <f t="shared" si="66"/>
        <v>0</v>
      </c>
      <c r="DH120">
        <f t="shared" si="67"/>
        <v>0</v>
      </c>
      <c r="DI120">
        <f t="shared" si="62"/>
        <v>0</v>
      </c>
      <c r="DJ120">
        <f>DF120</f>
        <v>14945.25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ROW(Source!A186)</f>
        <v>186</v>
      </c>
      <c r="B121">
        <v>56793366</v>
      </c>
      <c r="C121">
        <v>56794406</v>
      </c>
      <c r="D121">
        <v>55926487</v>
      </c>
      <c r="E121">
        <v>1081</v>
      </c>
      <c r="F121">
        <v>1</v>
      </c>
      <c r="G121">
        <v>1081</v>
      </c>
      <c r="H121">
        <v>1</v>
      </c>
      <c r="I121" t="s">
        <v>354</v>
      </c>
      <c r="J121" t="s">
        <v>3</v>
      </c>
      <c r="K121" t="s">
        <v>355</v>
      </c>
      <c r="L121">
        <v>1191</v>
      </c>
      <c r="N121">
        <v>1013</v>
      </c>
      <c r="O121" t="s">
        <v>356</v>
      </c>
      <c r="P121" t="s">
        <v>356</v>
      </c>
      <c r="Q121">
        <v>1</v>
      </c>
      <c r="W121">
        <v>0</v>
      </c>
      <c r="X121">
        <v>476480486</v>
      </c>
      <c r="Y121">
        <f>(AT121*1.15)</f>
        <v>63.192499999999995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-2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</v>
      </c>
      <c r="AT121">
        <v>54.95</v>
      </c>
      <c r="AU121" t="s">
        <v>48</v>
      </c>
      <c r="AV121">
        <v>1</v>
      </c>
      <c r="AW121">
        <v>2</v>
      </c>
      <c r="AX121">
        <v>56794417</v>
      </c>
      <c r="AY121">
        <v>1</v>
      </c>
      <c r="AZ121">
        <v>2048</v>
      </c>
      <c r="BA121">
        <v>120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U121">
        <f>ROUND(AT121*Source!I186*AH121*AL121,2)</f>
        <v>0</v>
      </c>
      <c r="CV121">
        <f>ROUND(Y121*Source!I186,9)</f>
        <v>10.616339999999999</v>
      </c>
      <c r="CW121">
        <v>0</v>
      </c>
      <c r="CX121">
        <f>ROUND(Y121*Source!I186,9)</f>
        <v>10.616339999999999</v>
      </c>
      <c r="CY121">
        <f>AD121</f>
        <v>0</v>
      </c>
      <c r="CZ121">
        <f>AH121</f>
        <v>0</v>
      </c>
      <c r="DA121">
        <f>AL121</f>
        <v>1</v>
      </c>
      <c r="DB121">
        <f>ROUND((ROUND(AT121*CZ121,2)*1.15),6)</f>
        <v>0</v>
      </c>
      <c r="DC121">
        <f>ROUND((ROUND(AT121*AG121,2)*1.15),6)</f>
        <v>0</v>
      </c>
      <c r="DD121" t="s">
        <v>3</v>
      </c>
      <c r="DE121" t="s">
        <v>3</v>
      </c>
      <c r="DF121">
        <f>ROUND(ROUND(AE121,2)*CX121,2)</f>
        <v>0</v>
      </c>
      <c r="DG121">
        <f t="shared" si="66"/>
        <v>0</v>
      </c>
      <c r="DH121">
        <f t="shared" si="67"/>
        <v>0</v>
      </c>
      <c r="DI121">
        <f t="shared" si="62"/>
        <v>0</v>
      </c>
      <c r="DJ121">
        <f>DI121</f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ROW(Source!A186)</f>
        <v>186</v>
      </c>
      <c r="B122">
        <v>56793366</v>
      </c>
      <c r="C122">
        <v>56794406</v>
      </c>
      <c r="D122">
        <v>55992399</v>
      </c>
      <c r="E122">
        <v>1</v>
      </c>
      <c r="F122">
        <v>1</v>
      </c>
      <c r="G122">
        <v>1081</v>
      </c>
      <c r="H122">
        <v>2</v>
      </c>
      <c r="I122" t="s">
        <v>374</v>
      </c>
      <c r="J122" t="s">
        <v>375</v>
      </c>
      <c r="K122" t="s">
        <v>376</v>
      </c>
      <c r="L122">
        <v>1368</v>
      </c>
      <c r="N122">
        <v>1011</v>
      </c>
      <c r="O122" t="s">
        <v>377</v>
      </c>
      <c r="P122" t="s">
        <v>377</v>
      </c>
      <c r="Q122">
        <v>1</v>
      </c>
      <c r="W122">
        <v>0</v>
      </c>
      <c r="X122">
        <v>874612079</v>
      </c>
      <c r="Y122">
        <f>(AT122*1.15)</f>
        <v>0.10349999999999999</v>
      </c>
      <c r="AA122">
        <v>0</v>
      </c>
      <c r="AB122">
        <v>1486.35</v>
      </c>
      <c r="AC122">
        <v>737.97</v>
      </c>
      <c r="AD122">
        <v>0</v>
      </c>
      <c r="AE122">
        <v>0</v>
      </c>
      <c r="AF122">
        <v>83.1</v>
      </c>
      <c r="AG122">
        <v>12.62</v>
      </c>
      <c r="AH122">
        <v>0</v>
      </c>
      <c r="AI122">
        <v>1</v>
      </c>
      <c r="AJ122">
        <v>17.45</v>
      </c>
      <c r="AK122">
        <v>57.05</v>
      </c>
      <c r="AL122">
        <v>1</v>
      </c>
      <c r="AM122">
        <v>2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0.09</v>
      </c>
      <c r="AU122" t="s">
        <v>48</v>
      </c>
      <c r="AV122">
        <v>0</v>
      </c>
      <c r="AW122">
        <v>2</v>
      </c>
      <c r="AX122">
        <v>56794418</v>
      </c>
      <c r="AY122">
        <v>1</v>
      </c>
      <c r="AZ122">
        <v>0</v>
      </c>
      <c r="BA122">
        <v>121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f>ROUND(Y122*Source!I186*DO122,9)</f>
        <v>0.21943656</v>
      </c>
      <c r="CX122">
        <f>ROUND(Y122*Source!I186,9)</f>
        <v>1.7388000000000001E-2</v>
      </c>
      <c r="CY122">
        <f>AB122</f>
        <v>1486.35</v>
      </c>
      <c r="CZ122">
        <f>AF122</f>
        <v>83.1</v>
      </c>
      <c r="DA122">
        <f>AJ122</f>
        <v>17.45</v>
      </c>
      <c r="DB122">
        <f>ROUND((ROUND(AT122*CZ122,2)*1.15),6)</f>
        <v>8.6020000000000003</v>
      </c>
      <c r="DC122">
        <f>ROUND((ROUND(AT122*AG122,2)*1.15),6)</f>
        <v>1.3109999999999999</v>
      </c>
      <c r="DD122" t="s">
        <v>3</v>
      </c>
      <c r="DE122" t="s">
        <v>3</v>
      </c>
      <c r="DF122">
        <f>ROUND(ROUND(AE122,2)*CX122,2)</f>
        <v>0</v>
      </c>
      <c r="DG122">
        <f>ROUND(ROUND(AF122*AJ122,2)*CX122,2)</f>
        <v>25.21</v>
      </c>
      <c r="DH122">
        <f>ROUND(ROUND(AG122*AK122,2)*CX122,2)</f>
        <v>12.52</v>
      </c>
      <c r="DI122">
        <f t="shared" si="62"/>
        <v>0</v>
      </c>
      <c r="DJ122">
        <f>DG122</f>
        <v>25.21</v>
      </c>
      <c r="DK122">
        <v>0</v>
      </c>
      <c r="DL122" t="s">
        <v>378</v>
      </c>
      <c r="DM122">
        <v>0</v>
      </c>
      <c r="DN122" t="s">
        <v>356</v>
      </c>
      <c r="DO122">
        <v>12.62</v>
      </c>
    </row>
    <row r="123" spans="1:119" x14ac:dyDescent="0.2">
      <c r="A123">
        <f>ROW(Source!A186)</f>
        <v>186</v>
      </c>
      <c r="B123">
        <v>56793366</v>
      </c>
      <c r="C123">
        <v>56794406</v>
      </c>
      <c r="D123">
        <v>55991703</v>
      </c>
      <c r="E123">
        <v>1</v>
      </c>
      <c r="F123">
        <v>1</v>
      </c>
      <c r="G123">
        <v>1081</v>
      </c>
      <c r="H123">
        <v>2</v>
      </c>
      <c r="I123" t="s">
        <v>458</v>
      </c>
      <c r="J123" t="s">
        <v>459</v>
      </c>
      <c r="K123" t="s">
        <v>460</v>
      </c>
      <c r="L123">
        <v>1368</v>
      </c>
      <c r="N123">
        <v>1011</v>
      </c>
      <c r="O123" t="s">
        <v>377</v>
      </c>
      <c r="P123" t="s">
        <v>377</v>
      </c>
      <c r="Q123">
        <v>1</v>
      </c>
      <c r="W123">
        <v>0</v>
      </c>
      <c r="X123">
        <v>-1520980008</v>
      </c>
      <c r="Y123">
        <f>(AT123*1.15)</f>
        <v>1.15E-2</v>
      </c>
      <c r="AA123">
        <v>0</v>
      </c>
      <c r="AB123">
        <v>1943.24</v>
      </c>
      <c r="AC123">
        <v>737.97</v>
      </c>
      <c r="AD123">
        <v>0</v>
      </c>
      <c r="AE123">
        <v>0</v>
      </c>
      <c r="AF123">
        <v>114.83</v>
      </c>
      <c r="AG123">
        <v>12.62</v>
      </c>
      <c r="AH123">
        <v>0</v>
      </c>
      <c r="AI123">
        <v>1</v>
      </c>
      <c r="AJ123">
        <v>16.510000000000002</v>
      </c>
      <c r="AK123">
        <v>57.05</v>
      </c>
      <c r="AL123">
        <v>1</v>
      </c>
      <c r="AM123">
        <v>2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</v>
      </c>
      <c r="AT123">
        <v>0.01</v>
      </c>
      <c r="AU123" t="s">
        <v>48</v>
      </c>
      <c r="AV123">
        <v>0</v>
      </c>
      <c r="AW123">
        <v>2</v>
      </c>
      <c r="AX123">
        <v>56794419</v>
      </c>
      <c r="AY123">
        <v>1</v>
      </c>
      <c r="AZ123">
        <v>0</v>
      </c>
      <c r="BA123">
        <v>122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f>ROUND(Y123*Source!I186*DO123,9)</f>
        <v>2.4381839999999998E-2</v>
      </c>
      <c r="CX123">
        <f>ROUND(Y123*Source!I186,9)</f>
        <v>1.9319999999999999E-3</v>
      </c>
      <c r="CY123">
        <f>AB123</f>
        <v>1943.24</v>
      </c>
      <c r="CZ123">
        <f>AF123</f>
        <v>114.83</v>
      </c>
      <c r="DA123">
        <f>AJ123</f>
        <v>16.510000000000002</v>
      </c>
      <c r="DB123">
        <f>ROUND((ROUND(AT123*CZ123,2)*1.15),6)</f>
        <v>1.3225</v>
      </c>
      <c r="DC123">
        <f>ROUND((ROUND(AT123*AG123,2)*1.15),6)</f>
        <v>0.14949999999999999</v>
      </c>
      <c r="DD123" t="s">
        <v>3</v>
      </c>
      <c r="DE123" t="s">
        <v>3</v>
      </c>
      <c r="DF123">
        <f>ROUND(ROUND(AE123,2)*CX123,2)</f>
        <v>0</v>
      </c>
      <c r="DG123">
        <f>ROUND(ROUND(AF123*AJ123,2)*CX123,2)</f>
        <v>3.66</v>
      </c>
      <c r="DH123">
        <f>ROUND(ROUND(AG123*AK123,2)*CX123,2)</f>
        <v>1.39</v>
      </c>
      <c r="DI123">
        <f t="shared" si="62"/>
        <v>0</v>
      </c>
      <c r="DJ123">
        <f>DG123</f>
        <v>3.66</v>
      </c>
      <c r="DK123">
        <v>0</v>
      </c>
      <c r="DL123" t="s">
        <v>378</v>
      </c>
      <c r="DM123">
        <v>0</v>
      </c>
      <c r="DN123" t="s">
        <v>356</v>
      </c>
      <c r="DO123">
        <v>12.62</v>
      </c>
    </row>
    <row r="124" spans="1:119" x14ac:dyDescent="0.2">
      <c r="A124">
        <f>ROW(Source!A186)</f>
        <v>186</v>
      </c>
      <c r="B124">
        <v>56793366</v>
      </c>
      <c r="C124">
        <v>56794406</v>
      </c>
      <c r="D124">
        <v>55991899</v>
      </c>
      <c r="E124">
        <v>1</v>
      </c>
      <c r="F124">
        <v>1</v>
      </c>
      <c r="G124">
        <v>1081</v>
      </c>
      <c r="H124">
        <v>2</v>
      </c>
      <c r="I124" t="s">
        <v>461</v>
      </c>
      <c r="J124" t="s">
        <v>462</v>
      </c>
      <c r="K124" t="s">
        <v>463</v>
      </c>
      <c r="L124">
        <v>1368</v>
      </c>
      <c r="N124">
        <v>1011</v>
      </c>
      <c r="O124" t="s">
        <v>377</v>
      </c>
      <c r="P124" t="s">
        <v>377</v>
      </c>
      <c r="Q124">
        <v>1</v>
      </c>
      <c r="W124">
        <v>0</v>
      </c>
      <c r="X124">
        <v>-1291947616</v>
      </c>
      <c r="Y124">
        <f>(AT124*1.15)</f>
        <v>0.74749999999999994</v>
      </c>
      <c r="AA124">
        <v>0</v>
      </c>
      <c r="AB124">
        <v>2.0499999999999998</v>
      </c>
      <c r="AC124">
        <v>0</v>
      </c>
      <c r="AD124">
        <v>0</v>
      </c>
      <c r="AE124">
        <v>0</v>
      </c>
      <c r="AF124">
        <v>0.17</v>
      </c>
      <c r="AG124">
        <v>0</v>
      </c>
      <c r="AH124">
        <v>0</v>
      </c>
      <c r="AI124">
        <v>1</v>
      </c>
      <c r="AJ124">
        <v>11.76</v>
      </c>
      <c r="AK124">
        <v>1</v>
      </c>
      <c r="AL124">
        <v>1</v>
      </c>
      <c r="AM124">
        <v>2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0.65</v>
      </c>
      <c r="AU124" t="s">
        <v>48</v>
      </c>
      <c r="AV124">
        <v>0</v>
      </c>
      <c r="AW124">
        <v>2</v>
      </c>
      <c r="AX124">
        <v>56794420</v>
      </c>
      <c r="AY124">
        <v>1</v>
      </c>
      <c r="AZ124">
        <v>2048</v>
      </c>
      <c r="BA124">
        <v>123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f>ROUND(Y124*Source!I186*DO124,9)</f>
        <v>0</v>
      </c>
      <c r="CX124">
        <f>ROUND(Y124*Source!I186,9)</f>
        <v>0.12558</v>
      </c>
      <c r="CY124">
        <f>AB124</f>
        <v>2.0499999999999998</v>
      </c>
      <c r="CZ124">
        <f>AF124</f>
        <v>0.17</v>
      </c>
      <c r="DA124">
        <f>AJ124</f>
        <v>11.76</v>
      </c>
      <c r="DB124">
        <f>ROUND((ROUND(AT124*CZ124,2)*1.15),6)</f>
        <v>0.1265</v>
      </c>
      <c r="DC124">
        <f>ROUND((ROUND(AT124*AG124,2)*1.15),6)</f>
        <v>0</v>
      </c>
      <c r="DD124" t="s">
        <v>3</v>
      </c>
      <c r="DE124" t="s">
        <v>3</v>
      </c>
      <c r="DF124">
        <f>ROUND(ROUND(AE124,2)*CX124,2)</f>
        <v>0</v>
      </c>
      <c r="DG124">
        <f>ROUND(ROUND(AF124*AJ124,2)*CX124,2)</f>
        <v>0.25</v>
      </c>
      <c r="DH124">
        <f t="shared" ref="DH124:DH131" si="68">ROUND(ROUND(AG124,2)*CX124,2)</f>
        <v>0</v>
      </c>
      <c r="DI124">
        <f t="shared" si="62"/>
        <v>0</v>
      </c>
      <c r="DJ124">
        <f>DG124</f>
        <v>0.25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ROW(Source!A186)</f>
        <v>186</v>
      </c>
      <c r="B125">
        <v>56793366</v>
      </c>
      <c r="C125">
        <v>56794406</v>
      </c>
      <c r="D125">
        <v>55961424</v>
      </c>
      <c r="E125">
        <v>1</v>
      </c>
      <c r="F125">
        <v>1</v>
      </c>
      <c r="G125">
        <v>1081</v>
      </c>
      <c r="H125">
        <v>3</v>
      </c>
      <c r="I125" t="s">
        <v>464</v>
      </c>
      <c r="J125" t="s">
        <v>465</v>
      </c>
      <c r="K125" t="s">
        <v>466</v>
      </c>
      <c r="L125">
        <v>1346</v>
      </c>
      <c r="N125">
        <v>1009</v>
      </c>
      <c r="O125" t="s">
        <v>146</v>
      </c>
      <c r="P125" t="s">
        <v>146</v>
      </c>
      <c r="Q125">
        <v>1</v>
      </c>
      <c r="W125">
        <v>0</v>
      </c>
      <c r="X125">
        <v>1343467368</v>
      </c>
      <c r="Y125">
        <f t="shared" ref="Y125:Y130" si="69">(AT125*1)</f>
        <v>0.11</v>
      </c>
      <c r="AA125">
        <v>21.25</v>
      </c>
      <c r="AB125">
        <v>0</v>
      </c>
      <c r="AC125">
        <v>0</v>
      </c>
      <c r="AD125">
        <v>0</v>
      </c>
      <c r="AE125">
        <v>1.61</v>
      </c>
      <c r="AF125">
        <v>0</v>
      </c>
      <c r="AG125">
        <v>0</v>
      </c>
      <c r="AH125">
        <v>0</v>
      </c>
      <c r="AI125">
        <v>13.2</v>
      </c>
      <c r="AJ125">
        <v>1</v>
      </c>
      <c r="AK125">
        <v>1</v>
      </c>
      <c r="AL125">
        <v>1</v>
      </c>
      <c r="AM125">
        <v>2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0.11</v>
      </c>
      <c r="AU125" t="s">
        <v>24</v>
      </c>
      <c r="AV125">
        <v>0</v>
      </c>
      <c r="AW125">
        <v>2</v>
      </c>
      <c r="AX125">
        <v>56794421</v>
      </c>
      <c r="AY125">
        <v>1</v>
      </c>
      <c r="AZ125">
        <v>0</v>
      </c>
      <c r="BA125">
        <v>124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v>0</v>
      </c>
      <c r="CX125">
        <f>ROUND(Y125*Source!I186,9)</f>
        <v>1.848E-2</v>
      </c>
      <c r="CY125">
        <f t="shared" ref="CY125:CY130" si="70">AA125</f>
        <v>21.25</v>
      </c>
      <c r="CZ125">
        <f t="shared" ref="CZ125:CZ130" si="71">AE125</f>
        <v>1.61</v>
      </c>
      <c r="DA125">
        <f t="shared" ref="DA125:DA130" si="72">AI125</f>
        <v>13.2</v>
      </c>
      <c r="DB125">
        <f t="shared" ref="DB125:DB130" si="73">ROUND((ROUND(AT125*CZ125,2)*1),6)</f>
        <v>0.18</v>
      </c>
      <c r="DC125">
        <f t="shared" ref="DC125:DC130" si="74">ROUND((ROUND(AT125*AG125,2)*1),6)</f>
        <v>0</v>
      </c>
      <c r="DD125" t="s">
        <v>3</v>
      </c>
      <c r="DE125" t="s">
        <v>3</v>
      </c>
      <c r="DF125">
        <f t="shared" ref="DF125:DF130" si="75">ROUND(ROUND(AE125*AI125,2)*CX125,2)</f>
        <v>0.39</v>
      </c>
      <c r="DG125">
        <f t="shared" ref="DG125:DG131" si="76">ROUND(ROUND(AF125,2)*CX125,2)</f>
        <v>0</v>
      </c>
      <c r="DH125">
        <f t="shared" si="68"/>
        <v>0</v>
      </c>
      <c r="DI125">
        <f t="shared" si="62"/>
        <v>0</v>
      </c>
      <c r="DJ125">
        <f t="shared" ref="DJ125:DJ130" si="77">DF125</f>
        <v>0.39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ROW(Source!A186)</f>
        <v>186</v>
      </c>
      <c r="B126">
        <v>56793366</v>
      </c>
      <c r="C126">
        <v>56794406</v>
      </c>
      <c r="D126">
        <v>55961427</v>
      </c>
      <c r="E126">
        <v>1</v>
      </c>
      <c r="F126">
        <v>1</v>
      </c>
      <c r="G126">
        <v>1081</v>
      </c>
      <c r="H126">
        <v>3</v>
      </c>
      <c r="I126" t="s">
        <v>424</v>
      </c>
      <c r="J126" t="s">
        <v>425</v>
      </c>
      <c r="K126" t="s">
        <v>426</v>
      </c>
      <c r="L126">
        <v>1339</v>
      </c>
      <c r="N126">
        <v>1007</v>
      </c>
      <c r="O126" t="s">
        <v>151</v>
      </c>
      <c r="P126" t="s">
        <v>151</v>
      </c>
      <c r="Q126">
        <v>1</v>
      </c>
      <c r="W126">
        <v>0</v>
      </c>
      <c r="X126">
        <v>-1622585150</v>
      </c>
      <c r="Y126">
        <f t="shared" si="69"/>
        <v>4.9799999999999997E-2</v>
      </c>
      <c r="AA126">
        <v>54.79</v>
      </c>
      <c r="AB126">
        <v>0</v>
      </c>
      <c r="AC126">
        <v>0</v>
      </c>
      <c r="AD126">
        <v>0</v>
      </c>
      <c r="AE126">
        <v>7.07</v>
      </c>
      <c r="AF126">
        <v>0</v>
      </c>
      <c r="AG126">
        <v>0</v>
      </c>
      <c r="AH126">
        <v>0</v>
      </c>
      <c r="AI126">
        <v>7.75</v>
      </c>
      <c r="AJ126">
        <v>1</v>
      </c>
      <c r="AK126">
        <v>1</v>
      </c>
      <c r="AL126">
        <v>1</v>
      </c>
      <c r="AM126">
        <v>2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4.9799999999999997E-2</v>
      </c>
      <c r="AU126" t="s">
        <v>24</v>
      </c>
      <c r="AV126">
        <v>0</v>
      </c>
      <c r="AW126">
        <v>2</v>
      </c>
      <c r="AX126">
        <v>56794422</v>
      </c>
      <c r="AY126">
        <v>1</v>
      </c>
      <c r="AZ126">
        <v>0</v>
      </c>
      <c r="BA126">
        <v>125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ROUND(Y126*Source!I186,9)</f>
        <v>8.3663999999999995E-3</v>
      </c>
      <c r="CY126">
        <f t="shared" si="70"/>
        <v>54.79</v>
      </c>
      <c r="CZ126">
        <f t="shared" si="71"/>
        <v>7.07</v>
      </c>
      <c r="DA126">
        <f t="shared" si="72"/>
        <v>7.75</v>
      </c>
      <c r="DB126">
        <f t="shared" si="73"/>
        <v>0.35</v>
      </c>
      <c r="DC126">
        <f t="shared" si="74"/>
        <v>0</v>
      </c>
      <c r="DD126" t="s">
        <v>3</v>
      </c>
      <c r="DE126" t="s">
        <v>3</v>
      </c>
      <c r="DF126">
        <f t="shared" si="75"/>
        <v>0.46</v>
      </c>
      <c r="DG126">
        <f t="shared" si="76"/>
        <v>0</v>
      </c>
      <c r="DH126">
        <f t="shared" si="68"/>
        <v>0</v>
      </c>
      <c r="DI126">
        <f t="shared" si="62"/>
        <v>0</v>
      </c>
      <c r="DJ126">
        <f t="shared" si="77"/>
        <v>0.46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ROW(Source!A186)</f>
        <v>186</v>
      </c>
      <c r="B127">
        <v>56793366</v>
      </c>
      <c r="C127">
        <v>56794406</v>
      </c>
      <c r="D127">
        <v>55962402</v>
      </c>
      <c r="E127">
        <v>1</v>
      </c>
      <c r="F127">
        <v>1</v>
      </c>
      <c r="G127">
        <v>1081</v>
      </c>
      <c r="H127">
        <v>3</v>
      </c>
      <c r="I127" t="s">
        <v>412</v>
      </c>
      <c r="J127" t="s">
        <v>413</v>
      </c>
      <c r="K127" t="s">
        <v>414</v>
      </c>
      <c r="L127">
        <v>1327</v>
      </c>
      <c r="N127">
        <v>1005</v>
      </c>
      <c r="O127" t="s">
        <v>174</v>
      </c>
      <c r="P127" t="s">
        <v>174</v>
      </c>
      <c r="Q127">
        <v>1</v>
      </c>
      <c r="W127">
        <v>0</v>
      </c>
      <c r="X127">
        <v>366502181</v>
      </c>
      <c r="Y127">
        <f t="shared" si="69"/>
        <v>0.88</v>
      </c>
      <c r="AA127">
        <v>209.02</v>
      </c>
      <c r="AB127">
        <v>0</v>
      </c>
      <c r="AC127">
        <v>0</v>
      </c>
      <c r="AD127">
        <v>0</v>
      </c>
      <c r="AE127">
        <v>103.99</v>
      </c>
      <c r="AF127">
        <v>0</v>
      </c>
      <c r="AG127">
        <v>0</v>
      </c>
      <c r="AH127">
        <v>0</v>
      </c>
      <c r="AI127">
        <v>2.0099999999999998</v>
      </c>
      <c r="AJ127">
        <v>1</v>
      </c>
      <c r="AK127">
        <v>1</v>
      </c>
      <c r="AL127">
        <v>1</v>
      </c>
      <c r="AM127">
        <v>2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0.88</v>
      </c>
      <c r="AU127" t="s">
        <v>24</v>
      </c>
      <c r="AV127">
        <v>0</v>
      </c>
      <c r="AW127">
        <v>2</v>
      </c>
      <c r="AX127">
        <v>56794423</v>
      </c>
      <c r="AY127">
        <v>1</v>
      </c>
      <c r="AZ127">
        <v>0</v>
      </c>
      <c r="BA127">
        <v>126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v>0</v>
      </c>
      <c r="CX127">
        <f>ROUND(Y127*Source!I186,9)</f>
        <v>0.14784</v>
      </c>
      <c r="CY127">
        <f t="shared" si="70"/>
        <v>209.02</v>
      </c>
      <c r="CZ127">
        <f t="shared" si="71"/>
        <v>103.99</v>
      </c>
      <c r="DA127">
        <f t="shared" si="72"/>
        <v>2.0099999999999998</v>
      </c>
      <c r="DB127">
        <f t="shared" si="73"/>
        <v>91.51</v>
      </c>
      <c r="DC127">
        <f t="shared" si="74"/>
        <v>0</v>
      </c>
      <c r="DD127" t="s">
        <v>3</v>
      </c>
      <c r="DE127" t="s">
        <v>3</v>
      </c>
      <c r="DF127">
        <f t="shared" si="75"/>
        <v>30.9</v>
      </c>
      <c r="DG127">
        <f t="shared" si="76"/>
        <v>0</v>
      </c>
      <c r="DH127">
        <f t="shared" si="68"/>
        <v>0</v>
      </c>
      <c r="DI127">
        <f t="shared" si="62"/>
        <v>0</v>
      </c>
      <c r="DJ127">
        <f t="shared" si="77"/>
        <v>30.9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ROW(Source!A186)</f>
        <v>186</v>
      </c>
      <c r="B128">
        <v>56793366</v>
      </c>
      <c r="C128">
        <v>56794406</v>
      </c>
      <c r="D128">
        <v>55962690</v>
      </c>
      <c r="E128">
        <v>1</v>
      </c>
      <c r="F128">
        <v>1</v>
      </c>
      <c r="G128">
        <v>1081</v>
      </c>
      <c r="H128">
        <v>3</v>
      </c>
      <c r="I128" t="s">
        <v>300</v>
      </c>
      <c r="J128" t="s">
        <v>301</v>
      </c>
      <c r="K128" t="s">
        <v>525</v>
      </c>
      <c r="L128">
        <v>1346</v>
      </c>
      <c r="N128">
        <v>1009</v>
      </c>
      <c r="O128" t="s">
        <v>146</v>
      </c>
      <c r="P128" t="s">
        <v>146</v>
      </c>
      <c r="Q128">
        <v>1</v>
      </c>
      <c r="W128">
        <v>0</v>
      </c>
      <c r="X128">
        <v>356450355</v>
      </c>
      <c r="Y128">
        <f t="shared" si="69"/>
        <v>45</v>
      </c>
      <c r="AA128">
        <v>266.11</v>
      </c>
      <c r="AB128">
        <v>0</v>
      </c>
      <c r="AC128">
        <v>0</v>
      </c>
      <c r="AD128">
        <v>0</v>
      </c>
      <c r="AE128">
        <v>117.23</v>
      </c>
      <c r="AF128">
        <v>0</v>
      </c>
      <c r="AG128">
        <v>0</v>
      </c>
      <c r="AH128">
        <v>0</v>
      </c>
      <c r="AI128">
        <v>2.27</v>
      </c>
      <c r="AJ128">
        <v>1</v>
      </c>
      <c r="AK128">
        <v>1</v>
      </c>
      <c r="AL128">
        <v>1</v>
      </c>
      <c r="AM128">
        <v>0</v>
      </c>
      <c r="AN128">
        <v>0</v>
      </c>
      <c r="AO128">
        <v>0</v>
      </c>
      <c r="AP128">
        <v>1</v>
      </c>
      <c r="AQ128">
        <v>0</v>
      </c>
      <c r="AR128">
        <v>0</v>
      </c>
      <c r="AS128" t="s">
        <v>3</v>
      </c>
      <c r="AT128">
        <v>45</v>
      </c>
      <c r="AU128" t="s">
        <v>24</v>
      </c>
      <c r="AV128">
        <v>0</v>
      </c>
      <c r="AW128">
        <v>1</v>
      </c>
      <c r="AX128">
        <v>-1</v>
      </c>
      <c r="AY128">
        <v>0</v>
      </c>
      <c r="AZ128">
        <v>0</v>
      </c>
      <c r="BA128" t="s">
        <v>3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ROUND(Y128*Source!I186,9)</f>
        <v>7.56</v>
      </c>
      <c r="CY128">
        <f t="shared" si="70"/>
        <v>266.11</v>
      </c>
      <c r="CZ128">
        <f t="shared" si="71"/>
        <v>117.23</v>
      </c>
      <c r="DA128">
        <f t="shared" si="72"/>
        <v>2.27</v>
      </c>
      <c r="DB128">
        <f t="shared" si="73"/>
        <v>5275.35</v>
      </c>
      <c r="DC128">
        <f t="shared" si="74"/>
        <v>0</v>
      </c>
      <c r="DD128" t="s">
        <v>3</v>
      </c>
      <c r="DE128" t="s">
        <v>3</v>
      </c>
      <c r="DF128">
        <f t="shared" si="75"/>
        <v>2011.79</v>
      </c>
      <c r="DG128">
        <f t="shared" si="76"/>
        <v>0</v>
      </c>
      <c r="DH128">
        <f t="shared" si="68"/>
        <v>0</v>
      </c>
      <c r="DI128">
        <f t="shared" si="62"/>
        <v>0</v>
      </c>
      <c r="DJ128">
        <f t="shared" si="77"/>
        <v>2011.79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ROW(Source!A186)</f>
        <v>186</v>
      </c>
      <c r="B129">
        <v>56793366</v>
      </c>
      <c r="C129">
        <v>56794406</v>
      </c>
      <c r="D129">
        <v>55961677</v>
      </c>
      <c r="E129">
        <v>1</v>
      </c>
      <c r="F129">
        <v>1</v>
      </c>
      <c r="G129">
        <v>1081</v>
      </c>
      <c r="H129">
        <v>3</v>
      </c>
      <c r="I129" t="s">
        <v>307</v>
      </c>
      <c r="J129" t="s">
        <v>309</v>
      </c>
      <c r="K129" t="s">
        <v>308</v>
      </c>
      <c r="L129">
        <v>1348</v>
      </c>
      <c r="N129">
        <v>1009</v>
      </c>
      <c r="O129" t="s">
        <v>239</v>
      </c>
      <c r="P129" t="s">
        <v>239</v>
      </c>
      <c r="Q129">
        <v>1000</v>
      </c>
      <c r="W129">
        <v>0</v>
      </c>
      <c r="X129">
        <v>1824337578</v>
      </c>
      <c r="Y129">
        <f t="shared" si="69"/>
        <v>0.224</v>
      </c>
      <c r="AA129">
        <v>56930.84</v>
      </c>
      <c r="AB129">
        <v>0</v>
      </c>
      <c r="AC129">
        <v>0</v>
      </c>
      <c r="AD129">
        <v>0</v>
      </c>
      <c r="AE129">
        <v>12376.27</v>
      </c>
      <c r="AF129">
        <v>0</v>
      </c>
      <c r="AG129">
        <v>0</v>
      </c>
      <c r="AH129">
        <v>0</v>
      </c>
      <c r="AI129">
        <v>4.5999999999999996</v>
      </c>
      <c r="AJ129">
        <v>1</v>
      </c>
      <c r="AK129">
        <v>1</v>
      </c>
      <c r="AL129">
        <v>1</v>
      </c>
      <c r="AM129">
        <v>0</v>
      </c>
      <c r="AN129">
        <v>0</v>
      </c>
      <c r="AO129">
        <v>0</v>
      </c>
      <c r="AP129">
        <v>1</v>
      </c>
      <c r="AQ129">
        <v>0</v>
      </c>
      <c r="AR129">
        <v>0</v>
      </c>
      <c r="AS129" t="s">
        <v>3</v>
      </c>
      <c r="AT129">
        <v>0.224</v>
      </c>
      <c r="AU129" t="s">
        <v>24</v>
      </c>
      <c r="AV129">
        <v>0</v>
      </c>
      <c r="AW129">
        <v>1</v>
      </c>
      <c r="AX129">
        <v>-1</v>
      </c>
      <c r="AY129">
        <v>0</v>
      </c>
      <c r="AZ129">
        <v>0</v>
      </c>
      <c r="BA129" t="s">
        <v>3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ROUND(Y129*Source!I186,9)</f>
        <v>3.7631999999999999E-2</v>
      </c>
      <c r="CY129">
        <f t="shared" si="70"/>
        <v>56930.84</v>
      </c>
      <c r="CZ129">
        <f t="shared" si="71"/>
        <v>12376.27</v>
      </c>
      <c r="DA129">
        <f t="shared" si="72"/>
        <v>4.5999999999999996</v>
      </c>
      <c r="DB129">
        <f t="shared" si="73"/>
        <v>2772.28</v>
      </c>
      <c r="DC129">
        <f t="shared" si="74"/>
        <v>0</v>
      </c>
      <c r="DD129" t="s">
        <v>3</v>
      </c>
      <c r="DE129" t="s">
        <v>3</v>
      </c>
      <c r="DF129">
        <f t="shared" si="75"/>
        <v>2142.42</v>
      </c>
      <c r="DG129">
        <f t="shared" si="76"/>
        <v>0</v>
      </c>
      <c r="DH129">
        <f t="shared" si="68"/>
        <v>0</v>
      </c>
      <c r="DI129">
        <f t="shared" si="62"/>
        <v>0</v>
      </c>
      <c r="DJ129">
        <f t="shared" si="77"/>
        <v>2142.42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ROW(Source!A186)</f>
        <v>186</v>
      </c>
      <c r="B130">
        <v>56793366</v>
      </c>
      <c r="C130">
        <v>56794406</v>
      </c>
      <c r="D130">
        <v>55969025</v>
      </c>
      <c r="E130">
        <v>1</v>
      </c>
      <c r="F130">
        <v>1</v>
      </c>
      <c r="G130">
        <v>1081</v>
      </c>
      <c r="H130">
        <v>3</v>
      </c>
      <c r="I130" t="s">
        <v>312</v>
      </c>
      <c r="J130" t="s">
        <v>314</v>
      </c>
      <c r="K130" t="s">
        <v>313</v>
      </c>
      <c r="L130">
        <v>1346</v>
      </c>
      <c r="N130">
        <v>1009</v>
      </c>
      <c r="O130" t="s">
        <v>146</v>
      </c>
      <c r="P130" t="s">
        <v>146</v>
      </c>
      <c r="Q130">
        <v>1</v>
      </c>
      <c r="W130">
        <v>0</v>
      </c>
      <c r="X130">
        <v>1854259352</v>
      </c>
      <c r="Y130">
        <f t="shared" si="69"/>
        <v>119.78</v>
      </c>
      <c r="AA130">
        <v>51.77</v>
      </c>
      <c r="AB130">
        <v>0</v>
      </c>
      <c r="AC130">
        <v>0</v>
      </c>
      <c r="AD130">
        <v>0</v>
      </c>
      <c r="AE130">
        <v>8.8800000000000008</v>
      </c>
      <c r="AF130">
        <v>0</v>
      </c>
      <c r="AG130">
        <v>0</v>
      </c>
      <c r="AH130">
        <v>0</v>
      </c>
      <c r="AI130">
        <v>5.83</v>
      </c>
      <c r="AJ130">
        <v>1</v>
      </c>
      <c r="AK130">
        <v>1</v>
      </c>
      <c r="AL130">
        <v>1</v>
      </c>
      <c r="AM130">
        <v>0</v>
      </c>
      <c r="AN130">
        <v>0</v>
      </c>
      <c r="AO130">
        <v>0</v>
      </c>
      <c r="AP130">
        <v>1</v>
      </c>
      <c r="AQ130">
        <v>0</v>
      </c>
      <c r="AR130">
        <v>0</v>
      </c>
      <c r="AS130" t="s">
        <v>3</v>
      </c>
      <c r="AT130">
        <v>119.78</v>
      </c>
      <c r="AU130" t="s">
        <v>24</v>
      </c>
      <c r="AV130">
        <v>0</v>
      </c>
      <c r="AW130">
        <v>1</v>
      </c>
      <c r="AX130">
        <v>-1</v>
      </c>
      <c r="AY130">
        <v>0</v>
      </c>
      <c r="AZ130">
        <v>0</v>
      </c>
      <c r="BA130" t="s">
        <v>3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ROUND(Y130*Source!I186,9)</f>
        <v>20.12304</v>
      </c>
      <c r="CY130">
        <f t="shared" si="70"/>
        <v>51.77</v>
      </c>
      <c r="CZ130">
        <f t="shared" si="71"/>
        <v>8.8800000000000008</v>
      </c>
      <c r="DA130">
        <f t="shared" si="72"/>
        <v>5.83</v>
      </c>
      <c r="DB130">
        <f t="shared" si="73"/>
        <v>1063.6500000000001</v>
      </c>
      <c r="DC130">
        <f t="shared" si="74"/>
        <v>0</v>
      </c>
      <c r="DD130" t="s">
        <v>3</v>
      </c>
      <c r="DE130" t="s">
        <v>3</v>
      </c>
      <c r="DF130">
        <f t="shared" si="75"/>
        <v>1041.77</v>
      </c>
      <c r="DG130">
        <f t="shared" si="76"/>
        <v>0</v>
      </c>
      <c r="DH130">
        <f t="shared" si="68"/>
        <v>0</v>
      </c>
      <c r="DI130">
        <f t="shared" si="62"/>
        <v>0</v>
      </c>
      <c r="DJ130">
        <f t="shared" si="77"/>
        <v>1041.77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ROW(Source!A255)</f>
        <v>255</v>
      </c>
      <c r="B131">
        <v>56793366</v>
      </c>
      <c r="C131">
        <v>56793663</v>
      </c>
      <c r="D131">
        <v>55926487</v>
      </c>
      <c r="E131">
        <v>1081</v>
      </c>
      <c r="F131">
        <v>1</v>
      </c>
      <c r="G131">
        <v>1081</v>
      </c>
      <c r="H131">
        <v>1</v>
      </c>
      <c r="I131" t="s">
        <v>354</v>
      </c>
      <c r="J131" t="s">
        <v>3</v>
      </c>
      <c r="K131" t="s">
        <v>355</v>
      </c>
      <c r="L131">
        <v>1191</v>
      </c>
      <c r="N131">
        <v>1013</v>
      </c>
      <c r="O131" t="s">
        <v>356</v>
      </c>
      <c r="P131" t="s">
        <v>356</v>
      </c>
      <c r="Q131">
        <v>1</v>
      </c>
      <c r="W131">
        <v>0</v>
      </c>
      <c r="X131">
        <v>476480486</v>
      </c>
      <c r="Y131">
        <f>AT131</f>
        <v>1.1200000000000001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1.1200000000000001</v>
      </c>
      <c r="AU131" t="s">
        <v>3</v>
      </c>
      <c r="AV131">
        <v>1</v>
      </c>
      <c r="AW131">
        <v>2</v>
      </c>
      <c r="AX131">
        <v>56793666</v>
      </c>
      <c r="AY131">
        <v>1</v>
      </c>
      <c r="AZ131">
        <v>0</v>
      </c>
      <c r="BA131">
        <v>130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U131">
        <f>ROUND(AT131*Source!I255*AH131*AL131,2)</f>
        <v>0</v>
      </c>
      <c r="CV131">
        <f>ROUND(Y131*Source!I255,9)</f>
        <v>2.1280000000000001</v>
      </c>
      <c r="CW131">
        <v>0</v>
      </c>
      <c r="CX131">
        <f>ROUND(Y131*Source!I255,9)</f>
        <v>2.1280000000000001</v>
      </c>
      <c r="CY131">
        <f>AD131</f>
        <v>0</v>
      </c>
      <c r="CZ131">
        <f>AH131</f>
        <v>0</v>
      </c>
      <c r="DA131">
        <f>AL131</f>
        <v>1</v>
      </c>
      <c r="DB131">
        <f>ROUND(ROUND(AT131*CZ131,2),6)</f>
        <v>0</v>
      </c>
      <c r="DC131">
        <f>ROUND(ROUND(AT131*AG131,2),6)</f>
        <v>0</v>
      </c>
      <c r="DD131" t="s">
        <v>3</v>
      </c>
      <c r="DE131" t="s">
        <v>3</v>
      </c>
      <c r="DF131">
        <f>ROUND(ROUND(AE131,2)*CX131,2)</f>
        <v>0</v>
      </c>
      <c r="DG131">
        <f t="shared" si="76"/>
        <v>0</v>
      </c>
      <c r="DH131">
        <f t="shared" si="68"/>
        <v>0</v>
      </c>
      <c r="DI131">
        <f t="shared" si="62"/>
        <v>0</v>
      </c>
      <c r="DJ131">
        <f>DI131</f>
        <v>0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ROW(Source!A255)</f>
        <v>255</v>
      </c>
      <c r="B132">
        <v>56793366</v>
      </c>
      <c r="C132">
        <v>56793663</v>
      </c>
      <c r="D132">
        <v>55992411</v>
      </c>
      <c r="E132">
        <v>1</v>
      </c>
      <c r="F132">
        <v>1</v>
      </c>
      <c r="G132">
        <v>1081</v>
      </c>
      <c r="H132">
        <v>2</v>
      </c>
      <c r="I132" t="s">
        <v>467</v>
      </c>
      <c r="J132" t="s">
        <v>468</v>
      </c>
      <c r="K132" t="s">
        <v>469</v>
      </c>
      <c r="L132">
        <v>1368</v>
      </c>
      <c r="N132">
        <v>1011</v>
      </c>
      <c r="O132" t="s">
        <v>377</v>
      </c>
      <c r="P132" t="s">
        <v>377</v>
      </c>
      <c r="Q132">
        <v>1</v>
      </c>
      <c r="W132">
        <v>0</v>
      </c>
      <c r="X132">
        <v>419881832</v>
      </c>
      <c r="Y132">
        <f>AT132</f>
        <v>0.38</v>
      </c>
      <c r="AA132">
        <v>0</v>
      </c>
      <c r="AB132">
        <v>1072.6199999999999</v>
      </c>
      <c r="AC132">
        <v>753.81</v>
      </c>
      <c r="AD132">
        <v>0</v>
      </c>
      <c r="AE132">
        <v>0</v>
      </c>
      <c r="AF132">
        <v>43.95</v>
      </c>
      <c r="AG132">
        <v>12.62</v>
      </c>
      <c r="AH132">
        <v>0</v>
      </c>
      <c r="AI132">
        <v>1</v>
      </c>
      <c r="AJ132">
        <v>23.31</v>
      </c>
      <c r="AK132">
        <v>57.05</v>
      </c>
      <c r="AL132">
        <v>1</v>
      </c>
      <c r="AM132">
        <v>2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0.38</v>
      </c>
      <c r="AU132" t="s">
        <v>3</v>
      </c>
      <c r="AV132">
        <v>0</v>
      </c>
      <c r="AW132">
        <v>2</v>
      </c>
      <c r="AX132">
        <v>56793667</v>
      </c>
      <c r="AY132">
        <v>1</v>
      </c>
      <c r="AZ132">
        <v>0</v>
      </c>
      <c r="BA132">
        <v>131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V132">
        <v>0</v>
      </c>
      <c r="CW132">
        <f>ROUND(Y132*Source!I255*DO132,9)</f>
        <v>9.1116399999999995</v>
      </c>
      <c r="CX132">
        <f>ROUND(Y132*Source!I255,9)</f>
        <v>0.72199999999999998</v>
      </c>
      <c r="CY132">
        <f>AB132</f>
        <v>1072.6199999999999</v>
      </c>
      <c r="CZ132">
        <f>AF132</f>
        <v>43.95</v>
      </c>
      <c r="DA132">
        <f>AJ132</f>
        <v>23.31</v>
      </c>
      <c r="DB132">
        <f>ROUND(ROUND(AT132*CZ132,2),6)</f>
        <v>16.7</v>
      </c>
      <c r="DC132">
        <f>ROUND(ROUND(AT132*AG132,2),6)</f>
        <v>4.8</v>
      </c>
      <c r="DD132" t="s">
        <v>3</v>
      </c>
      <c r="DE132" t="s">
        <v>3</v>
      </c>
      <c r="DF132">
        <f>ROUND(ROUND(AE132,2)*CX132,2)</f>
        <v>0</v>
      </c>
      <c r="DG132">
        <f>ROUND(ROUND(AF132*AJ132,2)*CX132,2)</f>
        <v>739.67</v>
      </c>
      <c r="DH132">
        <f>ROUND(ROUND(AG132*AK132,2)*CX132,2)</f>
        <v>519.82000000000005</v>
      </c>
      <c r="DI132">
        <f t="shared" si="62"/>
        <v>0</v>
      </c>
      <c r="DJ132">
        <f>DG132</f>
        <v>739.67</v>
      </c>
      <c r="DK132">
        <v>0</v>
      </c>
      <c r="DL132" t="s">
        <v>378</v>
      </c>
      <c r="DM132">
        <v>0</v>
      </c>
      <c r="DN132" t="s">
        <v>356</v>
      </c>
      <c r="DO132">
        <v>12.62</v>
      </c>
    </row>
    <row r="133" spans="1:119" x14ac:dyDescent="0.2">
      <c r="A133">
        <f>ROW(Source!A256)</f>
        <v>256</v>
      </c>
      <c r="B133">
        <v>56793366</v>
      </c>
      <c r="C133">
        <v>56793668</v>
      </c>
      <c r="D133">
        <v>55926483</v>
      </c>
      <c r="E133">
        <v>1081</v>
      </c>
      <c r="F133">
        <v>1</v>
      </c>
      <c r="G133">
        <v>1081</v>
      </c>
      <c r="H133">
        <v>2</v>
      </c>
      <c r="I133" t="s">
        <v>470</v>
      </c>
      <c r="J133" t="s">
        <v>3</v>
      </c>
      <c r="K133" t="s">
        <v>471</v>
      </c>
      <c r="L133">
        <v>1344</v>
      </c>
      <c r="N133">
        <v>1008</v>
      </c>
      <c r="O133" t="s">
        <v>472</v>
      </c>
      <c r="P133" t="s">
        <v>472</v>
      </c>
      <c r="Q133">
        <v>1</v>
      </c>
      <c r="W133">
        <v>0</v>
      </c>
      <c r="X133">
        <v>-1180195794</v>
      </c>
      <c r="Y133">
        <f>AT133</f>
        <v>115.01</v>
      </c>
      <c r="AA133">
        <v>0</v>
      </c>
      <c r="AB133">
        <v>1</v>
      </c>
      <c r="AC133">
        <v>0</v>
      </c>
      <c r="AD133">
        <v>0</v>
      </c>
      <c r="AE133">
        <v>0</v>
      </c>
      <c r="AF133">
        <v>1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115.01</v>
      </c>
      <c r="AU133" t="s">
        <v>3</v>
      </c>
      <c r="AV133">
        <v>0</v>
      </c>
      <c r="AW133">
        <v>2</v>
      </c>
      <c r="AX133">
        <v>56793670</v>
      </c>
      <c r="AY133">
        <v>1</v>
      </c>
      <c r="AZ133">
        <v>0</v>
      </c>
      <c r="BA133">
        <v>132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V133">
        <v>0</v>
      </c>
      <c r="CW133">
        <f>ROUND(Y133*Source!I256*DO133,9)</f>
        <v>0</v>
      </c>
      <c r="CX133">
        <f>ROUND(Y133*Source!I256,9)</f>
        <v>218.51900000000001</v>
      </c>
      <c r="CY133">
        <f>AB133</f>
        <v>1</v>
      </c>
      <c r="CZ133">
        <f>AF133</f>
        <v>1</v>
      </c>
      <c r="DA133">
        <f>AJ133</f>
        <v>1</v>
      </c>
      <c r="DB133">
        <f>ROUND(ROUND(AT133*CZ133,2),6)</f>
        <v>115.01</v>
      </c>
      <c r="DC133">
        <f>ROUND(ROUND(AT133*AG133,2),6)</f>
        <v>0</v>
      </c>
      <c r="DD133" t="s">
        <v>3</v>
      </c>
      <c r="DE133" t="s">
        <v>3</v>
      </c>
      <c r="DF133">
        <f>ROUND(ROUND(AE133,2)*CX133,2)</f>
        <v>0</v>
      </c>
      <c r="DG133">
        <f>ROUND(ROUND(AF133,2)*CX133,2)</f>
        <v>218.52</v>
      </c>
      <c r="DH133">
        <f>ROUND(ROUND(AG133,2)*CX133,2)</f>
        <v>0</v>
      </c>
      <c r="DI133">
        <f t="shared" si="62"/>
        <v>0</v>
      </c>
      <c r="DJ133">
        <f>DG133</f>
        <v>218.52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ROW(Source!A32)</f>
        <v>32</v>
      </c>
      <c r="B1">
        <v>56793607</v>
      </c>
      <c r="C1">
        <v>56793604</v>
      </c>
      <c r="D1">
        <v>55926487</v>
      </c>
      <c r="E1">
        <v>1081</v>
      </c>
      <c r="F1">
        <v>1</v>
      </c>
      <c r="G1">
        <v>1081</v>
      </c>
      <c r="H1">
        <v>1</v>
      </c>
      <c r="I1" t="s">
        <v>354</v>
      </c>
      <c r="J1" t="s">
        <v>3</v>
      </c>
      <c r="K1" t="s">
        <v>355</v>
      </c>
      <c r="L1">
        <v>1191</v>
      </c>
      <c r="N1">
        <v>1013</v>
      </c>
      <c r="O1" t="s">
        <v>356</v>
      </c>
      <c r="P1" t="s">
        <v>356</v>
      </c>
      <c r="Q1">
        <v>1</v>
      </c>
      <c r="X1">
        <v>196.03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3</v>
      </c>
      <c r="AG1">
        <v>196.03</v>
      </c>
      <c r="AH1">
        <v>2</v>
      </c>
      <c r="AI1">
        <v>56793605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ROW(Source!A32)</f>
        <v>32</v>
      </c>
      <c r="B2">
        <v>56793608</v>
      </c>
      <c r="C2">
        <v>56793604</v>
      </c>
      <c r="D2">
        <v>55926471</v>
      </c>
      <c r="E2">
        <v>1081</v>
      </c>
      <c r="F2">
        <v>1</v>
      </c>
      <c r="G2">
        <v>1081</v>
      </c>
      <c r="H2">
        <v>3</v>
      </c>
      <c r="I2" t="s">
        <v>357</v>
      </c>
      <c r="J2" t="s">
        <v>3</v>
      </c>
      <c r="K2" t="s">
        <v>358</v>
      </c>
      <c r="L2">
        <v>1348</v>
      </c>
      <c r="N2">
        <v>1009</v>
      </c>
      <c r="O2" t="s">
        <v>239</v>
      </c>
      <c r="P2" t="s">
        <v>239</v>
      </c>
      <c r="Q2">
        <v>1000</v>
      </c>
      <c r="X2">
        <v>10.5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24</v>
      </c>
      <c r="AG2">
        <v>10.5</v>
      </c>
      <c r="AH2">
        <v>2</v>
      </c>
      <c r="AI2">
        <v>56793606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ROW(Source!A33)</f>
        <v>33</v>
      </c>
      <c r="B3">
        <v>56793612</v>
      </c>
      <c r="C3">
        <v>56793609</v>
      </c>
      <c r="D3">
        <v>55926487</v>
      </c>
      <c r="E3">
        <v>1081</v>
      </c>
      <c r="F3">
        <v>1</v>
      </c>
      <c r="G3">
        <v>1081</v>
      </c>
      <c r="H3">
        <v>1</v>
      </c>
      <c r="I3" t="s">
        <v>354</v>
      </c>
      <c r="J3" t="s">
        <v>3</v>
      </c>
      <c r="K3" t="s">
        <v>355</v>
      </c>
      <c r="L3">
        <v>1191</v>
      </c>
      <c r="N3">
        <v>1013</v>
      </c>
      <c r="O3" t="s">
        <v>356</v>
      </c>
      <c r="P3" t="s">
        <v>356</v>
      </c>
      <c r="Q3">
        <v>1</v>
      </c>
      <c r="X3">
        <v>36.28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3</v>
      </c>
      <c r="AG3">
        <v>36.28</v>
      </c>
      <c r="AH3">
        <v>2</v>
      </c>
      <c r="AI3">
        <v>56793610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ROW(Source!A33)</f>
        <v>33</v>
      </c>
      <c r="B4">
        <v>56793613</v>
      </c>
      <c r="C4">
        <v>56793609</v>
      </c>
      <c r="D4">
        <v>55926471</v>
      </c>
      <c r="E4">
        <v>1081</v>
      </c>
      <c r="F4">
        <v>1</v>
      </c>
      <c r="G4">
        <v>1081</v>
      </c>
      <c r="H4">
        <v>3</v>
      </c>
      <c r="I4" t="s">
        <v>357</v>
      </c>
      <c r="J4" t="s">
        <v>3</v>
      </c>
      <c r="K4" t="s">
        <v>358</v>
      </c>
      <c r="L4">
        <v>1348</v>
      </c>
      <c r="N4">
        <v>1009</v>
      </c>
      <c r="O4" t="s">
        <v>239</v>
      </c>
      <c r="P4" t="s">
        <v>239</v>
      </c>
      <c r="Q4">
        <v>1000</v>
      </c>
      <c r="X4">
        <v>1.18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24</v>
      </c>
      <c r="AG4">
        <v>1.18</v>
      </c>
      <c r="AH4">
        <v>2</v>
      </c>
      <c r="AI4">
        <v>56793611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ROW(Source!A34)</f>
        <v>34</v>
      </c>
      <c r="B5">
        <v>56793622</v>
      </c>
      <c r="C5">
        <v>56793614</v>
      </c>
      <c r="D5">
        <v>55926487</v>
      </c>
      <c r="E5">
        <v>1081</v>
      </c>
      <c r="F5">
        <v>1</v>
      </c>
      <c r="G5">
        <v>1081</v>
      </c>
      <c r="H5">
        <v>1</v>
      </c>
      <c r="I5" t="s">
        <v>354</v>
      </c>
      <c r="J5" t="s">
        <v>3</v>
      </c>
      <c r="K5" t="s">
        <v>355</v>
      </c>
      <c r="L5">
        <v>1191</v>
      </c>
      <c r="N5">
        <v>1013</v>
      </c>
      <c r="O5" t="s">
        <v>356</v>
      </c>
      <c r="P5" t="s">
        <v>356</v>
      </c>
      <c r="Q5">
        <v>1</v>
      </c>
      <c r="X5">
        <v>193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1</v>
      </c>
      <c r="AF5" t="s">
        <v>3</v>
      </c>
      <c r="AG5">
        <v>193</v>
      </c>
      <c r="AH5">
        <v>2</v>
      </c>
      <c r="AI5">
        <v>56793615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ROW(Source!A34)</f>
        <v>34</v>
      </c>
      <c r="B6">
        <v>56793623</v>
      </c>
      <c r="C6">
        <v>56793614</v>
      </c>
      <c r="D6">
        <v>55962038</v>
      </c>
      <c r="E6">
        <v>1</v>
      </c>
      <c r="F6">
        <v>1</v>
      </c>
      <c r="G6">
        <v>1081</v>
      </c>
      <c r="H6">
        <v>3</v>
      </c>
      <c r="I6" t="s">
        <v>359</v>
      </c>
      <c r="J6" t="s">
        <v>360</v>
      </c>
      <c r="K6" t="s">
        <v>361</v>
      </c>
      <c r="L6">
        <v>1327</v>
      </c>
      <c r="N6">
        <v>1005</v>
      </c>
      <c r="O6" t="s">
        <v>174</v>
      </c>
      <c r="P6" t="s">
        <v>174</v>
      </c>
      <c r="Q6">
        <v>1</v>
      </c>
      <c r="X6">
        <v>57.1</v>
      </c>
      <c r="Y6">
        <v>4.18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24</v>
      </c>
      <c r="AG6">
        <v>57.1</v>
      </c>
      <c r="AH6">
        <v>2</v>
      </c>
      <c r="AI6">
        <v>56793616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ROW(Source!A34)</f>
        <v>34</v>
      </c>
      <c r="B7">
        <v>56793624</v>
      </c>
      <c r="C7">
        <v>56793614</v>
      </c>
      <c r="D7">
        <v>55961439</v>
      </c>
      <c r="E7">
        <v>1</v>
      </c>
      <c r="F7">
        <v>1</v>
      </c>
      <c r="G7">
        <v>1081</v>
      </c>
      <c r="H7">
        <v>3</v>
      </c>
      <c r="I7" t="s">
        <v>362</v>
      </c>
      <c r="J7" t="s">
        <v>363</v>
      </c>
      <c r="K7" t="s">
        <v>364</v>
      </c>
      <c r="L7">
        <v>1348</v>
      </c>
      <c r="N7">
        <v>1009</v>
      </c>
      <c r="O7" t="s">
        <v>239</v>
      </c>
      <c r="P7" t="s">
        <v>239</v>
      </c>
      <c r="Q7">
        <v>1000</v>
      </c>
      <c r="X7">
        <v>1.2E-4</v>
      </c>
      <c r="Y7">
        <v>6512.79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24</v>
      </c>
      <c r="AG7">
        <v>1.2E-4</v>
      </c>
      <c r="AH7">
        <v>2</v>
      </c>
      <c r="AI7">
        <v>56793617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ROW(Source!A34)</f>
        <v>34</v>
      </c>
      <c r="B8">
        <v>56793625</v>
      </c>
      <c r="C8">
        <v>56793614</v>
      </c>
      <c r="D8">
        <v>55961451</v>
      </c>
      <c r="E8">
        <v>1</v>
      </c>
      <c r="F8">
        <v>1</v>
      </c>
      <c r="G8">
        <v>1081</v>
      </c>
      <c r="H8">
        <v>3</v>
      </c>
      <c r="I8" t="s">
        <v>365</v>
      </c>
      <c r="J8" t="s">
        <v>366</v>
      </c>
      <c r="K8" t="s">
        <v>367</v>
      </c>
      <c r="L8">
        <v>1348</v>
      </c>
      <c r="N8">
        <v>1009</v>
      </c>
      <c r="O8" t="s">
        <v>239</v>
      </c>
      <c r="P8" t="s">
        <v>239</v>
      </c>
      <c r="Q8">
        <v>1000</v>
      </c>
      <c r="X8">
        <v>0.11700000000000001</v>
      </c>
      <c r="Y8">
        <v>1219.68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24</v>
      </c>
      <c r="AG8">
        <v>0.11700000000000001</v>
      </c>
      <c r="AH8">
        <v>2</v>
      </c>
      <c r="AI8">
        <v>56793618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ROW(Source!A34)</f>
        <v>34</v>
      </c>
      <c r="B9">
        <v>56793626</v>
      </c>
      <c r="C9">
        <v>56793614</v>
      </c>
      <c r="D9">
        <v>55961871</v>
      </c>
      <c r="E9">
        <v>1</v>
      </c>
      <c r="F9">
        <v>1</v>
      </c>
      <c r="G9">
        <v>1081</v>
      </c>
      <c r="H9">
        <v>3</v>
      </c>
      <c r="I9" t="s">
        <v>368</v>
      </c>
      <c r="J9" t="s">
        <v>369</v>
      </c>
      <c r="K9" t="s">
        <v>370</v>
      </c>
      <c r="L9">
        <v>1346</v>
      </c>
      <c r="N9">
        <v>1009</v>
      </c>
      <c r="O9" t="s">
        <v>146</v>
      </c>
      <c r="P9" t="s">
        <v>146</v>
      </c>
      <c r="Q9">
        <v>1</v>
      </c>
      <c r="X9">
        <v>72.2</v>
      </c>
      <c r="Y9">
        <v>9.85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24</v>
      </c>
      <c r="AG9">
        <v>72.2</v>
      </c>
      <c r="AH9">
        <v>2</v>
      </c>
      <c r="AI9">
        <v>56793619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ROW(Source!A34)</f>
        <v>34</v>
      </c>
      <c r="B10">
        <v>56793627</v>
      </c>
      <c r="C10">
        <v>56793614</v>
      </c>
      <c r="D10">
        <v>55968229</v>
      </c>
      <c r="E10">
        <v>1</v>
      </c>
      <c r="F10">
        <v>1</v>
      </c>
      <c r="G10">
        <v>1081</v>
      </c>
      <c r="H10">
        <v>3</v>
      </c>
      <c r="I10" t="s">
        <v>371</v>
      </c>
      <c r="J10" t="s">
        <v>372</v>
      </c>
      <c r="K10" t="s">
        <v>373</v>
      </c>
      <c r="L10">
        <v>1346</v>
      </c>
      <c r="N10">
        <v>1009</v>
      </c>
      <c r="O10" t="s">
        <v>146</v>
      </c>
      <c r="P10" t="s">
        <v>146</v>
      </c>
      <c r="Q10">
        <v>1</v>
      </c>
      <c r="X10">
        <v>12.6</v>
      </c>
      <c r="Y10">
        <v>20.76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24</v>
      </c>
      <c r="AG10">
        <v>12.6</v>
      </c>
      <c r="AH10">
        <v>2</v>
      </c>
      <c r="AI10">
        <v>56793620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ROW(Source!A34)</f>
        <v>34</v>
      </c>
      <c r="B11">
        <v>56793628</v>
      </c>
      <c r="C11">
        <v>56793614</v>
      </c>
      <c r="D11">
        <v>55951192</v>
      </c>
      <c r="E11">
        <v>1081</v>
      </c>
      <c r="F11">
        <v>1</v>
      </c>
      <c r="G11">
        <v>1081</v>
      </c>
      <c r="H11">
        <v>3</v>
      </c>
      <c r="I11" t="s">
        <v>473</v>
      </c>
      <c r="J11" t="s">
        <v>3</v>
      </c>
      <c r="K11" t="s">
        <v>40</v>
      </c>
      <c r="L11">
        <v>1301</v>
      </c>
      <c r="N11">
        <v>1003</v>
      </c>
      <c r="O11" t="s">
        <v>201</v>
      </c>
      <c r="P11" t="s">
        <v>201</v>
      </c>
      <c r="Q11">
        <v>1</v>
      </c>
      <c r="X11">
        <v>290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24</v>
      </c>
      <c r="AG11">
        <v>290</v>
      </c>
      <c r="AH11">
        <v>3</v>
      </c>
      <c r="AI11">
        <v>-1</v>
      </c>
      <c r="AJ11" t="s">
        <v>3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ROW(Source!A36)</f>
        <v>36</v>
      </c>
      <c r="B12">
        <v>56793646</v>
      </c>
      <c r="C12">
        <v>56793630</v>
      </c>
      <c r="D12">
        <v>55926487</v>
      </c>
      <c r="E12">
        <v>1081</v>
      </c>
      <c r="F12">
        <v>1</v>
      </c>
      <c r="G12">
        <v>1081</v>
      </c>
      <c r="H12">
        <v>1</v>
      </c>
      <c r="I12" t="s">
        <v>354</v>
      </c>
      <c r="J12" t="s">
        <v>3</v>
      </c>
      <c r="K12" t="s">
        <v>355</v>
      </c>
      <c r="L12">
        <v>1191</v>
      </c>
      <c r="N12">
        <v>1013</v>
      </c>
      <c r="O12" t="s">
        <v>356</v>
      </c>
      <c r="P12" t="s">
        <v>356</v>
      </c>
      <c r="Q12">
        <v>1</v>
      </c>
      <c r="X12">
        <v>89.9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1</v>
      </c>
      <c r="AF12" t="s">
        <v>48</v>
      </c>
      <c r="AG12">
        <v>103.38500000000001</v>
      </c>
      <c r="AH12">
        <v>2</v>
      </c>
      <c r="AI12">
        <v>56793631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ROW(Source!A36)</f>
        <v>36</v>
      </c>
      <c r="B13">
        <v>56793647</v>
      </c>
      <c r="C13">
        <v>56793630</v>
      </c>
      <c r="D13">
        <v>55992399</v>
      </c>
      <c r="E13">
        <v>1</v>
      </c>
      <c r="F13">
        <v>1</v>
      </c>
      <c r="G13">
        <v>1081</v>
      </c>
      <c r="H13">
        <v>2</v>
      </c>
      <c r="I13" t="s">
        <v>374</v>
      </c>
      <c r="J13" t="s">
        <v>375</v>
      </c>
      <c r="K13" t="s">
        <v>376</v>
      </c>
      <c r="L13">
        <v>1368</v>
      </c>
      <c r="N13">
        <v>1011</v>
      </c>
      <c r="O13" t="s">
        <v>377</v>
      </c>
      <c r="P13" t="s">
        <v>377</v>
      </c>
      <c r="Q13">
        <v>1</v>
      </c>
      <c r="X13">
        <v>1.83</v>
      </c>
      <c r="Y13">
        <v>0</v>
      </c>
      <c r="Z13">
        <v>83.1</v>
      </c>
      <c r="AA13">
        <v>12.62</v>
      </c>
      <c r="AB13">
        <v>0</v>
      </c>
      <c r="AC13">
        <v>0</v>
      </c>
      <c r="AD13">
        <v>1</v>
      </c>
      <c r="AE13">
        <v>0</v>
      </c>
      <c r="AF13" t="s">
        <v>48</v>
      </c>
      <c r="AG13">
        <v>2.1044999999999998</v>
      </c>
      <c r="AH13">
        <v>2</v>
      </c>
      <c r="AI13">
        <v>56793632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ROW(Source!A36)</f>
        <v>36</v>
      </c>
      <c r="B14">
        <v>56793648</v>
      </c>
      <c r="C14">
        <v>56793630</v>
      </c>
      <c r="D14">
        <v>55991633</v>
      </c>
      <c r="E14">
        <v>1</v>
      </c>
      <c r="F14">
        <v>1</v>
      </c>
      <c r="G14">
        <v>1081</v>
      </c>
      <c r="H14">
        <v>2</v>
      </c>
      <c r="I14" t="s">
        <v>379</v>
      </c>
      <c r="J14" t="s">
        <v>380</v>
      </c>
      <c r="K14" t="s">
        <v>381</v>
      </c>
      <c r="L14">
        <v>1368</v>
      </c>
      <c r="N14">
        <v>1011</v>
      </c>
      <c r="O14" t="s">
        <v>377</v>
      </c>
      <c r="P14" t="s">
        <v>377</v>
      </c>
      <c r="Q14">
        <v>1</v>
      </c>
      <c r="X14">
        <v>1.52</v>
      </c>
      <c r="Y14">
        <v>0</v>
      </c>
      <c r="Z14">
        <v>179.17</v>
      </c>
      <c r="AA14">
        <v>16.93</v>
      </c>
      <c r="AB14">
        <v>0</v>
      </c>
      <c r="AC14">
        <v>0</v>
      </c>
      <c r="AD14">
        <v>1</v>
      </c>
      <c r="AE14">
        <v>0</v>
      </c>
      <c r="AF14" t="s">
        <v>48</v>
      </c>
      <c r="AG14">
        <v>1.7479999999999998</v>
      </c>
      <c r="AH14">
        <v>2</v>
      </c>
      <c r="AI14">
        <v>56793633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ROW(Source!A36)</f>
        <v>36</v>
      </c>
      <c r="B15">
        <v>56793649</v>
      </c>
      <c r="C15">
        <v>56793630</v>
      </c>
      <c r="D15">
        <v>55991822</v>
      </c>
      <c r="E15">
        <v>1</v>
      </c>
      <c r="F15">
        <v>1</v>
      </c>
      <c r="G15">
        <v>1081</v>
      </c>
      <c r="H15">
        <v>2</v>
      </c>
      <c r="I15" t="s">
        <v>382</v>
      </c>
      <c r="J15" t="s">
        <v>383</v>
      </c>
      <c r="K15" t="s">
        <v>384</v>
      </c>
      <c r="L15">
        <v>1368</v>
      </c>
      <c r="N15">
        <v>1011</v>
      </c>
      <c r="O15" t="s">
        <v>377</v>
      </c>
      <c r="P15" t="s">
        <v>377</v>
      </c>
      <c r="Q15">
        <v>1</v>
      </c>
      <c r="X15">
        <v>1.79</v>
      </c>
      <c r="Y15">
        <v>0</v>
      </c>
      <c r="Z15">
        <v>12.32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48</v>
      </c>
      <c r="AG15">
        <v>2.0585</v>
      </c>
      <c r="AH15">
        <v>2</v>
      </c>
      <c r="AI15">
        <v>56793634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ROW(Source!A36)</f>
        <v>36</v>
      </c>
      <c r="B16">
        <v>56793650</v>
      </c>
      <c r="C16">
        <v>56793630</v>
      </c>
      <c r="D16">
        <v>55962056</v>
      </c>
      <c r="E16">
        <v>1</v>
      </c>
      <c r="F16">
        <v>1</v>
      </c>
      <c r="G16">
        <v>1081</v>
      </c>
      <c r="H16">
        <v>3</v>
      </c>
      <c r="I16" t="s">
        <v>385</v>
      </c>
      <c r="J16" t="s">
        <v>386</v>
      </c>
      <c r="K16" t="s">
        <v>387</v>
      </c>
      <c r="L16">
        <v>1348</v>
      </c>
      <c r="N16">
        <v>1009</v>
      </c>
      <c r="O16" t="s">
        <v>239</v>
      </c>
      <c r="P16" t="s">
        <v>239</v>
      </c>
      <c r="Q16">
        <v>1000</v>
      </c>
      <c r="X16">
        <v>2.3599999999999999E-2</v>
      </c>
      <c r="Y16">
        <v>1454.74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24</v>
      </c>
      <c r="AG16">
        <v>2.3599999999999999E-2</v>
      </c>
      <c r="AH16">
        <v>2</v>
      </c>
      <c r="AI16">
        <v>56793635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ROW(Source!A36)</f>
        <v>36</v>
      </c>
      <c r="B17">
        <v>56793651</v>
      </c>
      <c r="C17">
        <v>56793630</v>
      </c>
      <c r="D17">
        <v>55961439</v>
      </c>
      <c r="E17">
        <v>1</v>
      </c>
      <c r="F17">
        <v>1</v>
      </c>
      <c r="G17">
        <v>1081</v>
      </c>
      <c r="H17">
        <v>3</v>
      </c>
      <c r="I17" t="s">
        <v>362</v>
      </c>
      <c r="J17" t="s">
        <v>363</v>
      </c>
      <c r="K17" t="s">
        <v>364</v>
      </c>
      <c r="L17">
        <v>1348</v>
      </c>
      <c r="N17">
        <v>1009</v>
      </c>
      <c r="O17" t="s">
        <v>239</v>
      </c>
      <c r="P17" t="s">
        <v>239</v>
      </c>
      <c r="Q17">
        <v>1000</v>
      </c>
      <c r="X17">
        <v>4.13E-3</v>
      </c>
      <c r="Y17">
        <v>6512.79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24</v>
      </c>
      <c r="AG17">
        <v>4.13E-3</v>
      </c>
      <c r="AH17">
        <v>2</v>
      </c>
      <c r="AI17">
        <v>56793636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ROW(Source!A36)</f>
        <v>36</v>
      </c>
      <c r="B18">
        <v>56793652</v>
      </c>
      <c r="C18">
        <v>56793630</v>
      </c>
      <c r="D18">
        <v>55961440</v>
      </c>
      <c r="E18">
        <v>1</v>
      </c>
      <c r="F18">
        <v>1</v>
      </c>
      <c r="G18">
        <v>1081</v>
      </c>
      <c r="H18">
        <v>3</v>
      </c>
      <c r="I18" t="s">
        <v>388</v>
      </c>
      <c r="J18" t="s">
        <v>389</v>
      </c>
      <c r="K18" t="s">
        <v>390</v>
      </c>
      <c r="L18">
        <v>1348</v>
      </c>
      <c r="N18">
        <v>1009</v>
      </c>
      <c r="O18" t="s">
        <v>239</v>
      </c>
      <c r="P18" t="s">
        <v>239</v>
      </c>
      <c r="Q18">
        <v>1000</v>
      </c>
      <c r="X18">
        <v>2.0999999999999999E-3</v>
      </c>
      <c r="Y18">
        <v>7866.61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24</v>
      </c>
      <c r="AG18">
        <v>2.0999999999999999E-3</v>
      </c>
      <c r="AH18">
        <v>2</v>
      </c>
      <c r="AI18">
        <v>56793637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ROW(Source!A36)</f>
        <v>36</v>
      </c>
      <c r="B19">
        <v>56793653</v>
      </c>
      <c r="C19">
        <v>56793630</v>
      </c>
      <c r="D19">
        <v>55961451</v>
      </c>
      <c r="E19">
        <v>1</v>
      </c>
      <c r="F19">
        <v>1</v>
      </c>
      <c r="G19">
        <v>1081</v>
      </c>
      <c r="H19">
        <v>3</v>
      </c>
      <c r="I19" t="s">
        <v>365</v>
      </c>
      <c r="J19" t="s">
        <v>366</v>
      </c>
      <c r="K19" t="s">
        <v>367</v>
      </c>
      <c r="L19">
        <v>1348</v>
      </c>
      <c r="N19">
        <v>1009</v>
      </c>
      <c r="O19" t="s">
        <v>239</v>
      </c>
      <c r="P19" t="s">
        <v>239</v>
      </c>
      <c r="Q19">
        <v>1000</v>
      </c>
      <c r="X19">
        <v>1.6E-2</v>
      </c>
      <c r="Y19">
        <v>1219.68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24</v>
      </c>
      <c r="AG19">
        <v>1.6E-2</v>
      </c>
      <c r="AH19">
        <v>2</v>
      </c>
      <c r="AI19">
        <v>56793638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ROW(Source!A36)</f>
        <v>36</v>
      </c>
      <c r="B20">
        <v>56793654</v>
      </c>
      <c r="C20">
        <v>56793630</v>
      </c>
      <c r="D20">
        <v>55961519</v>
      </c>
      <c r="E20">
        <v>1</v>
      </c>
      <c r="F20">
        <v>1</v>
      </c>
      <c r="G20">
        <v>1081</v>
      </c>
      <c r="H20">
        <v>3</v>
      </c>
      <c r="I20" t="s">
        <v>391</v>
      </c>
      <c r="J20" t="s">
        <v>392</v>
      </c>
      <c r="K20" t="s">
        <v>393</v>
      </c>
      <c r="L20">
        <v>1339</v>
      </c>
      <c r="N20">
        <v>1007</v>
      </c>
      <c r="O20" t="s">
        <v>151</v>
      </c>
      <c r="P20" t="s">
        <v>151</v>
      </c>
      <c r="Q20">
        <v>1</v>
      </c>
      <c r="X20">
        <v>0.08</v>
      </c>
      <c r="Y20">
        <v>1821.37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24</v>
      </c>
      <c r="AG20">
        <v>0.08</v>
      </c>
      <c r="AH20">
        <v>2</v>
      </c>
      <c r="AI20">
        <v>56793639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ROW(Source!A36)</f>
        <v>36</v>
      </c>
      <c r="B21">
        <v>56793655</v>
      </c>
      <c r="C21">
        <v>56793630</v>
      </c>
      <c r="D21">
        <v>55961871</v>
      </c>
      <c r="E21">
        <v>1</v>
      </c>
      <c r="F21">
        <v>1</v>
      </c>
      <c r="G21">
        <v>1081</v>
      </c>
      <c r="H21">
        <v>3</v>
      </c>
      <c r="I21" t="s">
        <v>368</v>
      </c>
      <c r="J21" t="s">
        <v>369</v>
      </c>
      <c r="K21" t="s">
        <v>370</v>
      </c>
      <c r="L21">
        <v>1346</v>
      </c>
      <c r="N21">
        <v>1009</v>
      </c>
      <c r="O21" t="s">
        <v>146</v>
      </c>
      <c r="P21" t="s">
        <v>146</v>
      </c>
      <c r="Q21">
        <v>1</v>
      </c>
      <c r="X21">
        <v>108</v>
      </c>
      <c r="Y21">
        <v>9.85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24</v>
      </c>
      <c r="AG21">
        <v>108</v>
      </c>
      <c r="AH21">
        <v>2</v>
      </c>
      <c r="AI21">
        <v>56793640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ROW(Source!A36)</f>
        <v>36</v>
      </c>
      <c r="B22">
        <v>56793656</v>
      </c>
      <c r="C22">
        <v>56793630</v>
      </c>
      <c r="D22">
        <v>55961887</v>
      </c>
      <c r="E22">
        <v>1</v>
      </c>
      <c r="F22">
        <v>1</v>
      </c>
      <c r="G22">
        <v>1081</v>
      </c>
      <c r="H22">
        <v>3</v>
      </c>
      <c r="I22" t="s">
        <v>394</v>
      </c>
      <c r="J22" t="s">
        <v>395</v>
      </c>
      <c r="K22" t="s">
        <v>396</v>
      </c>
      <c r="L22">
        <v>1327</v>
      </c>
      <c r="N22">
        <v>1005</v>
      </c>
      <c r="O22" t="s">
        <v>174</v>
      </c>
      <c r="P22" t="s">
        <v>174</v>
      </c>
      <c r="Q22">
        <v>1</v>
      </c>
      <c r="X22">
        <v>89</v>
      </c>
      <c r="Y22">
        <v>5.5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24</v>
      </c>
      <c r="AG22">
        <v>89</v>
      </c>
      <c r="AH22">
        <v>2</v>
      </c>
      <c r="AI22">
        <v>56793641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ROW(Source!A36)</f>
        <v>36</v>
      </c>
      <c r="B23">
        <v>56793657</v>
      </c>
      <c r="C23">
        <v>56793630</v>
      </c>
      <c r="D23">
        <v>55968229</v>
      </c>
      <c r="E23">
        <v>1</v>
      </c>
      <c r="F23">
        <v>1</v>
      </c>
      <c r="G23">
        <v>1081</v>
      </c>
      <c r="H23">
        <v>3</v>
      </c>
      <c r="I23" t="s">
        <v>371</v>
      </c>
      <c r="J23" t="s">
        <v>372</v>
      </c>
      <c r="K23" t="s">
        <v>373</v>
      </c>
      <c r="L23">
        <v>1346</v>
      </c>
      <c r="N23">
        <v>1009</v>
      </c>
      <c r="O23" t="s">
        <v>146</v>
      </c>
      <c r="P23" t="s">
        <v>146</v>
      </c>
      <c r="Q23">
        <v>1</v>
      </c>
      <c r="X23">
        <v>37.5</v>
      </c>
      <c r="Y23">
        <v>20.76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24</v>
      </c>
      <c r="AG23">
        <v>37.5</v>
      </c>
      <c r="AH23">
        <v>2</v>
      </c>
      <c r="AI23">
        <v>56793642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ROW(Source!A36)</f>
        <v>36</v>
      </c>
      <c r="B24">
        <v>56793658</v>
      </c>
      <c r="C24">
        <v>56793630</v>
      </c>
      <c r="D24">
        <v>55968896</v>
      </c>
      <c r="E24">
        <v>1</v>
      </c>
      <c r="F24">
        <v>1</v>
      </c>
      <c r="G24">
        <v>1081</v>
      </c>
      <c r="H24">
        <v>3</v>
      </c>
      <c r="I24" t="s">
        <v>227</v>
      </c>
      <c r="J24" t="s">
        <v>229</v>
      </c>
      <c r="K24" t="s">
        <v>228</v>
      </c>
      <c r="L24">
        <v>1339</v>
      </c>
      <c r="N24">
        <v>1007</v>
      </c>
      <c r="O24" t="s">
        <v>151</v>
      </c>
      <c r="P24" t="s">
        <v>151</v>
      </c>
      <c r="Q24">
        <v>1</v>
      </c>
      <c r="X24">
        <v>0.105</v>
      </c>
      <c r="Y24">
        <v>529.41999999999996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24</v>
      </c>
      <c r="AG24">
        <v>0.105</v>
      </c>
      <c r="AH24">
        <v>2</v>
      </c>
      <c r="AI24">
        <v>56793643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ROW(Source!A36)</f>
        <v>36</v>
      </c>
      <c r="B25">
        <v>56793659</v>
      </c>
      <c r="C25">
        <v>56793630</v>
      </c>
      <c r="D25">
        <v>55946767</v>
      </c>
      <c r="E25">
        <v>1081</v>
      </c>
      <c r="F25">
        <v>1</v>
      </c>
      <c r="G25">
        <v>1081</v>
      </c>
      <c r="H25">
        <v>3</v>
      </c>
      <c r="I25" t="s">
        <v>474</v>
      </c>
      <c r="J25" t="s">
        <v>3</v>
      </c>
      <c r="K25" t="s">
        <v>475</v>
      </c>
      <c r="L25">
        <v>1391</v>
      </c>
      <c r="N25">
        <v>1013</v>
      </c>
      <c r="O25" t="s">
        <v>59</v>
      </c>
      <c r="P25" t="s">
        <v>59</v>
      </c>
      <c r="Q25">
        <v>1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 t="s">
        <v>24</v>
      </c>
      <c r="AG25">
        <v>0</v>
      </c>
      <c r="AH25">
        <v>3</v>
      </c>
      <c r="AI25">
        <v>-1</v>
      </c>
      <c r="AJ25" t="s">
        <v>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ROW(Source!A36)</f>
        <v>36</v>
      </c>
      <c r="B26">
        <v>56793660</v>
      </c>
      <c r="C26">
        <v>56793630</v>
      </c>
      <c r="D26">
        <v>55950930</v>
      </c>
      <c r="E26">
        <v>1081</v>
      </c>
      <c r="F26">
        <v>1</v>
      </c>
      <c r="G26">
        <v>1081</v>
      </c>
      <c r="H26">
        <v>3</v>
      </c>
      <c r="I26" t="s">
        <v>476</v>
      </c>
      <c r="J26" t="s">
        <v>3</v>
      </c>
      <c r="K26" t="s">
        <v>477</v>
      </c>
      <c r="L26">
        <v>1327</v>
      </c>
      <c r="N26">
        <v>1005</v>
      </c>
      <c r="O26" t="s">
        <v>174</v>
      </c>
      <c r="P26" t="s">
        <v>174</v>
      </c>
      <c r="Q26">
        <v>1</v>
      </c>
      <c r="X26">
        <v>100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 t="s">
        <v>24</v>
      </c>
      <c r="AG26">
        <v>100</v>
      </c>
      <c r="AH26">
        <v>3</v>
      </c>
      <c r="AI26">
        <v>-1</v>
      </c>
      <c r="AJ26" t="s">
        <v>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ROW(Source!A74)</f>
        <v>74</v>
      </c>
      <c r="B27">
        <v>56794086</v>
      </c>
      <c r="C27">
        <v>56794083</v>
      </c>
      <c r="D27">
        <v>55926487</v>
      </c>
      <c r="E27">
        <v>1081</v>
      </c>
      <c r="F27">
        <v>1</v>
      </c>
      <c r="G27">
        <v>1081</v>
      </c>
      <c r="H27">
        <v>1</v>
      </c>
      <c r="I27" t="s">
        <v>354</v>
      </c>
      <c r="J27" t="s">
        <v>3</v>
      </c>
      <c r="K27" t="s">
        <v>355</v>
      </c>
      <c r="L27">
        <v>1191</v>
      </c>
      <c r="N27">
        <v>1013</v>
      </c>
      <c r="O27" t="s">
        <v>356</v>
      </c>
      <c r="P27" t="s">
        <v>356</v>
      </c>
      <c r="Q27">
        <v>1</v>
      </c>
      <c r="X27">
        <v>3.77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1</v>
      </c>
      <c r="AF27" t="s">
        <v>3</v>
      </c>
      <c r="AG27">
        <v>3.77</v>
      </c>
      <c r="AH27">
        <v>2</v>
      </c>
      <c r="AI27">
        <v>56794084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ROW(Source!A74)</f>
        <v>74</v>
      </c>
      <c r="B28">
        <v>56794087</v>
      </c>
      <c r="C28">
        <v>56794083</v>
      </c>
      <c r="D28">
        <v>55926471</v>
      </c>
      <c r="E28">
        <v>1081</v>
      </c>
      <c r="F28">
        <v>1</v>
      </c>
      <c r="G28">
        <v>1081</v>
      </c>
      <c r="H28">
        <v>3</v>
      </c>
      <c r="I28" t="s">
        <v>357</v>
      </c>
      <c r="J28" t="s">
        <v>3</v>
      </c>
      <c r="K28" t="s">
        <v>358</v>
      </c>
      <c r="L28">
        <v>1348</v>
      </c>
      <c r="N28">
        <v>1009</v>
      </c>
      <c r="O28" t="s">
        <v>239</v>
      </c>
      <c r="P28" t="s">
        <v>239</v>
      </c>
      <c r="Q28">
        <v>1000</v>
      </c>
      <c r="X28">
        <v>0.11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24</v>
      </c>
      <c r="AG28">
        <v>0.11</v>
      </c>
      <c r="AH28">
        <v>2</v>
      </c>
      <c r="AI28">
        <v>56794085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ROW(Source!A75)</f>
        <v>75</v>
      </c>
      <c r="B29">
        <v>56796279</v>
      </c>
      <c r="C29">
        <v>56796278</v>
      </c>
      <c r="D29">
        <v>55926487</v>
      </c>
      <c r="E29">
        <v>1081</v>
      </c>
      <c r="F29">
        <v>1</v>
      </c>
      <c r="G29">
        <v>1081</v>
      </c>
      <c r="H29">
        <v>1</v>
      </c>
      <c r="I29" t="s">
        <v>354</v>
      </c>
      <c r="J29" t="s">
        <v>3</v>
      </c>
      <c r="K29" t="s">
        <v>355</v>
      </c>
      <c r="L29">
        <v>1191</v>
      </c>
      <c r="N29">
        <v>1013</v>
      </c>
      <c r="O29" t="s">
        <v>356</v>
      </c>
      <c r="P29" t="s">
        <v>356</v>
      </c>
      <c r="Q29">
        <v>1</v>
      </c>
      <c r="X29">
        <v>48.95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1</v>
      </c>
      <c r="AF29" t="s">
        <v>3</v>
      </c>
      <c r="AG29">
        <v>48.95</v>
      </c>
      <c r="AH29">
        <v>2</v>
      </c>
      <c r="AI29">
        <v>56796279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ROW(Source!A75)</f>
        <v>75</v>
      </c>
      <c r="B30">
        <v>56796280</v>
      </c>
      <c r="C30">
        <v>56796278</v>
      </c>
      <c r="D30">
        <v>55926471</v>
      </c>
      <c r="E30">
        <v>1081</v>
      </c>
      <c r="F30">
        <v>1</v>
      </c>
      <c r="G30">
        <v>1081</v>
      </c>
      <c r="H30">
        <v>3</v>
      </c>
      <c r="I30" t="s">
        <v>357</v>
      </c>
      <c r="J30" t="s">
        <v>3</v>
      </c>
      <c r="K30" t="s">
        <v>358</v>
      </c>
      <c r="L30">
        <v>1348</v>
      </c>
      <c r="N30">
        <v>1009</v>
      </c>
      <c r="O30" t="s">
        <v>239</v>
      </c>
      <c r="P30" t="s">
        <v>239</v>
      </c>
      <c r="Q30">
        <v>1000</v>
      </c>
      <c r="X30">
        <v>2.8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2.8</v>
      </c>
      <c r="AH30">
        <v>2</v>
      </c>
      <c r="AI30">
        <v>56796280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ROW(Source!A76)</f>
        <v>76</v>
      </c>
      <c r="B31">
        <v>56796287</v>
      </c>
      <c r="C31">
        <v>56796286</v>
      </c>
      <c r="D31">
        <v>55926487</v>
      </c>
      <c r="E31">
        <v>1081</v>
      </c>
      <c r="F31">
        <v>1</v>
      </c>
      <c r="G31">
        <v>1081</v>
      </c>
      <c r="H31">
        <v>1</v>
      </c>
      <c r="I31" t="s">
        <v>354</v>
      </c>
      <c r="J31" t="s">
        <v>3</v>
      </c>
      <c r="K31" t="s">
        <v>355</v>
      </c>
      <c r="L31">
        <v>1191</v>
      </c>
      <c r="N31">
        <v>1013</v>
      </c>
      <c r="O31" t="s">
        <v>356</v>
      </c>
      <c r="P31" t="s">
        <v>356</v>
      </c>
      <c r="Q31">
        <v>1</v>
      </c>
      <c r="X31">
        <v>17.440000000000001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1</v>
      </c>
      <c r="AF31" t="s">
        <v>3</v>
      </c>
      <c r="AG31">
        <v>17.440000000000001</v>
      </c>
      <c r="AH31">
        <v>2</v>
      </c>
      <c r="AI31">
        <v>56796287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ROW(Source!A76)</f>
        <v>76</v>
      </c>
      <c r="B32">
        <v>56796288</v>
      </c>
      <c r="C32">
        <v>56796286</v>
      </c>
      <c r="D32">
        <v>55926471</v>
      </c>
      <c r="E32">
        <v>1081</v>
      </c>
      <c r="F32">
        <v>1</v>
      </c>
      <c r="G32">
        <v>1081</v>
      </c>
      <c r="H32">
        <v>3</v>
      </c>
      <c r="I32" t="s">
        <v>357</v>
      </c>
      <c r="J32" t="s">
        <v>3</v>
      </c>
      <c r="K32" t="s">
        <v>358</v>
      </c>
      <c r="L32">
        <v>1348</v>
      </c>
      <c r="N32">
        <v>1009</v>
      </c>
      <c r="O32" t="s">
        <v>239</v>
      </c>
      <c r="P32" t="s">
        <v>239</v>
      </c>
      <c r="Q32">
        <v>1000</v>
      </c>
      <c r="X32">
        <v>4.67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4.67</v>
      </c>
      <c r="AH32">
        <v>2</v>
      </c>
      <c r="AI32">
        <v>56796288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ROW(Source!A77)</f>
        <v>77</v>
      </c>
      <c r="B33">
        <v>56796394</v>
      </c>
      <c r="C33">
        <v>56796393</v>
      </c>
      <c r="D33">
        <v>55926487</v>
      </c>
      <c r="E33">
        <v>1081</v>
      </c>
      <c r="F33">
        <v>1</v>
      </c>
      <c r="G33">
        <v>1081</v>
      </c>
      <c r="H33">
        <v>1</v>
      </c>
      <c r="I33" t="s">
        <v>354</v>
      </c>
      <c r="J33" t="s">
        <v>3</v>
      </c>
      <c r="K33" t="s">
        <v>355</v>
      </c>
      <c r="L33">
        <v>1191</v>
      </c>
      <c r="N33">
        <v>1013</v>
      </c>
      <c r="O33" t="s">
        <v>356</v>
      </c>
      <c r="P33" t="s">
        <v>356</v>
      </c>
      <c r="Q33">
        <v>1</v>
      </c>
      <c r="X33">
        <v>83.04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1</v>
      </c>
      <c r="AF33" t="s">
        <v>48</v>
      </c>
      <c r="AG33">
        <v>95.495999999999995</v>
      </c>
      <c r="AH33">
        <v>2</v>
      </c>
      <c r="AI33">
        <v>56796394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ROW(Source!A77)</f>
        <v>77</v>
      </c>
      <c r="B34">
        <v>56796395</v>
      </c>
      <c r="C34">
        <v>56796393</v>
      </c>
      <c r="D34">
        <v>55992133</v>
      </c>
      <c r="E34">
        <v>1</v>
      </c>
      <c r="F34">
        <v>1</v>
      </c>
      <c r="G34">
        <v>1081</v>
      </c>
      <c r="H34">
        <v>2</v>
      </c>
      <c r="I34" t="s">
        <v>397</v>
      </c>
      <c r="J34" t="s">
        <v>398</v>
      </c>
      <c r="K34" t="s">
        <v>399</v>
      </c>
      <c r="L34">
        <v>1368</v>
      </c>
      <c r="N34">
        <v>1011</v>
      </c>
      <c r="O34" t="s">
        <v>377</v>
      </c>
      <c r="P34" t="s">
        <v>377</v>
      </c>
      <c r="Q34">
        <v>1</v>
      </c>
      <c r="X34">
        <v>5.31</v>
      </c>
      <c r="Y34">
        <v>0</v>
      </c>
      <c r="Z34">
        <v>4.6900000000000004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48</v>
      </c>
      <c r="AG34">
        <v>6.1064999999999987</v>
      </c>
      <c r="AH34">
        <v>2</v>
      </c>
      <c r="AI34">
        <v>56796395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ROW(Source!A77)</f>
        <v>77</v>
      </c>
      <c r="B35">
        <v>56796396</v>
      </c>
      <c r="C35">
        <v>56796393</v>
      </c>
      <c r="D35">
        <v>55992399</v>
      </c>
      <c r="E35">
        <v>1</v>
      </c>
      <c r="F35">
        <v>1</v>
      </c>
      <c r="G35">
        <v>1081</v>
      </c>
      <c r="H35">
        <v>2</v>
      </c>
      <c r="I35" t="s">
        <v>374</v>
      </c>
      <c r="J35" t="s">
        <v>375</v>
      </c>
      <c r="K35" t="s">
        <v>376</v>
      </c>
      <c r="L35">
        <v>1368</v>
      </c>
      <c r="N35">
        <v>1011</v>
      </c>
      <c r="O35" t="s">
        <v>377</v>
      </c>
      <c r="P35" t="s">
        <v>377</v>
      </c>
      <c r="Q35">
        <v>1</v>
      </c>
      <c r="X35">
        <v>0.03</v>
      </c>
      <c r="Y35">
        <v>0</v>
      </c>
      <c r="Z35">
        <v>83.1</v>
      </c>
      <c r="AA35">
        <v>12.62</v>
      </c>
      <c r="AB35">
        <v>0</v>
      </c>
      <c r="AC35">
        <v>0</v>
      </c>
      <c r="AD35">
        <v>1</v>
      </c>
      <c r="AE35">
        <v>0</v>
      </c>
      <c r="AF35" t="s">
        <v>48</v>
      </c>
      <c r="AG35">
        <v>3.4499999999999996E-2</v>
      </c>
      <c r="AH35">
        <v>2</v>
      </c>
      <c r="AI35">
        <v>56796396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ROW(Source!A77)</f>
        <v>77</v>
      </c>
      <c r="B36">
        <v>56796397</v>
      </c>
      <c r="C36">
        <v>56796393</v>
      </c>
      <c r="D36">
        <v>55992520</v>
      </c>
      <c r="E36">
        <v>1</v>
      </c>
      <c r="F36">
        <v>1</v>
      </c>
      <c r="G36">
        <v>1081</v>
      </c>
      <c r="H36">
        <v>2</v>
      </c>
      <c r="I36" t="s">
        <v>400</v>
      </c>
      <c r="J36" t="s">
        <v>401</v>
      </c>
      <c r="K36" t="s">
        <v>402</v>
      </c>
      <c r="L36">
        <v>1368</v>
      </c>
      <c r="N36">
        <v>1011</v>
      </c>
      <c r="O36" t="s">
        <v>377</v>
      </c>
      <c r="P36" t="s">
        <v>377</v>
      </c>
      <c r="Q36">
        <v>1</v>
      </c>
      <c r="X36">
        <v>9.42</v>
      </c>
      <c r="Y36">
        <v>0</v>
      </c>
      <c r="Z36">
        <v>0.8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48</v>
      </c>
      <c r="AG36">
        <v>10.832999999999998</v>
      </c>
      <c r="AH36">
        <v>2</v>
      </c>
      <c r="AI36">
        <v>56796397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ROW(Source!A77)</f>
        <v>77</v>
      </c>
      <c r="B37">
        <v>56796398</v>
      </c>
      <c r="C37">
        <v>56796393</v>
      </c>
      <c r="D37">
        <v>55992465</v>
      </c>
      <c r="E37">
        <v>1</v>
      </c>
      <c r="F37">
        <v>1</v>
      </c>
      <c r="G37">
        <v>1081</v>
      </c>
      <c r="H37">
        <v>2</v>
      </c>
      <c r="I37" t="s">
        <v>403</v>
      </c>
      <c r="J37" t="s">
        <v>404</v>
      </c>
      <c r="K37" t="s">
        <v>405</v>
      </c>
      <c r="L37">
        <v>1368</v>
      </c>
      <c r="N37">
        <v>1011</v>
      </c>
      <c r="O37" t="s">
        <v>377</v>
      </c>
      <c r="P37" t="s">
        <v>377</v>
      </c>
      <c r="Q37">
        <v>1</v>
      </c>
      <c r="X37">
        <v>2.2200000000000002</v>
      </c>
      <c r="Y37">
        <v>0</v>
      </c>
      <c r="Z37">
        <v>2.4700000000000002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48</v>
      </c>
      <c r="AG37">
        <v>2.5529999999999999</v>
      </c>
      <c r="AH37">
        <v>2</v>
      </c>
      <c r="AI37">
        <v>56796398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ROW(Source!A77)</f>
        <v>77</v>
      </c>
      <c r="B38">
        <v>56796399</v>
      </c>
      <c r="C38">
        <v>56796393</v>
      </c>
      <c r="D38">
        <v>55992467</v>
      </c>
      <c r="E38">
        <v>1</v>
      </c>
      <c r="F38">
        <v>1</v>
      </c>
      <c r="G38">
        <v>1081</v>
      </c>
      <c r="H38">
        <v>2</v>
      </c>
      <c r="I38" t="s">
        <v>406</v>
      </c>
      <c r="J38" t="s">
        <v>407</v>
      </c>
      <c r="K38" t="s">
        <v>408</v>
      </c>
      <c r="L38">
        <v>1368</v>
      </c>
      <c r="N38">
        <v>1011</v>
      </c>
      <c r="O38" t="s">
        <v>377</v>
      </c>
      <c r="P38" t="s">
        <v>377</v>
      </c>
      <c r="Q38">
        <v>1</v>
      </c>
      <c r="X38">
        <v>3.93</v>
      </c>
      <c r="Y38">
        <v>0</v>
      </c>
      <c r="Z38">
        <v>0.36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48</v>
      </c>
      <c r="AG38">
        <v>4.5194999999999999</v>
      </c>
      <c r="AH38">
        <v>2</v>
      </c>
      <c r="AI38">
        <v>56796399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ROW(Source!A77)</f>
        <v>77</v>
      </c>
      <c r="B39">
        <v>56796400</v>
      </c>
      <c r="C39">
        <v>56796393</v>
      </c>
      <c r="D39">
        <v>55991700</v>
      </c>
      <c r="E39">
        <v>1</v>
      </c>
      <c r="F39">
        <v>1</v>
      </c>
      <c r="G39">
        <v>1081</v>
      </c>
      <c r="H39">
        <v>2</v>
      </c>
      <c r="I39" t="s">
        <v>409</v>
      </c>
      <c r="J39" t="s">
        <v>410</v>
      </c>
      <c r="K39" t="s">
        <v>411</v>
      </c>
      <c r="L39">
        <v>1368</v>
      </c>
      <c r="N39">
        <v>1011</v>
      </c>
      <c r="O39" t="s">
        <v>377</v>
      </c>
      <c r="P39" t="s">
        <v>377</v>
      </c>
      <c r="Q39">
        <v>1</v>
      </c>
      <c r="X39">
        <v>0.03</v>
      </c>
      <c r="Y39">
        <v>0</v>
      </c>
      <c r="Z39">
        <v>53.9</v>
      </c>
      <c r="AA39">
        <v>12.62</v>
      </c>
      <c r="AB39">
        <v>0</v>
      </c>
      <c r="AC39">
        <v>0</v>
      </c>
      <c r="AD39">
        <v>1</v>
      </c>
      <c r="AE39">
        <v>0</v>
      </c>
      <c r="AF39" t="s">
        <v>48</v>
      </c>
      <c r="AG39">
        <v>3.4499999999999996E-2</v>
      </c>
      <c r="AH39">
        <v>2</v>
      </c>
      <c r="AI39">
        <v>56796400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ROW(Source!A77)</f>
        <v>77</v>
      </c>
      <c r="B40">
        <v>56796401</v>
      </c>
      <c r="C40">
        <v>56796393</v>
      </c>
      <c r="D40">
        <v>55962402</v>
      </c>
      <c r="E40">
        <v>1</v>
      </c>
      <c r="F40">
        <v>1</v>
      </c>
      <c r="G40">
        <v>1081</v>
      </c>
      <c r="H40">
        <v>3</v>
      </c>
      <c r="I40" t="s">
        <v>412</v>
      </c>
      <c r="J40" t="s">
        <v>413</v>
      </c>
      <c r="K40" t="s">
        <v>414</v>
      </c>
      <c r="L40">
        <v>1327</v>
      </c>
      <c r="N40">
        <v>1005</v>
      </c>
      <c r="O40" t="s">
        <v>174</v>
      </c>
      <c r="P40" t="s">
        <v>174</v>
      </c>
      <c r="Q40">
        <v>1</v>
      </c>
      <c r="X40">
        <v>0.2</v>
      </c>
      <c r="Y40">
        <v>103.99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0.2</v>
      </c>
      <c r="AH40">
        <v>2</v>
      </c>
      <c r="AI40">
        <v>56796401</v>
      </c>
      <c r="AJ40">
        <v>41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ROW(Source!A77)</f>
        <v>77</v>
      </c>
      <c r="B41">
        <v>56796402</v>
      </c>
      <c r="C41">
        <v>56796393</v>
      </c>
      <c r="D41">
        <v>55962509</v>
      </c>
      <c r="E41">
        <v>1</v>
      </c>
      <c r="F41">
        <v>1</v>
      </c>
      <c r="G41">
        <v>1081</v>
      </c>
      <c r="H41">
        <v>3</v>
      </c>
      <c r="I41" t="s">
        <v>415</v>
      </c>
      <c r="J41" t="s">
        <v>416</v>
      </c>
      <c r="K41" t="s">
        <v>417</v>
      </c>
      <c r="L41">
        <v>1346</v>
      </c>
      <c r="N41">
        <v>1009</v>
      </c>
      <c r="O41" t="s">
        <v>146</v>
      </c>
      <c r="P41" t="s">
        <v>146</v>
      </c>
      <c r="Q41">
        <v>1</v>
      </c>
      <c r="X41">
        <v>4.9000000000000004</v>
      </c>
      <c r="Y41">
        <v>10.07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4.9000000000000004</v>
      </c>
      <c r="AH41">
        <v>2</v>
      </c>
      <c r="AI41">
        <v>56796402</v>
      </c>
      <c r="AJ41">
        <v>42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ROW(Source!A77)</f>
        <v>77</v>
      </c>
      <c r="B42">
        <v>56796403</v>
      </c>
      <c r="C42">
        <v>56796393</v>
      </c>
      <c r="D42">
        <v>55961639</v>
      </c>
      <c r="E42">
        <v>1</v>
      </c>
      <c r="F42">
        <v>1</v>
      </c>
      <c r="G42">
        <v>1081</v>
      </c>
      <c r="H42">
        <v>3</v>
      </c>
      <c r="I42" t="s">
        <v>144</v>
      </c>
      <c r="J42" t="s">
        <v>147</v>
      </c>
      <c r="K42" t="s">
        <v>145</v>
      </c>
      <c r="L42">
        <v>1346</v>
      </c>
      <c r="N42">
        <v>1009</v>
      </c>
      <c r="O42" t="s">
        <v>146</v>
      </c>
      <c r="P42" t="s">
        <v>146</v>
      </c>
      <c r="Q42">
        <v>1</v>
      </c>
      <c r="X42">
        <v>0.51500000000000001</v>
      </c>
      <c r="Y42">
        <v>9.98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0.51500000000000001</v>
      </c>
      <c r="AH42">
        <v>2</v>
      </c>
      <c r="AI42">
        <v>56796403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ROW(Source!A77)</f>
        <v>77</v>
      </c>
      <c r="B43">
        <v>56796404</v>
      </c>
      <c r="C43">
        <v>56796393</v>
      </c>
      <c r="D43">
        <v>55961367</v>
      </c>
      <c r="E43">
        <v>1</v>
      </c>
      <c r="F43">
        <v>1</v>
      </c>
      <c r="G43">
        <v>1081</v>
      </c>
      <c r="H43">
        <v>3</v>
      </c>
      <c r="I43" t="s">
        <v>418</v>
      </c>
      <c r="J43" t="s">
        <v>419</v>
      </c>
      <c r="K43" t="s">
        <v>420</v>
      </c>
      <c r="L43">
        <v>1348</v>
      </c>
      <c r="N43">
        <v>1009</v>
      </c>
      <c r="O43" t="s">
        <v>239</v>
      </c>
      <c r="P43" t="s">
        <v>239</v>
      </c>
      <c r="Q43">
        <v>1000</v>
      </c>
      <c r="X43">
        <v>4.8999999999999998E-3</v>
      </c>
      <c r="Y43">
        <v>6753.4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4.8999999999999998E-3</v>
      </c>
      <c r="AH43">
        <v>2</v>
      </c>
      <c r="AI43">
        <v>56796404</v>
      </c>
      <c r="AJ43">
        <v>46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ROW(Source!A77)</f>
        <v>77</v>
      </c>
      <c r="B44">
        <v>56796405</v>
      </c>
      <c r="C44">
        <v>56796393</v>
      </c>
      <c r="D44">
        <v>55918904</v>
      </c>
      <c r="E44">
        <v>1081</v>
      </c>
      <c r="F44">
        <v>1</v>
      </c>
      <c r="G44">
        <v>1081</v>
      </c>
      <c r="H44">
        <v>3</v>
      </c>
      <c r="I44" t="s">
        <v>478</v>
      </c>
      <c r="J44" t="s">
        <v>3</v>
      </c>
      <c r="K44" t="s">
        <v>479</v>
      </c>
      <c r="L44">
        <v>1355</v>
      </c>
      <c r="N44">
        <v>1010</v>
      </c>
      <c r="O44" t="s">
        <v>22</v>
      </c>
      <c r="P44" t="s">
        <v>22</v>
      </c>
      <c r="Q44">
        <v>100</v>
      </c>
      <c r="X44">
        <v>15.2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 t="s">
        <v>3</v>
      </c>
      <c r="AG44">
        <v>15.2</v>
      </c>
      <c r="AH44">
        <v>3</v>
      </c>
      <c r="AI44">
        <v>-1</v>
      </c>
      <c r="AJ44" t="s">
        <v>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ROW(Source!A77)</f>
        <v>77</v>
      </c>
      <c r="B45">
        <v>56796406</v>
      </c>
      <c r="C45">
        <v>56796393</v>
      </c>
      <c r="D45">
        <v>55932060</v>
      </c>
      <c r="E45">
        <v>1081</v>
      </c>
      <c r="F45">
        <v>1</v>
      </c>
      <c r="G45">
        <v>1081</v>
      </c>
      <c r="H45">
        <v>3</v>
      </c>
      <c r="I45" t="s">
        <v>480</v>
      </c>
      <c r="J45" t="s">
        <v>3</v>
      </c>
      <c r="K45" t="s">
        <v>481</v>
      </c>
      <c r="L45">
        <v>1346</v>
      </c>
      <c r="N45">
        <v>1009</v>
      </c>
      <c r="O45" t="s">
        <v>146</v>
      </c>
      <c r="P45" t="s">
        <v>146</v>
      </c>
      <c r="Q45">
        <v>1</v>
      </c>
      <c r="X45">
        <v>80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 t="s">
        <v>3</v>
      </c>
      <c r="AG45">
        <v>80</v>
      </c>
      <c r="AH45">
        <v>3</v>
      </c>
      <c r="AI45">
        <v>-1</v>
      </c>
      <c r="AJ45" t="s">
        <v>3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ROW(Source!A77)</f>
        <v>77</v>
      </c>
      <c r="B46">
        <v>56796407</v>
      </c>
      <c r="C46">
        <v>56796393</v>
      </c>
      <c r="D46">
        <v>55951372</v>
      </c>
      <c r="E46">
        <v>1081</v>
      </c>
      <c r="F46">
        <v>1</v>
      </c>
      <c r="G46">
        <v>1081</v>
      </c>
      <c r="H46">
        <v>3</v>
      </c>
      <c r="I46" t="s">
        <v>482</v>
      </c>
      <c r="J46" t="s">
        <v>3</v>
      </c>
      <c r="K46" t="s">
        <v>483</v>
      </c>
      <c r="L46">
        <v>1339</v>
      </c>
      <c r="N46">
        <v>1007</v>
      </c>
      <c r="O46" t="s">
        <v>151</v>
      </c>
      <c r="P46" t="s">
        <v>151</v>
      </c>
      <c r="Q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 t="s">
        <v>3</v>
      </c>
      <c r="AG46">
        <v>0</v>
      </c>
      <c r="AH46">
        <v>3</v>
      </c>
      <c r="AI46">
        <v>-1</v>
      </c>
      <c r="AJ46" t="s">
        <v>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ROW(Source!A81)</f>
        <v>81</v>
      </c>
      <c r="B47">
        <v>56794118</v>
      </c>
      <c r="C47">
        <v>56794108</v>
      </c>
      <c r="D47">
        <v>55926487</v>
      </c>
      <c r="E47">
        <v>1081</v>
      </c>
      <c r="F47">
        <v>1</v>
      </c>
      <c r="G47">
        <v>1081</v>
      </c>
      <c r="H47">
        <v>1</v>
      </c>
      <c r="I47" t="s">
        <v>354</v>
      </c>
      <c r="J47" t="s">
        <v>3</v>
      </c>
      <c r="K47" t="s">
        <v>355</v>
      </c>
      <c r="L47">
        <v>1191</v>
      </c>
      <c r="N47">
        <v>1013</v>
      </c>
      <c r="O47" t="s">
        <v>356</v>
      </c>
      <c r="P47" t="s">
        <v>356</v>
      </c>
      <c r="Q47">
        <v>1</v>
      </c>
      <c r="X47">
        <v>33.020000000000003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1</v>
      </c>
      <c r="AF47" t="s">
        <v>48</v>
      </c>
      <c r="AG47">
        <v>37.972999999999999</v>
      </c>
      <c r="AH47">
        <v>2</v>
      </c>
      <c r="AI47">
        <v>56794109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ROW(Source!A81)</f>
        <v>81</v>
      </c>
      <c r="B48">
        <v>56794119</v>
      </c>
      <c r="C48">
        <v>56794108</v>
      </c>
      <c r="D48">
        <v>55992133</v>
      </c>
      <c r="E48">
        <v>1</v>
      </c>
      <c r="F48">
        <v>1</v>
      </c>
      <c r="G48">
        <v>1081</v>
      </c>
      <c r="H48">
        <v>2</v>
      </c>
      <c r="I48" t="s">
        <v>397</v>
      </c>
      <c r="J48" t="s">
        <v>398</v>
      </c>
      <c r="K48" t="s">
        <v>399</v>
      </c>
      <c r="L48">
        <v>1368</v>
      </c>
      <c r="N48">
        <v>1011</v>
      </c>
      <c r="O48" t="s">
        <v>377</v>
      </c>
      <c r="P48" t="s">
        <v>377</v>
      </c>
      <c r="Q48">
        <v>1</v>
      </c>
      <c r="X48">
        <v>2.4</v>
      </c>
      <c r="Y48">
        <v>0</v>
      </c>
      <c r="Z48">
        <v>4.6900000000000004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48</v>
      </c>
      <c r="AG48">
        <v>2.76</v>
      </c>
      <c r="AH48">
        <v>2</v>
      </c>
      <c r="AI48">
        <v>56794110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ROW(Source!A81)</f>
        <v>81</v>
      </c>
      <c r="B49">
        <v>56794120</v>
      </c>
      <c r="C49">
        <v>56794108</v>
      </c>
      <c r="D49">
        <v>55992399</v>
      </c>
      <c r="E49">
        <v>1</v>
      </c>
      <c r="F49">
        <v>1</v>
      </c>
      <c r="G49">
        <v>1081</v>
      </c>
      <c r="H49">
        <v>2</v>
      </c>
      <c r="I49" t="s">
        <v>374</v>
      </c>
      <c r="J49" t="s">
        <v>375</v>
      </c>
      <c r="K49" t="s">
        <v>376</v>
      </c>
      <c r="L49">
        <v>1368</v>
      </c>
      <c r="N49">
        <v>1011</v>
      </c>
      <c r="O49" t="s">
        <v>377</v>
      </c>
      <c r="P49" t="s">
        <v>377</v>
      </c>
      <c r="Q49">
        <v>1</v>
      </c>
      <c r="X49">
        <v>0.47</v>
      </c>
      <c r="Y49">
        <v>0</v>
      </c>
      <c r="Z49">
        <v>83.1</v>
      </c>
      <c r="AA49">
        <v>12.62</v>
      </c>
      <c r="AB49">
        <v>0</v>
      </c>
      <c r="AC49">
        <v>0</v>
      </c>
      <c r="AD49">
        <v>1</v>
      </c>
      <c r="AE49">
        <v>0</v>
      </c>
      <c r="AF49" t="s">
        <v>48</v>
      </c>
      <c r="AG49">
        <v>0.54049999999999998</v>
      </c>
      <c r="AH49">
        <v>2</v>
      </c>
      <c r="AI49">
        <v>56794111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ROW(Source!A81)</f>
        <v>81</v>
      </c>
      <c r="B50">
        <v>56794121</v>
      </c>
      <c r="C50">
        <v>56794108</v>
      </c>
      <c r="D50">
        <v>55992521</v>
      </c>
      <c r="E50">
        <v>1</v>
      </c>
      <c r="F50">
        <v>1</v>
      </c>
      <c r="G50">
        <v>1081</v>
      </c>
      <c r="H50">
        <v>2</v>
      </c>
      <c r="I50" t="s">
        <v>421</v>
      </c>
      <c r="J50" t="s">
        <v>422</v>
      </c>
      <c r="K50" t="s">
        <v>423</v>
      </c>
      <c r="L50">
        <v>1368</v>
      </c>
      <c r="N50">
        <v>1011</v>
      </c>
      <c r="O50" t="s">
        <v>377</v>
      </c>
      <c r="P50" t="s">
        <v>377</v>
      </c>
      <c r="Q50">
        <v>1</v>
      </c>
      <c r="X50">
        <v>3.32</v>
      </c>
      <c r="Y50">
        <v>0</v>
      </c>
      <c r="Z50">
        <v>1.1100000000000001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48</v>
      </c>
      <c r="AG50">
        <v>3.8179999999999996</v>
      </c>
      <c r="AH50">
        <v>2</v>
      </c>
      <c r="AI50">
        <v>56794112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ROW(Source!A81)</f>
        <v>81</v>
      </c>
      <c r="B51">
        <v>56794122</v>
      </c>
      <c r="C51">
        <v>56794108</v>
      </c>
      <c r="D51">
        <v>55991700</v>
      </c>
      <c r="E51">
        <v>1</v>
      </c>
      <c r="F51">
        <v>1</v>
      </c>
      <c r="G51">
        <v>1081</v>
      </c>
      <c r="H51">
        <v>2</v>
      </c>
      <c r="I51" t="s">
        <v>409</v>
      </c>
      <c r="J51" t="s">
        <v>410</v>
      </c>
      <c r="K51" t="s">
        <v>411</v>
      </c>
      <c r="L51">
        <v>1368</v>
      </c>
      <c r="N51">
        <v>1011</v>
      </c>
      <c r="O51" t="s">
        <v>377</v>
      </c>
      <c r="P51" t="s">
        <v>377</v>
      </c>
      <c r="Q51">
        <v>1</v>
      </c>
      <c r="X51">
        <v>0.02</v>
      </c>
      <c r="Y51">
        <v>0</v>
      </c>
      <c r="Z51">
        <v>53.9</v>
      </c>
      <c r="AA51">
        <v>12.62</v>
      </c>
      <c r="AB51">
        <v>0</v>
      </c>
      <c r="AC51">
        <v>0</v>
      </c>
      <c r="AD51">
        <v>1</v>
      </c>
      <c r="AE51">
        <v>0</v>
      </c>
      <c r="AF51" t="s">
        <v>48</v>
      </c>
      <c r="AG51">
        <v>2.3E-2</v>
      </c>
      <c r="AH51">
        <v>2</v>
      </c>
      <c r="AI51">
        <v>56794113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ROW(Source!A81)</f>
        <v>81</v>
      </c>
      <c r="B52">
        <v>56794123</v>
      </c>
      <c r="C52">
        <v>56794108</v>
      </c>
      <c r="D52">
        <v>55961427</v>
      </c>
      <c r="E52">
        <v>1</v>
      </c>
      <c r="F52">
        <v>1</v>
      </c>
      <c r="G52">
        <v>1081</v>
      </c>
      <c r="H52">
        <v>3</v>
      </c>
      <c r="I52" t="s">
        <v>424</v>
      </c>
      <c r="J52" t="s">
        <v>425</v>
      </c>
      <c r="K52" t="s">
        <v>426</v>
      </c>
      <c r="L52">
        <v>1339</v>
      </c>
      <c r="N52">
        <v>1007</v>
      </c>
      <c r="O52" t="s">
        <v>151</v>
      </c>
      <c r="P52" t="s">
        <v>151</v>
      </c>
      <c r="Q52">
        <v>1</v>
      </c>
      <c r="X52">
        <v>0.30199999999999999</v>
      </c>
      <c r="Y52">
        <v>7.07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24</v>
      </c>
      <c r="AG52">
        <v>0.30199999999999999</v>
      </c>
      <c r="AH52">
        <v>2</v>
      </c>
      <c r="AI52">
        <v>56794114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ROW(Source!A81)</f>
        <v>81</v>
      </c>
      <c r="B53">
        <v>56794124</v>
      </c>
      <c r="C53">
        <v>56794108</v>
      </c>
      <c r="D53">
        <v>55963148</v>
      </c>
      <c r="E53">
        <v>1</v>
      </c>
      <c r="F53">
        <v>1</v>
      </c>
      <c r="G53">
        <v>1081</v>
      </c>
      <c r="H53">
        <v>3</v>
      </c>
      <c r="I53" t="s">
        <v>427</v>
      </c>
      <c r="J53" t="s">
        <v>428</v>
      </c>
      <c r="K53" t="s">
        <v>429</v>
      </c>
      <c r="L53">
        <v>1327</v>
      </c>
      <c r="N53">
        <v>1005</v>
      </c>
      <c r="O53" t="s">
        <v>174</v>
      </c>
      <c r="P53" t="s">
        <v>174</v>
      </c>
      <c r="Q53">
        <v>1</v>
      </c>
      <c r="X53">
        <v>10</v>
      </c>
      <c r="Y53">
        <v>2.31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24</v>
      </c>
      <c r="AG53">
        <v>10</v>
      </c>
      <c r="AH53">
        <v>2</v>
      </c>
      <c r="AI53">
        <v>56794115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ROW(Source!A81)</f>
        <v>81</v>
      </c>
      <c r="B54">
        <v>56794125</v>
      </c>
      <c r="C54">
        <v>56794108</v>
      </c>
      <c r="D54">
        <v>55931551</v>
      </c>
      <c r="E54">
        <v>1081</v>
      </c>
      <c r="F54">
        <v>1</v>
      </c>
      <c r="G54">
        <v>1081</v>
      </c>
      <c r="H54">
        <v>3</v>
      </c>
      <c r="I54" t="s">
        <v>484</v>
      </c>
      <c r="J54" t="s">
        <v>3</v>
      </c>
      <c r="K54" t="s">
        <v>485</v>
      </c>
      <c r="L54">
        <v>1346</v>
      </c>
      <c r="N54">
        <v>1009</v>
      </c>
      <c r="O54" t="s">
        <v>146</v>
      </c>
      <c r="P54" t="s">
        <v>146</v>
      </c>
      <c r="Q54">
        <v>1</v>
      </c>
      <c r="X54">
        <v>20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24</v>
      </c>
      <c r="AG54">
        <v>20</v>
      </c>
      <c r="AH54">
        <v>3</v>
      </c>
      <c r="AI54">
        <v>-1</v>
      </c>
      <c r="AJ54" t="s">
        <v>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ROW(Source!A81)</f>
        <v>81</v>
      </c>
      <c r="B55">
        <v>56794126</v>
      </c>
      <c r="C55">
        <v>56794108</v>
      </c>
      <c r="D55">
        <v>55952540</v>
      </c>
      <c r="E55">
        <v>1081</v>
      </c>
      <c r="F55">
        <v>1</v>
      </c>
      <c r="G55">
        <v>1081</v>
      </c>
      <c r="H55">
        <v>3</v>
      </c>
      <c r="I55" t="s">
        <v>486</v>
      </c>
      <c r="J55" t="s">
        <v>3</v>
      </c>
      <c r="K55" t="s">
        <v>487</v>
      </c>
      <c r="L55">
        <v>1348</v>
      </c>
      <c r="N55">
        <v>1009</v>
      </c>
      <c r="O55" t="s">
        <v>239</v>
      </c>
      <c r="P55" t="s">
        <v>239</v>
      </c>
      <c r="Q55">
        <v>1000</v>
      </c>
      <c r="X55">
        <v>0.84199999999999997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 t="s">
        <v>24</v>
      </c>
      <c r="AG55">
        <v>0.84199999999999997</v>
      </c>
      <c r="AH55">
        <v>3</v>
      </c>
      <c r="AI55">
        <v>-1</v>
      </c>
      <c r="AJ55" t="s">
        <v>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ROW(Source!A84)</f>
        <v>84</v>
      </c>
      <c r="B56">
        <v>56794135</v>
      </c>
      <c r="C56">
        <v>56794129</v>
      </c>
      <c r="D56">
        <v>55926487</v>
      </c>
      <c r="E56">
        <v>1081</v>
      </c>
      <c r="F56">
        <v>1</v>
      </c>
      <c r="G56">
        <v>1081</v>
      </c>
      <c r="H56">
        <v>1</v>
      </c>
      <c r="I56" t="s">
        <v>354</v>
      </c>
      <c r="J56" t="s">
        <v>3</v>
      </c>
      <c r="K56" t="s">
        <v>355</v>
      </c>
      <c r="L56">
        <v>1191</v>
      </c>
      <c r="N56">
        <v>1013</v>
      </c>
      <c r="O56" t="s">
        <v>356</v>
      </c>
      <c r="P56" t="s">
        <v>356</v>
      </c>
      <c r="Q56">
        <v>1</v>
      </c>
      <c r="X56">
        <v>3.44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1</v>
      </c>
      <c r="AF56" t="s">
        <v>167</v>
      </c>
      <c r="AG56">
        <v>23.735999999999997</v>
      </c>
      <c r="AH56">
        <v>2</v>
      </c>
      <c r="AI56">
        <v>56794130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ROW(Source!A84)</f>
        <v>84</v>
      </c>
      <c r="B57">
        <v>56794136</v>
      </c>
      <c r="C57">
        <v>56794129</v>
      </c>
      <c r="D57">
        <v>55992399</v>
      </c>
      <c r="E57">
        <v>1</v>
      </c>
      <c r="F57">
        <v>1</v>
      </c>
      <c r="G57">
        <v>1081</v>
      </c>
      <c r="H57">
        <v>2</v>
      </c>
      <c r="I57" t="s">
        <v>374</v>
      </c>
      <c r="J57" t="s">
        <v>375</v>
      </c>
      <c r="K57" t="s">
        <v>376</v>
      </c>
      <c r="L57">
        <v>1368</v>
      </c>
      <c r="N57">
        <v>1011</v>
      </c>
      <c r="O57" t="s">
        <v>377</v>
      </c>
      <c r="P57" t="s">
        <v>377</v>
      </c>
      <c r="Q57">
        <v>1</v>
      </c>
      <c r="X57">
        <v>0.1</v>
      </c>
      <c r="Y57">
        <v>0</v>
      </c>
      <c r="Z57">
        <v>83.1</v>
      </c>
      <c r="AA57">
        <v>12.62</v>
      </c>
      <c r="AB57">
        <v>0</v>
      </c>
      <c r="AC57">
        <v>0</v>
      </c>
      <c r="AD57">
        <v>1</v>
      </c>
      <c r="AE57">
        <v>0</v>
      </c>
      <c r="AF57" t="s">
        <v>167</v>
      </c>
      <c r="AG57">
        <v>0.69000000000000006</v>
      </c>
      <c r="AH57">
        <v>2</v>
      </c>
      <c r="AI57">
        <v>56794131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ROW(Source!A84)</f>
        <v>84</v>
      </c>
      <c r="B58">
        <v>56794137</v>
      </c>
      <c r="C58">
        <v>56794129</v>
      </c>
      <c r="D58">
        <v>55992521</v>
      </c>
      <c r="E58">
        <v>1</v>
      </c>
      <c r="F58">
        <v>1</v>
      </c>
      <c r="G58">
        <v>1081</v>
      </c>
      <c r="H58">
        <v>2</v>
      </c>
      <c r="I58" t="s">
        <v>421</v>
      </c>
      <c r="J58" t="s">
        <v>422</v>
      </c>
      <c r="K58" t="s">
        <v>423</v>
      </c>
      <c r="L58">
        <v>1368</v>
      </c>
      <c r="N58">
        <v>1011</v>
      </c>
      <c r="O58" t="s">
        <v>377</v>
      </c>
      <c r="P58" t="s">
        <v>377</v>
      </c>
      <c r="Q58">
        <v>1</v>
      </c>
      <c r="X58">
        <v>0.6</v>
      </c>
      <c r="Y58">
        <v>0</v>
      </c>
      <c r="Z58">
        <v>1.1100000000000001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167</v>
      </c>
      <c r="AG58">
        <v>4.1399999999999997</v>
      </c>
      <c r="AH58">
        <v>2</v>
      </c>
      <c r="AI58">
        <v>56794132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ROW(Source!A84)</f>
        <v>84</v>
      </c>
      <c r="B59">
        <v>56794138</v>
      </c>
      <c r="C59">
        <v>56794129</v>
      </c>
      <c r="D59">
        <v>55961427</v>
      </c>
      <c r="E59">
        <v>1</v>
      </c>
      <c r="F59">
        <v>1</v>
      </c>
      <c r="G59">
        <v>1081</v>
      </c>
      <c r="H59">
        <v>3</v>
      </c>
      <c r="I59" t="s">
        <v>424</v>
      </c>
      <c r="J59" t="s">
        <v>425</v>
      </c>
      <c r="K59" t="s">
        <v>426</v>
      </c>
      <c r="L59">
        <v>1339</v>
      </c>
      <c r="N59">
        <v>1007</v>
      </c>
      <c r="O59" t="s">
        <v>151</v>
      </c>
      <c r="P59" t="s">
        <v>151</v>
      </c>
      <c r="Q59">
        <v>1</v>
      </c>
      <c r="X59">
        <v>4.0399999999999998E-2</v>
      </c>
      <c r="Y59">
        <v>7.07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4.0399999999999998E-2</v>
      </c>
      <c r="AH59">
        <v>2</v>
      </c>
      <c r="AI59">
        <v>56794133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ROW(Source!A84)</f>
        <v>84</v>
      </c>
      <c r="B60">
        <v>56794139</v>
      </c>
      <c r="C60">
        <v>56794129</v>
      </c>
      <c r="D60">
        <v>55952540</v>
      </c>
      <c r="E60">
        <v>1081</v>
      </c>
      <c r="F60">
        <v>1</v>
      </c>
      <c r="G60">
        <v>1081</v>
      </c>
      <c r="H60">
        <v>3</v>
      </c>
      <c r="I60" t="s">
        <v>486</v>
      </c>
      <c r="J60" t="s">
        <v>3</v>
      </c>
      <c r="K60" t="s">
        <v>487</v>
      </c>
      <c r="L60">
        <v>1348</v>
      </c>
      <c r="N60">
        <v>1009</v>
      </c>
      <c r="O60" t="s">
        <v>239</v>
      </c>
      <c r="P60" t="s">
        <v>239</v>
      </c>
      <c r="Q60">
        <v>1000</v>
      </c>
      <c r="X60">
        <v>0.16800000000000001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 t="s">
        <v>3</v>
      </c>
      <c r="AG60">
        <v>0.16800000000000001</v>
      </c>
      <c r="AH60">
        <v>3</v>
      </c>
      <c r="AI60">
        <v>-1</v>
      </c>
      <c r="AJ60" t="s">
        <v>3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ROW(Source!A86)</f>
        <v>86</v>
      </c>
      <c r="B61">
        <v>56794148</v>
      </c>
      <c r="C61">
        <v>56794141</v>
      </c>
      <c r="D61">
        <v>55926487</v>
      </c>
      <c r="E61">
        <v>1081</v>
      </c>
      <c r="F61">
        <v>1</v>
      </c>
      <c r="G61">
        <v>1081</v>
      </c>
      <c r="H61">
        <v>1</v>
      </c>
      <c r="I61" t="s">
        <v>354</v>
      </c>
      <c r="J61" t="s">
        <v>3</v>
      </c>
      <c r="K61" t="s">
        <v>355</v>
      </c>
      <c r="L61">
        <v>1191</v>
      </c>
      <c r="N61">
        <v>1013</v>
      </c>
      <c r="O61" t="s">
        <v>356</v>
      </c>
      <c r="P61" t="s">
        <v>356</v>
      </c>
      <c r="Q61">
        <v>1</v>
      </c>
      <c r="X61">
        <v>0.4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1</v>
      </c>
      <c r="AF61" t="s">
        <v>48</v>
      </c>
      <c r="AG61">
        <v>0.45999999999999996</v>
      </c>
      <c r="AH61">
        <v>2</v>
      </c>
      <c r="AI61">
        <v>56794142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ROW(Source!A86)</f>
        <v>86</v>
      </c>
      <c r="B62">
        <v>56794149</v>
      </c>
      <c r="C62">
        <v>56794141</v>
      </c>
      <c r="D62">
        <v>55992133</v>
      </c>
      <c r="E62">
        <v>1</v>
      </c>
      <c r="F62">
        <v>1</v>
      </c>
      <c r="G62">
        <v>1081</v>
      </c>
      <c r="H62">
        <v>2</v>
      </c>
      <c r="I62" t="s">
        <v>397</v>
      </c>
      <c r="J62" t="s">
        <v>398</v>
      </c>
      <c r="K62" t="s">
        <v>399</v>
      </c>
      <c r="L62">
        <v>1368</v>
      </c>
      <c r="N62">
        <v>1011</v>
      </c>
      <c r="O62" t="s">
        <v>377</v>
      </c>
      <c r="P62" t="s">
        <v>377</v>
      </c>
      <c r="Q62">
        <v>1</v>
      </c>
      <c r="X62">
        <v>0.05</v>
      </c>
      <c r="Y62">
        <v>0</v>
      </c>
      <c r="Z62">
        <v>4.6900000000000004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48</v>
      </c>
      <c r="AG62">
        <v>5.7499999999999996E-2</v>
      </c>
      <c r="AH62">
        <v>2</v>
      </c>
      <c r="AI62">
        <v>56794143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ROW(Source!A86)</f>
        <v>86</v>
      </c>
      <c r="B63">
        <v>56794150</v>
      </c>
      <c r="C63">
        <v>56794141</v>
      </c>
      <c r="D63">
        <v>55992399</v>
      </c>
      <c r="E63">
        <v>1</v>
      </c>
      <c r="F63">
        <v>1</v>
      </c>
      <c r="G63">
        <v>1081</v>
      </c>
      <c r="H63">
        <v>2</v>
      </c>
      <c r="I63" t="s">
        <v>374</v>
      </c>
      <c r="J63" t="s">
        <v>375</v>
      </c>
      <c r="K63" t="s">
        <v>376</v>
      </c>
      <c r="L63">
        <v>1368</v>
      </c>
      <c r="N63">
        <v>1011</v>
      </c>
      <c r="O63" t="s">
        <v>377</v>
      </c>
      <c r="P63" t="s">
        <v>377</v>
      </c>
      <c r="Q63">
        <v>1</v>
      </c>
      <c r="X63">
        <v>4.0000000000000001E-3</v>
      </c>
      <c r="Y63">
        <v>0</v>
      </c>
      <c r="Z63">
        <v>83.1</v>
      </c>
      <c r="AA63">
        <v>12.62</v>
      </c>
      <c r="AB63">
        <v>0</v>
      </c>
      <c r="AC63">
        <v>0</v>
      </c>
      <c r="AD63">
        <v>1</v>
      </c>
      <c r="AE63">
        <v>0</v>
      </c>
      <c r="AF63" t="s">
        <v>48</v>
      </c>
      <c r="AG63">
        <v>4.5999999999999999E-3</v>
      </c>
      <c r="AH63">
        <v>2</v>
      </c>
      <c r="AI63">
        <v>56794144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ROW(Source!A86)</f>
        <v>86</v>
      </c>
      <c r="B64">
        <v>56794151</v>
      </c>
      <c r="C64">
        <v>56794141</v>
      </c>
      <c r="D64">
        <v>55963752</v>
      </c>
      <c r="E64">
        <v>1</v>
      </c>
      <c r="F64">
        <v>1</v>
      </c>
      <c r="G64">
        <v>1081</v>
      </c>
      <c r="H64">
        <v>3</v>
      </c>
      <c r="I64" t="s">
        <v>430</v>
      </c>
      <c r="J64" t="s">
        <v>431</v>
      </c>
      <c r="K64" t="s">
        <v>432</v>
      </c>
      <c r="L64">
        <v>1346</v>
      </c>
      <c r="N64">
        <v>1009</v>
      </c>
      <c r="O64" t="s">
        <v>146</v>
      </c>
      <c r="P64" t="s">
        <v>146</v>
      </c>
      <c r="Q64">
        <v>1</v>
      </c>
      <c r="X64">
        <v>0.32</v>
      </c>
      <c r="Y64">
        <v>25.42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24</v>
      </c>
      <c r="AG64">
        <v>0.32</v>
      </c>
      <c r="AH64">
        <v>2</v>
      </c>
      <c r="AI64">
        <v>56794145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ROW(Source!A86)</f>
        <v>86</v>
      </c>
      <c r="B65">
        <v>56794152</v>
      </c>
      <c r="C65">
        <v>56794141</v>
      </c>
      <c r="D65">
        <v>55963868</v>
      </c>
      <c r="E65">
        <v>1</v>
      </c>
      <c r="F65">
        <v>1</v>
      </c>
      <c r="G65">
        <v>1081</v>
      </c>
      <c r="H65">
        <v>3</v>
      </c>
      <c r="I65" t="s">
        <v>433</v>
      </c>
      <c r="J65" t="s">
        <v>434</v>
      </c>
      <c r="K65" t="s">
        <v>435</v>
      </c>
      <c r="L65">
        <v>1296</v>
      </c>
      <c r="N65">
        <v>1002</v>
      </c>
      <c r="O65" t="s">
        <v>436</v>
      </c>
      <c r="P65" t="s">
        <v>436</v>
      </c>
      <c r="Q65">
        <v>1</v>
      </c>
      <c r="X65">
        <v>0.09</v>
      </c>
      <c r="Y65">
        <v>40.159999999999997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24</v>
      </c>
      <c r="AG65">
        <v>0.09</v>
      </c>
      <c r="AH65">
        <v>2</v>
      </c>
      <c r="AI65">
        <v>56794146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ROW(Source!A86)</f>
        <v>86</v>
      </c>
      <c r="B66">
        <v>56794153</v>
      </c>
      <c r="C66">
        <v>56794141</v>
      </c>
      <c r="D66">
        <v>55930691</v>
      </c>
      <c r="E66">
        <v>1081</v>
      </c>
      <c r="F66">
        <v>1</v>
      </c>
      <c r="G66">
        <v>1081</v>
      </c>
      <c r="H66">
        <v>3</v>
      </c>
      <c r="I66" t="s">
        <v>488</v>
      </c>
      <c r="J66" t="s">
        <v>3</v>
      </c>
      <c r="K66" t="s">
        <v>489</v>
      </c>
      <c r="L66">
        <v>1327</v>
      </c>
      <c r="N66">
        <v>1005</v>
      </c>
      <c r="O66" t="s">
        <v>174</v>
      </c>
      <c r="P66" t="s">
        <v>174</v>
      </c>
      <c r="Q66">
        <v>1</v>
      </c>
      <c r="X66">
        <v>0.9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 t="s">
        <v>24</v>
      </c>
      <c r="AG66">
        <v>0.9</v>
      </c>
      <c r="AH66">
        <v>3</v>
      </c>
      <c r="AI66">
        <v>-1</v>
      </c>
      <c r="AJ66" t="s">
        <v>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ROW(Source!A88)</f>
        <v>88</v>
      </c>
      <c r="B67">
        <v>56794163</v>
      </c>
      <c r="C67">
        <v>56794155</v>
      </c>
      <c r="D67">
        <v>55926487</v>
      </c>
      <c r="E67">
        <v>1081</v>
      </c>
      <c r="F67">
        <v>1</v>
      </c>
      <c r="G67">
        <v>1081</v>
      </c>
      <c r="H67">
        <v>1</v>
      </c>
      <c r="I67" t="s">
        <v>354</v>
      </c>
      <c r="J67" t="s">
        <v>3</v>
      </c>
      <c r="K67" t="s">
        <v>355</v>
      </c>
      <c r="L67">
        <v>1191</v>
      </c>
      <c r="N67">
        <v>1013</v>
      </c>
      <c r="O67" t="s">
        <v>356</v>
      </c>
      <c r="P67" t="s">
        <v>356</v>
      </c>
      <c r="Q67">
        <v>1</v>
      </c>
      <c r="X67">
        <v>26.33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1</v>
      </c>
      <c r="AF67" t="s">
        <v>48</v>
      </c>
      <c r="AG67">
        <v>30.279499999999995</v>
      </c>
      <c r="AH67">
        <v>2</v>
      </c>
      <c r="AI67">
        <v>56794156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ROW(Source!A88)</f>
        <v>88</v>
      </c>
      <c r="B68">
        <v>56794164</v>
      </c>
      <c r="C68">
        <v>56794155</v>
      </c>
      <c r="D68">
        <v>55992399</v>
      </c>
      <c r="E68">
        <v>1</v>
      </c>
      <c r="F68">
        <v>1</v>
      </c>
      <c r="G68">
        <v>1081</v>
      </c>
      <c r="H68">
        <v>2</v>
      </c>
      <c r="I68" t="s">
        <v>374</v>
      </c>
      <c r="J68" t="s">
        <v>375</v>
      </c>
      <c r="K68" t="s">
        <v>376</v>
      </c>
      <c r="L68">
        <v>1368</v>
      </c>
      <c r="N68">
        <v>1011</v>
      </c>
      <c r="O68" t="s">
        <v>377</v>
      </c>
      <c r="P68" t="s">
        <v>377</v>
      </c>
      <c r="Q68">
        <v>1</v>
      </c>
      <c r="X68">
        <v>0.12</v>
      </c>
      <c r="Y68">
        <v>0</v>
      </c>
      <c r="Z68">
        <v>83.1</v>
      </c>
      <c r="AA68">
        <v>12.62</v>
      </c>
      <c r="AB68">
        <v>0</v>
      </c>
      <c r="AC68">
        <v>0</v>
      </c>
      <c r="AD68">
        <v>1</v>
      </c>
      <c r="AE68">
        <v>0</v>
      </c>
      <c r="AF68" t="s">
        <v>48</v>
      </c>
      <c r="AG68">
        <v>0.13799999999999998</v>
      </c>
      <c r="AH68">
        <v>2</v>
      </c>
      <c r="AI68">
        <v>56794157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ROW(Source!A88)</f>
        <v>88</v>
      </c>
      <c r="B69">
        <v>56794165</v>
      </c>
      <c r="C69">
        <v>56794155</v>
      </c>
      <c r="D69">
        <v>55992472</v>
      </c>
      <c r="E69">
        <v>1</v>
      </c>
      <c r="F69">
        <v>1</v>
      </c>
      <c r="G69">
        <v>1081</v>
      </c>
      <c r="H69">
        <v>2</v>
      </c>
      <c r="I69" t="s">
        <v>437</v>
      </c>
      <c r="J69" t="s">
        <v>438</v>
      </c>
      <c r="K69" t="s">
        <v>439</v>
      </c>
      <c r="L69">
        <v>1368</v>
      </c>
      <c r="N69">
        <v>1011</v>
      </c>
      <c r="O69" t="s">
        <v>377</v>
      </c>
      <c r="P69" t="s">
        <v>377</v>
      </c>
      <c r="Q69">
        <v>1</v>
      </c>
      <c r="X69">
        <v>0.22</v>
      </c>
      <c r="Y69">
        <v>0</v>
      </c>
      <c r="Z69">
        <v>0.43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48</v>
      </c>
      <c r="AG69">
        <v>0.253</v>
      </c>
      <c r="AH69">
        <v>2</v>
      </c>
      <c r="AI69">
        <v>56794158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ROW(Source!A88)</f>
        <v>88</v>
      </c>
      <c r="B70">
        <v>56794166</v>
      </c>
      <c r="C70">
        <v>56794155</v>
      </c>
      <c r="D70">
        <v>55991701</v>
      </c>
      <c r="E70">
        <v>1</v>
      </c>
      <c r="F70">
        <v>1</v>
      </c>
      <c r="G70">
        <v>1081</v>
      </c>
      <c r="H70">
        <v>2</v>
      </c>
      <c r="I70" t="s">
        <v>440</v>
      </c>
      <c r="J70" t="s">
        <v>441</v>
      </c>
      <c r="K70" t="s">
        <v>442</v>
      </c>
      <c r="L70">
        <v>1368</v>
      </c>
      <c r="N70">
        <v>1011</v>
      </c>
      <c r="O70" t="s">
        <v>377</v>
      </c>
      <c r="P70" t="s">
        <v>377</v>
      </c>
      <c r="Q70">
        <v>1</v>
      </c>
      <c r="X70">
        <v>0.13</v>
      </c>
      <c r="Y70">
        <v>0</v>
      </c>
      <c r="Z70">
        <v>61.77</v>
      </c>
      <c r="AA70">
        <v>12.62</v>
      </c>
      <c r="AB70">
        <v>0</v>
      </c>
      <c r="AC70">
        <v>0</v>
      </c>
      <c r="AD70">
        <v>1</v>
      </c>
      <c r="AE70">
        <v>0</v>
      </c>
      <c r="AF70" t="s">
        <v>48</v>
      </c>
      <c r="AG70">
        <v>0.14949999999999999</v>
      </c>
      <c r="AH70">
        <v>2</v>
      </c>
      <c r="AI70">
        <v>56794159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ROW(Source!A88)</f>
        <v>88</v>
      </c>
      <c r="B71">
        <v>56794167</v>
      </c>
      <c r="C71">
        <v>56794155</v>
      </c>
      <c r="D71">
        <v>55963231</v>
      </c>
      <c r="E71">
        <v>1</v>
      </c>
      <c r="F71">
        <v>1</v>
      </c>
      <c r="G71">
        <v>1081</v>
      </c>
      <c r="H71">
        <v>3</v>
      </c>
      <c r="I71" t="s">
        <v>443</v>
      </c>
      <c r="J71" t="s">
        <v>444</v>
      </c>
      <c r="K71" t="s">
        <v>445</v>
      </c>
      <c r="L71">
        <v>1301</v>
      </c>
      <c r="N71">
        <v>1003</v>
      </c>
      <c r="O71" t="s">
        <v>201</v>
      </c>
      <c r="P71" t="s">
        <v>201</v>
      </c>
      <c r="Q71">
        <v>1</v>
      </c>
      <c r="X71">
        <v>88.46</v>
      </c>
      <c r="Y71">
        <v>0.28999999999999998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24</v>
      </c>
      <c r="AG71">
        <v>88.46</v>
      </c>
      <c r="AH71">
        <v>2</v>
      </c>
      <c r="AI71">
        <v>56794161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ROW(Source!A88)</f>
        <v>88</v>
      </c>
      <c r="B72">
        <v>56794168</v>
      </c>
      <c r="C72">
        <v>56794155</v>
      </c>
      <c r="D72">
        <v>55927333</v>
      </c>
      <c r="E72">
        <v>1081</v>
      </c>
      <c r="F72">
        <v>1</v>
      </c>
      <c r="G72">
        <v>1081</v>
      </c>
      <c r="H72">
        <v>3</v>
      </c>
      <c r="I72" t="s">
        <v>490</v>
      </c>
      <c r="J72" t="s">
        <v>3</v>
      </c>
      <c r="K72" t="s">
        <v>491</v>
      </c>
      <c r="L72">
        <v>1327</v>
      </c>
      <c r="N72">
        <v>1005</v>
      </c>
      <c r="O72" t="s">
        <v>174</v>
      </c>
      <c r="P72" t="s">
        <v>174</v>
      </c>
      <c r="Q72">
        <v>1</v>
      </c>
      <c r="X72">
        <v>103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 t="s">
        <v>24</v>
      </c>
      <c r="AG72">
        <v>103</v>
      </c>
      <c r="AH72">
        <v>3</v>
      </c>
      <c r="AI72">
        <v>-1</v>
      </c>
      <c r="AJ72" t="s">
        <v>3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ROW(Source!A88)</f>
        <v>88</v>
      </c>
      <c r="B73">
        <v>56794169</v>
      </c>
      <c r="C73">
        <v>56794155</v>
      </c>
      <c r="D73">
        <v>55951281</v>
      </c>
      <c r="E73">
        <v>1081</v>
      </c>
      <c r="F73">
        <v>1</v>
      </c>
      <c r="G73">
        <v>1081</v>
      </c>
      <c r="H73">
        <v>3</v>
      </c>
      <c r="I73" t="s">
        <v>492</v>
      </c>
      <c r="J73" t="s">
        <v>3</v>
      </c>
      <c r="K73" t="s">
        <v>493</v>
      </c>
      <c r="L73">
        <v>1327</v>
      </c>
      <c r="N73">
        <v>1005</v>
      </c>
      <c r="O73" t="s">
        <v>174</v>
      </c>
      <c r="P73" t="s">
        <v>174</v>
      </c>
      <c r="Q73">
        <v>1</v>
      </c>
      <c r="X73">
        <v>102.5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24</v>
      </c>
      <c r="AG73">
        <v>102.5</v>
      </c>
      <c r="AH73">
        <v>3</v>
      </c>
      <c r="AI73">
        <v>-1</v>
      </c>
      <c r="AJ73" t="s">
        <v>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ROW(Source!A89)</f>
        <v>89</v>
      </c>
      <c r="B74">
        <v>56794183</v>
      </c>
      <c r="C74">
        <v>56794172</v>
      </c>
      <c r="D74">
        <v>55926487</v>
      </c>
      <c r="E74">
        <v>1081</v>
      </c>
      <c r="F74">
        <v>1</v>
      </c>
      <c r="G74">
        <v>1081</v>
      </c>
      <c r="H74">
        <v>1</v>
      </c>
      <c r="I74" t="s">
        <v>354</v>
      </c>
      <c r="J74" t="s">
        <v>3</v>
      </c>
      <c r="K74" t="s">
        <v>355</v>
      </c>
      <c r="L74">
        <v>1191</v>
      </c>
      <c r="N74">
        <v>1013</v>
      </c>
      <c r="O74" t="s">
        <v>356</v>
      </c>
      <c r="P74" t="s">
        <v>356</v>
      </c>
      <c r="Q74">
        <v>1</v>
      </c>
      <c r="X74">
        <v>6.66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1</v>
      </c>
      <c r="AF74" t="s">
        <v>48</v>
      </c>
      <c r="AG74">
        <v>7.6589999999999998</v>
      </c>
      <c r="AH74">
        <v>2</v>
      </c>
      <c r="AI74">
        <v>56794173</v>
      </c>
      <c r="AJ74">
        <v>72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ROW(Source!A89)</f>
        <v>89</v>
      </c>
      <c r="B75">
        <v>56794184</v>
      </c>
      <c r="C75">
        <v>56794172</v>
      </c>
      <c r="D75">
        <v>55992399</v>
      </c>
      <c r="E75">
        <v>1</v>
      </c>
      <c r="F75">
        <v>1</v>
      </c>
      <c r="G75">
        <v>1081</v>
      </c>
      <c r="H75">
        <v>2</v>
      </c>
      <c r="I75" t="s">
        <v>374</v>
      </c>
      <c r="J75" t="s">
        <v>375</v>
      </c>
      <c r="K75" t="s">
        <v>376</v>
      </c>
      <c r="L75">
        <v>1368</v>
      </c>
      <c r="N75">
        <v>1011</v>
      </c>
      <c r="O75" t="s">
        <v>377</v>
      </c>
      <c r="P75" t="s">
        <v>377</v>
      </c>
      <c r="Q75">
        <v>1</v>
      </c>
      <c r="X75">
        <v>0.03</v>
      </c>
      <c r="Y75">
        <v>0</v>
      </c>
      <c r="Z75">
        <v>83.1</v>
      </c>
      <c r="AA75">
        <v>12.62</v>
      </c>
      <c r="AB75">
        <v>0</v>
      </c>
      <c r="AC75">
        <v>0</v>
      </c>
      <c r="AD75">
        <v>1</v>
      </c>
      <c r="AE75">
        <v>0</v>
      </c>
      <c r="AF75" t="s">
        <v>48</v>
      </c>
      <c r="AG75">
        <v>3.4499999999999996E-2</v>
      </c>
      <c r="AH75">
        <v>2</v>
      </c>
      <c r="AI75">
        <v>56794174</v>
      </c>
      <c r="AJ75">
        <v>73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ROW(Source!A89)</f>
        <v>89</v>
      </c>
      <c r="B76">
        <v>56794185</v>
      </c>
      <c r="C76">
        <v>56794172</v>
      </c>
      <c r="D76">
        <v>55992520</v>
      </c>
      <c r="E76">
        <v>1</v>
      </c>
      <c r="F76">
        <v>1</v>
      </c>
      <c r="G76">
        <v>1081</v>
      </c>
      <c r="H76">
        <v>2</v>
      </c>
      <c r="I76" t="s">
        <v>400</v>
      </c>
      <c r="J76" t="s">
        <v>401</v>
      </c>
      <c r="K76" t="s">
        <v>402</v>
      </c>
      <c r="L76">
        <v>1368</v>
      </c>
      <c r="N76">
        <v>1011</v>
      </c>
      <c r="O76" t="s">
        <v>377</v>
      </c>
      <c r="P76" t="s">
        <v>377</v>
      </c>
      <c r="Q76">
        <v>1</v>
      </c>
      <c r="X76">
        <v>1.33</v>
      </c>
      <c r="Y76">
        <v>0</v>
      </c>
      <c r="Z76">
        <v>0.8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48</v>
      </c>
      <c r="AG76">
        <v>1.5294999999999999</v>
      </c>
      <c r="AH76">
        <v>2</v>
      </c>
      <c r="AI76">
        <v>56794175</v>
      </c>
      <c r="AJ76">
        <v>74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ROW(Source!A89)</f>
        <v>89</v>
      </c>
      <c r="B77">
        <v>56794186</v>
      </c>
      <c r="C77">
        <v>56794172</v>
      </c>
      <c r="D77">
        <v>55992486</v>
      </c>
      <c r="E77">
        <v>1</v>
      </c>
      <c r="F77">
        <v>1</v>
      </c>
      <c r="G77">
        <v>1081</v>
      </c>
      <c r="H77">
        <v>2</v>
      </c>
      <c r="I77" t="s">
        <v>446</v>
      </c>
      <c r="J77" t="s">
        <v>447</v>
      </c>
      <c r="K77" t="s">
        <v>448</v>
      </c>
      <c r="L77">
        <v>1368</v>
      </c>
      <c r="N77">
        <v>1011</v>
      </c>
      <c r="O77" t="s">
        <v>377</v>
      </c>
      <c r="P77" t="s">
        <v>377</v>
      </c>
      <c r="Q77">
        <v>1</v>
      </c>
      <c r="X77">
        <v>2.0099999999999998</v>
      </c>
      <c r="Y77">
        <v>0</v>
      </c>
      <c r="Z77">
        <v>0.47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48</v>
      </c>
      <c r="AG77">
        <v>2.3114999999999997</v>
      </c>
      <c r="AH77">
        <v>2</v>
      </c>
      <c r="AI77">
        <v>56794176</v>
      </c>
      <c r="AJ77">
        <v>75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ROW(Source!A89)</f>
        <v>89</v>
      </c>
      <c r="B78">
        <v>56794187</v>
      </c>
      <c r="C78">
        <v>56794172</v>
      </c>
      <c r="D78">
        <v>55963965</v>
      </c>
      <c r="E78">
        <v>1</v>
      </c>
      <c r="F78">
        <v>1</v>
      </c>
      <c r="G78">
        <v>1081</v>
      </c>
      <c r="H78">
        <v>3</v>
      </c>
      <c r="I78" t="s">
        <v>449</v>
      </c>
      <c r="J78" t="s">
        <v>450</v>
      </c>
      <c r="K78" t="s">
        <v>451</v>
      </c>
      <c r="L78">
        <v>1355</v>
      </c>
      <c r="N78">
        <v>1010</v>
      </c>
      <c r="O78" t="s">
        <v>22</v>
      </c>
      <c r="P78" t="s">
        <v>22</v>
      </c>
      <c r="Q78">
        <v>100</v>
      </c>
      <c r="X78">
        <v>2.63</v>
      </c>
      <c r="Y78">
        <v>64.17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24</v>
      </c>
      <c r="AG78">
        <v>2.63</v>
      </c>
      <c r="AH78">
        <v>2</v>
      </c>
      <c r="AI78">
        <v>56794178</v>
      </c>
      <c r="AJ78">
        <v>77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ROW(Source!A89)</f>
        <v>89</v>
      </c>
      <c r="B79">
        <v>56794188</v>
      </c>
      <c r="C79">
        <v>56794172</v>
      </c>
      <c r="D79">
        <v>55963981</v>
      </c>
      <c r="E79">
        <v>1</v>
      </c>
      <c r="F79">
        <v>1</v>
      </c>
      <c r="G79">
        <v>1081</v>
      </c>
      <c r="H79">
        <v>3</v>
      </c>
      <c r="I79" t="s">
        <v>452</v>
      </c>
      <c r="J79" t="s">
        <v>453</v>
      </c>
      <c r="K79" t="s">
        <v>454</v>
      </c>
      <c r="L79">
        <v>1355</v>
      </c>
      <c r="N79">
        <v>1010</v>
      </c>
      <c r="O79" t="s">
        <v>22</v>
      </c>
      <c r="P79" t="s">
        <v>22</v>
      </c>
      <c r="Q79">
        <v>100</v>
      </c>
      <c r="X79">
        <v>2.63</v>
      </c>
      <c r="Y79">
        <v>10.6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24</v>
      </c>
      <c r="AG79">
        <v>2.63</v>
      </c>
      <c r="AH79">
        <v>2</v>
      </c>
      <c r="AI79">
        <v>56794179</v>
      </c>
      <c r="AJ79">
        <v>78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ROW(Source!A89)</f>
        <v>89</v>
      </c>
      <c r="B80">
        <v>56794189</v>
      </c>
      <c r="C80">
        <v>56794172</v>
      </c>
      <c r="D80">
        <v>55955442</v>
      </c>
      <c r="E80">
        <v>1081</v>
      </c>
      <c r="F80">
        <v>1</v>
      </c>
      <c r="G80">
        <v>1081</v>
      </c>
      <c r="H80">
        <v>3</v>
      </c>
      <c r="I80" t="s">
        <v>494</v>
      </c>
      <c r="J80" t="s">
        <v>3</v>
      </c>
      <c r="K80" t="s">
        <v>495</v>
      </c>
      <c r="L80">
        <v>1355</v>
      </c>
      <c r="N80">
        <v>1010</v>
      </c>
      <c r="O80" t="s">
        <v>22</v>
      </c>
      <c r="P80" t="s">
        <v>22</v>
      </c>
      <c r="Q80">
        <v>100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 t="s">
        <v>24</v>
      </c>
      <c r="AG80">
        <v>0</v>
      </c>
      <c r="AH80">
        <v>3</v>
      </c>
      <c r="AI80">
        <v>-1</v>
      </c>
      <c r="AJ80" t="s">
        <v>3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ROW(Source!A89)</f>
        <v>89</v>
      </c>
      <c r="B81">
        <v>56794190</v>
      </c>
      <c r="C81">
        <v>56794172</v>
      </c>
      <c r="D81">
        <v>55955523</v>
      </c>
      <c r="E81">
        <v>1081</v>
      </c>
      <c r="F81">
        <v>1</v>
      </c>
      <c r="G81">
        <v>1081</v>
      </c>
      <c r="H81">
        <v>3</v>
      </c>
      <c r="I81" t="s">
        <v>496</v>
      </c>
      <c r="J81" t="s">
        <v>3</v>
      </c>
      <c r="K81" t="s">
        <v>497</v>
      </c>
      <c r="L81">
        <v>1301</v>
      </c>
      <c r="N81">
        <v>1003</v>
      </c>
      <c r="O81" t="s">
        <v>201</v>
      </c>
      <c r="P81" t="s">
        <v>201</v>
      </c>
      <c r="Q81">
        <v>1</v>
      </c>
      <c r="X81">
        <v>101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 t="s">
        <v>24</v>
      </c>
      <c r="AG81">
        <v>101</v>
      </c>
      <c r="AH81">
        <v>3</v>
      </c>
      <c r="AI81">
        <v>-1</v>
      </c>
      <c r="AJ81" t="s">
        <v>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ROW(Source!A94)</f>
        <v>94</v>
      </c>
      <c r="B82">
        <v>56794203</v>
      </c>
      <c r="C82">
        <v>56794195</v>
      </c>
      <c r="D82">
        <v>55926487</v>
      </c>
      <c r="E82">
        <v>1081</v>
      </c>
      <c r="F82">
        <v>1</v>
      </c>
      <c r="G82">
        <v>1081</v>
      </c>
      <c r="H82">
        <v>1</v>
      </c>
      <c r="I82" t="s">
        <v>354</v>
      </c>
      <c r="J82" t="s">
        <v>3</v>
      </c>
      <c r="K82" t="s">
        <v>355</v>
      </c>
      <c r="L82">
        <v>1191</v>
      </c>
      <c r="N82">
        <v>1013</v>
      </c>
      <c r="O82" t="s">
        <v>356</v>
      </c>
      <c r="P82" t="s">
        <v>356</v>
      </c>
      <c r="Q82">
        <v>1</v>
      </c>
      <c r="X82">
        <v>16.64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1</v>
      </c>
      <c r="AF82" t="s">
        <v>48</v>
      </c>
      <c r="AG82">
        <v>19.135999999999999</v>
      </c>
      <c r="AH82">
        <v>2</v>
      </c>
      <c r="AI82">
        <v>56794196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ROW(Source!A94)</f>
        <v>94</v>
      </c>
      <c r="B83">
        <v>56794204</v>
      </c>
      <c r="C83">
        <v>56794195</v>
      </c>
      <c r="D83">
        <v>55992399</v>
      </c>
      <c r="E83">
        <v>1</v>
      </c>
      <c r="F83">
        <v>1</v>
      </c>
      <c r="G83">
        <v>1081</v>
      </c>
      <c r="H83">
        <v>2</v>
      </c>
      <c r="I83" t="s">
        <v>374</v>
      </c>
      <c r="J83" t="s">
        <v>375</v>
      </c>
      <c r="K83" t="s">
        <v>376</v>
      </c>
      <c r="L83">
        <v>1368</v>
      </c>
      <c r="N83">
        <v>1011</v>
      </c>
      <c r="O83" t="s">
        <v>377</v>
      </c>
      <c r="P83" t="s">
        <v>377</v>
      </c>
      <c r="Q83">
        <v>1</v>
      </c>
      <c r="X83">
        <v>0.02</v>
      </c>
      <c r="Y83">
        <v>0</v>
      </c>
      <c r="Z83">
        <v>83.1</v>
      </c>
      <c r="AA83">
        <v>12.62</v>
      </c>
      <c r="AB83">
        <v>0</v>
      </c>
      <c r="AC83">
        <v>0</v>
      </c>
      <c r="AD83">
        <v>1</v>
      </c>
      <c r="AE83">
        <v>0</v>
      </c>
      <c r="AF83" t="s">
        <v>48</v>
      </c>
      <c r="AG83">
        <v>2.3E-2</v>
      </c>
      <c r="AH83">
        <v>2</v>
      </c>
      <c r="AI83">
        <v>56794197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ROW(Source!A94)</f>
        <v>94</v>
      </c>
      <c r="B84">
        <v>56794205</v>
      </c>
      <c r="C84">
        <v>56794195</v>
      </c>
      <c r="D84">
        <v>55992520</v>
      </c>
      <c r="E84">
        <v>1</v>
      </c>
      <c r="F84">
        <v>1</v>
      </c>
      <c r="G84">
        <v>1081</v>
      </c>
      <c r="H84">
        <v>2</v>
      </c>
      <c r="I84" t="s">
        <v>400</v>
      </c>
      <c r="J84" t="s">
        <v>401</v>
      </c>
      <c r="K84" t="s">
        <v>402</v>
      </c>
      <c r="L84">
        <v>1368</v>
      </c>
      <c r="N84">
        <v>1011</v>
      </c>
      <c r="O84" t="s">
        <v>377</v>
      </c>
      <c r="P84" t="s">
        <v>377</v>
      </c>
      <c r="Q84">
        <v>1</v>
      </c>
      <c r="X84">
        <v>4.29</v>
      </c>
      <c r="Y84">
        <v>0</v>
      </c>
      <c r="Z84">
        <v>0.8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48</v>
      </c>
      <c r="AG84">
        <v>4.9334999999999996</v>
      </c>
      <c r="AH84">
        <v>2</v>
      </c>
      <c r="AI84">
        <v>56794198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ROW(Source!A94)</f>
        <v>94</v>
      </c>
      <c r="B85">
        <v>56794206</v>
      </c>
      <c r="C85">
        <v>56794195</v>
      </c>
      <c r="D85">
        <v>55992467</v>
      </c>
      <c r="E85">
        <v>1</v>
      </c>
      <c r="F85">
        <v>1</v>
      </c>
      <c r="G85">
        <v>1081</v>
      </c>
      <c r="H85">
        <v>2</v>
      </c>
      <c r="I85" t="s">
        <v>406</v>
      </c>
      <c r="J85" t="s">
        <v>407</v>
      </c>
      <c r="K85" t="s">
        <v>408</v>
      </c>
      <c r="L85">
        <v>1368</v>
      </c>
      <c r="N85">
        <v>1011</v>
      </c>
      <c r="O85" t="s">
        <v>377</v>
      </c>
      <c r="P85" t="s">
        <v>377</v>
      </c>
      <c r="Q85">
        <v>1</v>
      </c>
      <c r="X85">
        <v>0.36</v>
      </c>
      <c r="Y85">
        <v>0</v>
      </c>
      <c r="Z85">
        <v>0.36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48</v>
      </c>
      <c r="AG85">
        <v>0.41399999999999998</v>
      </c>
      <c r="AH85">
        <v>2</v>
      </c>
      <c r="AI85">
        <v>56794199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ROW(Source!A94)</f>
        <v>94</v>
      </c>
      <c r="B86">
        <v>56794207</v>
      </c>
      <c r="C86">
        <v>56794195</v>
      </c>
      <c r="D86">
        <v>55992486</v>
      </c>
      <c r="E86">
        <v>1</v>
      </c>
      <c r="F86">
        <v>1</v>
      </c>
      <c r="G86">
        <v>1081</v>
      </c>
      <c r="H86">
        <v>2</v>
      </c>
      <c r="I86" t="s">
        <v>446</v>
      </c>
      <c r="J86" t="s">
        <v>447</v>
      </c>
      <c r="K86" t="s">
        <v>448</v>
      </c>
      <c r="L86">
        <v>1368</v>
      </c>
      <c r="N86">
        <v>1011</v>
      </c>
      <c r="O86" t="s">
        <v>377</v>
      </c>
      <c r="P86" t="s">
        <v>377</v>
      </c>
      <c r="Q86">
        <v>1</v>
      </c>
      <c r="X86">
        <v>5.84</v>
      </c>
      <c r="Y86">
        <v>0</v>
      </c>
      <c r="Z86">
        <v>0.47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48</v>
      </c>
      <c r="AG86">
        <v>6.7159999999999993</v>
      </c>
      <c r="AH86">
        <v>2</v>
      </c>
      <c r="AI86">
        <v>56794200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ROW(Source!A94)</f>
        <v>94</v>
      </c>
      <c r="B87">
        <v>56794208</v>
      </c>
      <c r="C87">
        <v>56794195</v>
      </c>
      <c r="D87">
        <v>55961425</v>
      </c>
      <c r="E87">
        <v>1</v>
      </c>
      <c r="F87">
        <v>1</v>
      </c>
      <c r="G87">
        <v>1081</v>
      </c>
      <c r="H87">
        <v>3</v>
      </c>
      <c r="I87" t="s">
        <v>455</v>
      </c>
      <c r="J87" t="s">
        <v>456</v>
      </c>
      <c r="K87" t="s">
        <v>457</v>
      </c>
      <c r="L87">
        <v>1346</v>
      </c>
      <c r="N87">
        <v>1009</v>
      </c>
      <c r="O87" t="s">
        <v>146</v>
      </c>
      <c r="P87" t="s">
        <v>146</v>
      </c>
      <c r="Q87">
        <v>1</v>
      </c>
      <c r="X87">
        <v>0.94</v>
      </c>
      <c r="Y87">
        <v>48.14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24</v>
      </c>
      <c r="AG87">
        <v>0.94</v>
      </c>
      <c r="AH87">
        <v>2</v>
      </c>
      <c r="AI87">
        <v>56794201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ROW(Source!A94)</f>
        <v>94</v>
      </c>
      <c r="B88">
        <v>56794209</v>
      </c>
      <c r="C88">
        <v>56794195</v>
      </c>
      <c r="D88">
        <v>55948900</v>
      </c>
      <c r="E88">
        <v>1081</v>
      </c>
      <c r="F88">
        <v>1</v>
      </c>
      <c r="G88">
        <v>1081</v>
      </c>
      <c r="H88">
        <v>3</v>
      </c>
      <c r="I88" t="s">
        <v>498</v>
      </c>
      <c r="J88" t="s">
        <v>3</v>
      </c>
      <c r="K88" t="s">
        <v>499</v>
      </c>
      <c r="L88">
        <v>1301</v>
      </c>
      <c r="N88">
        <v>1003</v>
      </c>
      <c r="O88" t="s">
        <v>201</v>
      </c>
      <c r="P88" t="s">
        <v>201</v>
      </c>
      <c r="Q88">
        <v>1</v>
      </c>
      <c r="X88">
        <v>105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24</v>
      </c>
      <c r="AG88">
        <v>105</v>
      </c>
      <c r="AH88">
        <v>3</v>
      </c>
      <c r="AI88">
        <v>-1</v>
      </c>
      <c r="AJ88" t="s">
        <v>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ROW(Source!A131)</f>
        <v>131</v>
      </c>
      <c r="B89">
        <v>56794270</v>
      </c>
      <c r="C89">
        <v>56794268</v>
      </c>
      <c r="D89">
        <v>55926487</v>
      </c>
      <c r="E89">
        <v>1081</v>
      </c>
      <c r="F89">
        <v>1</v>
      </c>
      <c r="G89">
        <v>1081</v>
      </c>
      <c r="H89">
        <v>1</v>
      </c>
      <c r="I89" t="s">
        <v>354</v>
      </c>
      <c r="J89" t="s">
        <v>3</v>
      </c>
      <c r="K89" t="s">
        <v>355</v>
      </c>
      <c r="L89">
        <v>1191</v>
      </c>
      <c r="N89">
        <v>1013</v>
      </c>
      <c r="O89" t="s">
        <v>356</v>
      </c>
      <c r="P89" t="s">
        <v>356</v>
      </c>
      <c r="Q89">
        <v>1</v>
      </c>
      <c r="X89">
        <v>0.6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1</v>
      </c>
      <c r="AF89" t="s">
        <v>3</v>
      </c>
      <c r="AG89">
        <v>0.6</v>
      </c>
      <c r="AH89">
        <v>2</v>
      </c>
      <c r="AI89">
        <v>56794269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ROW(Source!A132)</f>
        <v>132</v>
      </c>
      <c r="B90">
        <v>56794275</v>
      </c>
      <c r="C90">
        <v>56794271</v>
      </c>
      <c r="D90">
        <v>55926487</v>
      </c>
      <c r="E90">
        <v>1081</v>
      </c>
      <c r="F90">
        <v>1</v>
      </c>
      <c r="G90">
        <v>1081</v>
      </c>
      <c r="H90">
        <v>1</v>
      </c>
      <c r="I90" t="s">
        <v>354</v>
      </c>
      <c r="J90" t="s">
        <v>3</v>
      </c>
      <c r="K90" t="s">
        <v>355</v>
      </c>
      <c r="L90">
        <v>1191</v>
      </c>
      <c r="N90">
        <v>1013</v>
      </c>
      <c r="O90" t="s">
        <v>356</v>
      </c>
      <c r="P90" t="s">
        <v>356</v>
      </c>
      <c r="Q90">
        <v>1</v>
      </c>
      <c r="X90">
        <v>174.1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1</v>
      </c>
      <c r="AF90" t="s">
        <v>3</v>
      </c>
      <c r="AG90">
        <v>174.1</v>
      </c>
      <c r="AH90">
        <v>2</v>
      </c>
      <c r="AI90">
        <v>56794272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ROW(Source!A132)</f>
        <v>132</v>
      </c>
      <c r="B91">
        <v>56794276</v>
      </c>
      <c r="C91">
        <v>56794271</v>
      </c>
      <c r="D91">
        <v>55952717</v>
      </c>
      <c r="E91">
        <v>1081</v>
      </c>
      <c r="F91">
        <v>1</v>
      </c>
      <c r="G91">
        <v>1081</v>
      </c>
      <c r="H91">
        <v>3</v>
      </c>
      <c r="I91" t="s">
        <v>500</v>
      </c>
      <c r="J91" t="s">
        <v>3</v>
      </c>
      <c r="K91" t="s">
        <v>501</v>
      </c>
      <c r="L91">
        <v>1339</v>
      </c>
      <c r="N91">
        <v>1007</v>
      </c>
      <c r="O91" t="s">
        <v>151</v>
      </c>
      <c r="P91" t="s">
        <v>151</v>
      </c>
      <c r="Q91">
        <v>1</v>
      </c>
      <c r="X91">
        <v>2.2000000000000002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 t="s">
        <v>24</v>
      </c>
      <c r="AG91">
        <v>2.2000000000000002</v>
      </c>
      <c r="AH91">
        <v>3</v>
      </c>
      <c r="AI91">
        <v>-1</v>
      </c>
      <c r="AJ91" t="s">
        <v>3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ROW(Source!A132)</f>
        <v>132</v>
      </c>
      <c r="B92">
        <v>56794277</v>
      </c>
      <c r="C92">
        <v>56794271</v>
      </c>
      <c r="D92">
        <v>55926471</v>
      </c>
      <c r="E92">
        <v>1081</v>
      </c>
      <c r="F92">
        <v>1</v>
      </c>
      <c r="G92">
        <v>1081</v>
      </c>
      <c r="H92">
        <v>3</v>
      </c>
      <c r="I92" t="s">
        <v>357</v>
      </c>
      <c r="J92" t="s">
        <v>3</v>
      </c>
      <c r="K92" t="s">
        <v>358</v>
      </c>
      <c r="L92">
        <v>1348</v>
      </c>
      <c r="N92">
        <v>1009</v>
      </c>
      <c r="O92" t="s">
        <v>239</v>
      </c>
      <c r="P92" t="s">
        <v>239</v>
      </c>
      <c r="Q92">
        <v>1000</v>
      </c>
      <c r="X92">
        <v>3.38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24</v>
      </c>
      <c r="AG92">
        <v>3.38</v>
      </c>
      <c r="AH92">
        <v>2</v>
      </c>
      <c r="AI92">
        <v>56794274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ROW(Source!A134)</f>
        <v>134</v>
      </c>
      <c r="B93">
        <v>56794290</v>
      </c>
      <c r="C93">
        <v>56794279</v>
      </c>
      <c r="D93">
        <v>55926487</v>
      </c>
      <c r="E93">
        <v>1081</v>
      </c>
      <c r="F93">
        <v>1</v>
      </c>
      <c r="G93">
        <v>1081</v>
      </c>
      <c r="H93">
        <v>1</v>
      </c>
      <c r="I93" t="s">
        <v>354</v>
      </c>
      <c r="J93" t="s">
        <v>3</v>
      </c>
      <c r="K93" t="s">
        <v>355</v>
      </c>
      <c r="L93">
        <v>1191</v>
      </c>
      <c r="N93">
        <v>1013</v>
      </c>
      <c r="O93" t="s">
        <v>356</v>
      </c>
      <c r="P93" t="s">
        <v>356</v>
      </c>
      <c r="Q93">
        <v>1</v>
      </c>
      <c r="X93">
        <v>38.31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1</v>
      </c>
      <c r="AF93" t="s">
        <v>48</v>
      </c>
      <c r="AG93">
        <v>44.0565</v>
      </c>
      <c r="AH93">
        <v>2</v>
      </c>
      <c r="AI93">
        <v>56794280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ROW(Source!A134)</f>
        <v>134</v>
      </c>
      <c r="B94">
        <v>56794291</v>
      </c>
      <c r="C94">
        <v>56794279</v>
      </c>
      <c r="D94">
        <v>55992399</v>
      </c>
      <c r="E94">
        <v>1</v>
      </c>
      <c r="F94">
        <v>1</v>
      </c>
      <c r="G94">
        <v>1081</v>
      </c>
      <c r="H94">
        <v>2</v>
      </c>
      <c r="I94" t="s">
        <v>374</v>
      </c>
      <c r="J94" t="s">
        <v>375</v>
      </c>
      <c r="K94" t="s">
        <v>376</v>
      </c>
      <c r="L94">
        <v>1368</v>
      </c>
      <c r="N94">
        <v>1011</v>
      </c>
      <c r="O94" t="s">
        <v>377</v>
      </c>
      <c r="P94" t="s">
        <v>377</v>
      </c>
      <c r="Q94">
        <v>1</v>
      </c>
      <c r="X94">
        <v>0.09</v>
      </c>
      <c r="Y94">
        <v>0</v>
      </c>
      <c r="Z94">
        <v>83.1</v>
      </c>
      <c r="AA94">
        <v>12.62</v>
      </c>
      <c r="AB94">
        <v>0</v>
      </c>
      <c r="AC94">
        <v>0</v>
      </c>
      <c r="AD94">
        <v>1</v>
      </c>
      <c r="AE94">
        <v>0</v>
      </c>
      <c r="AF94" t="s">
        <v>48</v>
      </c>
      <c r="AG94">
        <v>0.10349999999999999</v>
      </c>
      <c r="AH94">
        <v>2</v>
      </c>
      <c r="AI94">
        <v>56794281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ROW(Source!A134)</f>
        <v>134</v>
      </c>
      <c r="B95">
        <v>56794292</v>
      </c>
      <c r="C95">
        <v>56794279</v>
      </c>
      <c r="D95">
        <v>55991703</v>
      </c>
      <c r="E95">
        <v>1</v>
      </c>
      <c r="F95">
        <v>1</v>
      </c>
      <c r="G95">
        <v>1081</v>
      </c>
      <c r="H95">
        <v>2</v>
      </c>
      <c r="I95" t="s">
        <v>458</v>
      </c>
      <c r="J95" t="s">
        <v>459</v>
      </c>
      <c r="K95" t="s">
        <v>460</v>
      </c>
      <c r="L95">
        <v>1368</v>
      </c>
      <c r="N95">
        <v>1011</v>
      </c>
      <c r="O95" t="s">
        <v>377</v>
      </c>
      <c r="P95" t="s">
        <v>377</v>
      </c>
      <c r="Q95">
        <v>1</v>
      </c>
      <c r="X95">
        <v>0.01</v>
      </c>
      <c r="Y95">
        <v>0</v>
      </c>
      <c r="Z95">
        <v>114.83</v>
      </c>
      <c r="AA95">
        <v>12.62</v>
      </c>
      <c r="AB95">
        <v>0</v>
      </c>
      <c r="AC95">
        <v>0</v>
      </c>
      <c r="AD95">
        <v>1</v>
      </c>
      <c r="AE95">
        <v>0</v>
      </c>
      <c r="AF95" t="s">
        <v>48</v>
      </c>
      <c r="AG95">
        <v>1.15E-2</v>
      </c>
      <c r="AH95">
        <v>2</v>
      </c>
      <c r="AI95">
        <v>56794282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ROW(Source!A134)</f>
        <v>134</v>
      </c>
      <c r="B96">
        <v>56794293</v>
      </c>
      <c r="C96">
        <v>56794279</v>
      </c>
      <c r="D96">
        <v>55991899</v>
      </c>
      <c r="E96">
        <v>1</v>
      </c>
      <c r="F96">
        <v>1</v>
      </c>
      <c r="G96">
        <v>1081</v>
      </c>
      <c r="H96">
        <v>2</v>
      </c>
      <c r="I96" t="s">
        <v>461</v>
      </c>
      <c r="J96" t="s">
        <v>462</v>
      </c>
      <c r="K96" t="s">
        <v>463</v>
      </c>
      <c r="L96">
        <v>1368</v>
      </c>
      <c r="N96">
        <v>1011</v>
      </c>
      <c r="O96" t="s">
        <v>377</v>
      </c>
      <c r="P96" t="s">
        <v>377</v>
      </c>
      <c r="Q96">
        <v>1</v>
      </c>
      <c r="X96">
        <v>0.63</v>
      </c>
      <c r="Y96">
        <v>0</v>
      </c>
      <c r="Z96">
        <v>0.17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48</v>
      </c>
      <c r="AG96">
        <v>0.72449999999999992</v>
      </c>
      <c r="AH96">
        <v>2</v>
      </c>
      <c r="AI96">
        <v>56794283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ROW(Source!A134)</f>
        <v>134</v>
      </c>
      <c r="B97">
        <v>56794294</v>
      </c>
      <c r="C97">
        <v>56794279</v>
      </c>
      <c r="D97">
        <v>55961424</v>
      </c>
      <c r="E97">
        <v>1</v>
      </c>
      <c r="F97">
        <v>1</v>
      </c>
      <c r="G97">
        <v>1081</v>
      </c>
      <c r="H97">
        <v>3</v>
      </c>
      <c r="I97" t="s">
        <v>464</v>
      </c>
      <c r="J97" t="s">
        <v>465</v>
      </c>
      <c r="K97" t="s">
        <v>466</v>
      </c>
      <c r="L97">
        <v>1346</v>
      </c>
      <c r="N97">
        <v>1009</v>
      </c>
      <c r="O97" t="s">
        <v>146</v>
      </c>
      <c r="P97" t="s">
        <v>146</v>
      </c>
      <c r="Q97">
        <v>1</v>
      </c>
      <c r="X97">
        <v>0.1</v>
      </c>
      <c r="Y97">
        <v>1.61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24</v>
      </c>
      <c r="AG97">
        <v>0.1</v>
      </c>
      <c r="AH97">
        <v>2</v>
      </c>
      <c r="AI97">
        <v>56794284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ROW(Source!A134)</f>
        <v>134</v>
      </c>
      <c r="B98">
        <v>56794295</v>
      </c>
      <c r="C98">
        <v>56794279</v>
      </c>
      <c r="D98">
        <v>55961427</v>
      </c>
      <c r="E98">
        <v>1</v>
      </c>
      <c r="F98">
        <v>1</v>
      </c>
      <c r="G98">
        <v>1081</v>
      </c>
      <c r="H98">
        <v>3</v>
      </c>
      <c r="I98" t="s">
        <v>424</v>
      </c>
      <c r="J98" t="s">
        <v>425</v>
      </c>
      <c r="K98" t="s">
        <v>426</v>
      </c>
      <c r="L98">
        <v>1339</v>
      </c>
      <c r="N98">
        <v>1007</v>
      </c>
      <c r="O98" t="s">
        <v>151</v>
      </c>
      <c r="P98" t="s">
        <v>151</v>
      </c>
      <c r="Q98">
        <v>1</v>
      </c>
      <c r="X98">
        <v>4.8300000000000003E-2</v>
      </c>
      <c r="Y98">
        <v>7.07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24</v>
      </c>
      <c r="AG98">
        <v>4.8300000000000003E-2</v>
      </c>
      <c r="AH98">
        <v>2</v>
      </c>
      <c r="AI98">
        <v>56794285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ROW(Source!A134)</f>
        <v>134</v>
      </c>
      <c r="B99">
        <v>56794296</v>
      </c>
      <c r="C99">
        <v>56794279</v>
      </c>
      <c r="D99">
        <v>55962402</v>
      </c>
      <c r="E99">
        <v>1</v>
      </c>
      <c r="F99">
        <v>1</v>
      </c>
      <c r="G99">
        <v>1081</v>
      </c>
      <c r="H99">
        <v>3</v>
      </c>
      <c r="I99" t="s">
        <v>412</v>
      </c>
      <c r="J99" t="s">
        <v>413</v>
      </c>
      <c r="K99" t="s">
        <v>414</v>
      </c>
      <c r="L99">
        <v>1327</v>
      </c>
      <c r="N99">
        <v>1005</v>
      </c>
      <c r="O99" t="s">
        <v>174</v>
      </c>
      <c r="P99" t="s">
        <v>174</v>
      </c>
      <c r="Q99">
        <v>1</v>
      </c>
      <c r="X99">
        <v>0.8</v>
      </c>
      <c r="Y99">
        <v>103.99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24</v>
      </c>
      <c r="AG99">
        <v>0.8</v>
      </c>
      <c r="AH99">
        <v>2</v>
      </c>
      <c r="AI99">
        <v>56794286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ROW(Source!A134)</f>
        <v>134</v>
      </c>
      <c r="B100">
        <v>56794297</v>
      </c>
      <c r="C100">
        <v>56794279</v>
      </c>
      <c r="D100">
        <v>55931538</v>
      </c>
      <c r="E100">
        <v>1081</v>
      </c>
      <c r="F100">
        <v>1</v>
      </c>
      <c r="G100">
        <v>1081</v>
      </c>
      <c r="H100">
        <v>3</v>
      </c>
      <c r="I100" t="s">
        <v>502</v>
      </c>
      <c r="J100" t="s">
        <v>3</v>
      </c>
      <c r="K100" t="s">
        <v>503</v>
      </c>
      <c r="L100">
        <v>1346</v>
      </c>
      <c r="N100">
        <v>1009</v>
      </c>
      <c r="O100" t="s">
        <v>146</v>
      </c>
      <c r="P100" t="s">
        <v>146</v>
      </c>
      <c r="Q100">
        <v>1</v>
      </c>
      <c r="X100">
        <v>22.42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 t="s">
        <v>24</v>
      </c>
      <c r="AG100">
        <v>22.42</v>
      </c>
      <c r="AH100">
        <v>3</v>
      </c>
      <c r="AI100">
        <v>-1</v>
      </c>
      <c r="AJ100" t="s">
        <v>3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ROW(Source!A134)</f>
        <v>134</v>
      </c>
      <c r="B101">
        <v>56794298</v>
      </c>
      <c r="C101">
        <v>56794279</v>
      </c>
      <c r="D101">
        <v>55931538</v>
      </c>
      <c r="E101">
        <v>1081</v>
      </c>
      <c r="F101">
        <v>1</v>
      </c>
      <c r="G101">
        <v>1081</v>
      </c>
      <c r="H101">
        <v>3</v>
      </c>
      <c r="I101" t="s">
        <v>502</v>
      </c>
      <c r="J101" t="s">
        <v>3</v>
      </c>
      <c r="K101" t="s">
        <v>504</v>
      </c>
      <c r="L101">
        <v>1348</v>
      </c>
      <c r="N101">
        <v>1009</v>
      </c>
      <c r="O101" t="s">
        <v>239</v>
      </c>
      <c r="P101" t="s">
        <v>239</v>
      </c>
      <c r="Q101">
        <v>1000</v>
      </c>
      <c r="X101">
        <v>4.2500000000000003E-2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 t="s">
        <v>24</v>
      </c>
      <c r="AG101">
        <v>4.2500000000000003E-2</v>
      </c>
      <c r="AH101">
        <v>3</v>
      </c>
      <c r="AI101">
        <v>-1</v>
      </c>
      <c r="AJ101" t="s">
        <v>3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ROW(Source!A134)</f>
        <v>134</v>
      </c>
      <c r="B102">
        <v>56794299</v>
      </c>
      <c r="C102">
        <v>56794279</v>
      </c>
      <c r="D102">
        <v>55952472</v>
      </c>
      <c r="E102">
        <v>1081</v>
      </c>
      <c r="F102">
        <v>1</v>
      </c>
      <c r="G102">
        <v>1081</v>
      </c>
      <c r="H102">
        <v>3</v>
      </c>
      <c r="I102" t="s">
        <v>505</v>
      </c>
      <c r="J102" t="s">
        <v>3</v>
      </c>
      <c r="K102" t="s">
        <v>506</v>
      </c>
      <c r="L102">
        <v>1346</v>
      </c>
      <c r="N102">
        <v>1009</v>
      </c>
      <c r="O102" t="s">
        <v>146</v>
      </c>
      <c r="P102" t="s">
        <v>146</v>
      </c>
      <c r="Q102">
        <v>1</v>
      </c>
      <c r="X102">
        <v>116.28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24</v>
      </c>
      <c r="AG102">
        <v>116.28</v>
      </c>
      <c r="AH102">
        <v>3</v>
      </c>
      <c r="AI102">
        <v>-1</v>
      </c>
      <c r="AJ102" t="s">
        <v>3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ROW(Source!A138)</f>
        <v>138</v>
      </c>
      <c r="B103">
        <v>56794309</v>
      </c>
      <c r="C103">
        <v>56794303</v>
      </c>
      <c r="D103">
        <v>55926487</v>
      </c>
      <c r="E103">
        <v>1081</v>
      </c>
      <c r="F103">
        <v>1</v>
      </c>
      <c r="G103">
        <v>1081</v>
      </c>
      <c r="H103">
        <v>1</v>
      </c>
      <c r="I103" t="s">
        <v>354</v>
      </c>
      <c r="J103" t="s">
        <v>3</v>
      </c>
      <c r="K103" t="s">
        <v>355</v>
      </c>
      <c r="L103">
        <v>1191</v>
      </c>
      <c r="N103">
        <v>1013</v>
      </c>
      <c r="O103" t="s">
        <v>356</v>
      </c>
      <c r="P103" t="s">
        <v>356</v>
      </c>
      <c r="Q103">
        <v>1</v>
      </c>
      <c r="X103">
        <v>64.599999999999994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1</v>
      </c>
      <c r="AF103" t="s">
        <v>48</v>
      </c>
      <c r="AG103">
        <v>74.289999999999992</v>
      </c>
      <c r="AH103">
        <v>2</v>
      </c>
      <c r="AI103">
        <v>56794304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ROW(Source!A138)</f>
        <v>138</v>
      </c>
      <c r="B104">
        <v>56794310</v>
      </c>
      <c r="C104">
        <v>56794303</v>
      </c>
      <c r="D104">
        <v>55992399</v>
      </c>
      <c r="E104">
        <v>1</v>
      </c>
      <c r="F104">
        <v>1</v>
      </c>
      <c r="G104">
        <v>1081</v>
      </c>
      <c r="H104">
        <v>2</v>
      </c>
      <c r="I104" t="s">
        <v>374</v>
      </c>
      <c r="J104" t="s">
        <v>375</v>
      </c>
      <c r="K104" t="s">
        <v>376</v>
      </c>
      <c r="L104">
        <v>1368</v>
      </c>
      <c r="N104">
        <v>1011</v>
      </c>
      <c r="O104" t="s">
        <v>377</v>
      </c>
      <c r="P104" t="s">
        <v>377</v>
      </c>
      <c r="Q104">
        <v>1</v>
      </c>
      <c r="X104">
        <v>0.03</v>
      </c>
      <c r="Y104">
        <v>0</v>
      </c>
      <c r="Z104">
        <v>83.1</v>
      </c>
      <c r="AA104">
        <v>12.62</v>
      </c>
      <c r="AB104">
        <v>0</v>
      </c>
      <c r="AC104">
        <v>0</v>
      </c>
      <c r="AD104">
        <v>1</v>
      </c>
      <c r="AE104">
        <v>0</v>
      </c>
      <c r="AF104" t="s">
        <v>48</v>
      </c>
      <c r="AG104">
        <v>3.4499999999999996E-2</v>
      </c>
      <c r="AH104">
        <v>2</v>
      </c>
      <c r="AI104">
        <v>56794305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ROW(Source!A138)</f>
        <v>138</v>
      </c>
      <c r="B105">
        <v>56794311</v>
      </c>
      <c r="C105">
        <v>56794303</v>
      </c>
      <c r="D105">
        <v>55961424</v>
      </c>
      <c r="E105">
        <v>1</v>
      </c>
      <c r="F105">
        <v>1</v>
      </c>
      <c r="G105">
        <v>1081</v>
      </c>
      <c r="H105">
        <v>3</v>
      </c>
      <c r="I105" t="s">
        <v>464</v>
      </c>
      <c r="J105" t="s">
        <v>465</v>
      </c>
      <c r="K105" t="s">
        <v>466</v>
      </c>
      <c r="L105">
        <v>1346</v>
      </c>
      <c r="N105">
        <v>1009</v>
      </c>
      <c r="O105" t="s">
        <v>146</v>
      </c>
      <c r="P105" t="s">
        <v>146</v>
      </c>
      <c r="Q105">
        <v>1</v>
      </c>
      <c r="X105">
        <v>0.3</v>
      </c>
      <c r="Y105">
        <v>1.61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24</v>
      </c>
      <c r="AG105">
        <v>0.3</v>
      </c>
      <c r="AH105">
        <v>2</v>
      </c>
      <c r="AI105">
        <v>56794306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ROW(Source!A138)</f>
        <v>138</v>
      </c>
      <c r="B106">
        <v>56794312</v>
      </c>
      <c r="C106">
        <v>56794303</v>
      </c>
      <c r="D106">
        <v>55931626</v>
      </c>
      <c r="E106">
        <v>1081</v>
      </c>
      <c r="F106">
        <v>1</v>
      </c>
      <c r="G106">
        <v>1081</v>
      </c>
      <c r="H106">
        <v>3</v>
      </c>
      <c r="I106" t="s">
        <v>507</v>
      </c>
      <c r="J106" t="s">
        <v>3</v>
      </c>
      <c r="K106" t="s">
        <v>508</v>
      </c>
      <c r="L106">
        <v>1348</v>
      </c>
      <c r="N106">
        <v>1009</v>
      </c>
      <c r="O106" t="s">
        <v>239</v>
      </c>
      <c r="P106" t="s">
        <v>239</v>
      </c>
      <c r="Q106">
        <v>1000</v>
      </c>
      <c r="X106">
        <v>2.46E-2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 t="s">
        <v>24</v>
      </c>
      <c r="AG106">
        <v>2.46E-2</v>
      </c>
      <c r="AH106">
        <v>3</v>
      </c>
      <c r="AI106">
        <v>-1</v>
      </c>
      <c r="AJ106" t="s">
        <v>3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ROW(Source!A138)</f>
        <v>138</v>
      </c>
      <c r="B107">
        <v>56794313</v>
      </c>
      <c r="C107">
        <v>56794303</v>
      </c>
      <c r="D107">
        <v>55931659</v>
      </c>
      <c r="E107">
        <v>1081</v>
      </c>
      <c r="F107">
        <v>1</v>
      </c>
      <c r="G107">
        <v>1081</v>
      </c>
      <c r="H107">
        <v>3</v>
      </c>
      <c r="I107" t="s">
        <v>509</v>
      </c>
      <c r="J107" t="s">
        <v>3</v>
      </c>
      <c r="K107" t="s">
        <v>510</v>
      </c>
      <c r="L107">
        <v>1346</v>
      </c>
      <c r="N107">
        <v>1009</v>
      </c>
      <c r="O107" t="s">
        <v>146</v>
      </c>
      <c r="P107" t="s">
        <v>146</v>
      </c>
      <c r="Q107">
        <v>1</v>
      </c>
      <c r="X107">
        <v>2.7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 t="s">
        <v>24</v>
      </c>
      <c r="AG107">
        <v>2.7</v>
      </c>
      <c r="AH107">
        <v>3</v>
      </c>
      <c r="AI107">
        <v>-1</v>
      </c>
      <c r="AJ107" t="s">
        <v>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ROW(Source!A141)</f>
        <v>141</v>
      </c>
      <c r="B108">
        <v>56794320</v>
      </c>
      <c r="C108">
        <v>56794316</v>
      </c>
      <c r="D108">
        <v>55926487</v>
      </c>
      <c r="E108">
        <v>1081</v>
      </c>
      <c r="F108">
        <v>1</v>
      </c>
      <c r="G108">
        <v>1081</v>
      </c>
      <c r="H108">
        <v>1</v>
      </c>
      <c r="I108" t="s">
        <v>354</v>
      </c>
      <c r="J108" t="s">
        <v>3</v>
      </c>
      <c r="K108" t="s">
        <v>355</v>
      </c>
      <c r="L108">
        <v>1191</v>
      </c>
      <c r="N108">
        <v>1013</v>
      </c>
      <c r="O108" t="s">
        <v>356</v>
      </c>
      <c r="P108" t="s">
        <v>356</v>
      </c>
      <c r="Q108">
        <v>1</v>
      </c>
      <c r="X108">
        <v>46.19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1</v>
      </c>
      <c r="AF108" t="s">
        <v>3</v>
      </c>
      <c r="AG108">
        <v>46.19</v>
      </c>
      <c r="AH108">
        <v>2</v>
      </c>
      <c r="AI108">
        <v>56794317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ROW(Source!A141)</f>
        <v>141</v>
      </c>
      <c r="B109">
        <v>56794321</v>
      </c>
      <c r="C109">
        <v>56794316</v>
      </c>
      <c r="D109">
        <v>55961451</v>
      </c>
      <c r="E109">
        <v>1</v>
      </c>
      <c r="F109">
        <v>1</v>
      </c>
      <c r="G109">
        <v>1081</v>
      </c>
      <c r="H109">
        <v>3</v>
      </c>
      <c r="I109" t="s">
        <v>365</v>
      </c>
      <c r="J109" t="s">
        <v>366</v>
      </c>
      <c r="K109" t="s">
        <v>367</v>
      </c>
      <c r="L109">
        <v>1348</v>
      </c>
      <c r="N109">
        <v>1009</v>
      </c>
      <c r="O109" t="s">
        <v>239</v>
      </c>
      <c r="P109" t="s">
        <v>239</v>
      </c>
      <c r="Q109">
        <v>1000</v>
      </c>
      <c r="X109">
        <v>0.05</v>
      </c>
      <c r="Y109">
        <v>1219.68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24</v>
      </c>
      <c r="AG109">
        <v>0.05</v>
      </c>
      <c r="AH109">
        <v>2</v>
      </c>
      <c r="AI109">
        <v>56794318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ROW(Source!A141)</f>
        <v>141</v>
      </c>
      <c r="B110">
        <v>56794322</v>
      </c>
      <c r="C110">
        <v>56794316</v>
      </c>
      <c r="D110">
        <v>55944540</v>
      </c>
      <c r="E110">
        <v>1081</v>
      </c>
      <c r="F110">
        <v>1</v>
      </c>
      <c r="G110">
        <v>1081</v>
      </c>
      <c r="H110">
        <v>3</v>
      </c>
      <c r="I110" t="s">
        <v>511</v>
      </c>
      <c r="J110" t="s">
        <v>3</v>
      </c>
      <c r="K110" t="s">
        <v>512</v>
      </c>
      <c r="L110">
        <v>1354</v>
      </c>
      <c r="N110">
        <v>1010</v>
      </c>
      <c r="O110" t="s">
        <v>54</v>
      </c>
      <c r="P110" t="s">
        <v>54</v>
      </c>
      <c r="Q110">
        <v>1</v>
      </c>
      <c r="X110">
        <v>100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 t="s">
        <v>24</v>
      </c>
      <c r="AG110">
        <v>100</v>
      </c>
      <c r="AH110">
        <v>3</v>
      </c>
      <c r="AI110">
        <v>-1</v>
      </c>
      <c r="AJ110" t="s">
        <v>3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ROW(Source!A143)</f>
        <v>143</v>
      </c>
      <c r="B111">
        <v>56794328</v>
      </c>
      <c r="C111">
        <v>56794324</v>
      </c>
      <c r="D111">
        <v>55926487</v>
      </c>
      <c r="E111">
        <v>1081</v>
      </c>
      <c r="F111">
        <v>1</v>
      </c>
      <c r="G111">
        <v>1081</v>
      </c>
      <c r="H111">
        <v>1</v>
      </c>
      <c r="I111" t="s">
        <v>354</v>
      </c>
      <c r="J111" t="s">
        <v>3</v>
      </c>
      <c r="K111" t="s">
        <v>355</v>
      </c>
      <c r="L111">
        <v>1191</v>
      </c>
      <c r="N111">
        <v>1013</v>
      </c>
      <c r="O111" t="s">
        <v>356</v>
      </c>
      <c r="P111" t="s">
        <v>356</v>
      </c>
      <c r="Q111">
        <v>1</v>
      </c>
      <c r="X111">
        <v>3.45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1</v>
      </c>
      <c r="AF111" t="s">
        <v>48</v>
      </c>
      <c r="AG111">
        <v>3.9674999999999998</v>
      </c>
      <c r="AH111">
        <v>2</v>
      </c>
      <c r="AI111">
        <v>56794325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ROW(Source!A143)</f>
        <v>143</v>
      </c>
      <c r="B112">
        <v>56794329</v>
      </c>
      <c r="C112">
        <v>56794324</v>
      </c>
      <c r="D112">
        <v>55992399</v>
      </c>
      <c r="E112">
        <v>1</v>
      </c>
      <c r="F112">
        <v>1</v>
      </c>
      <c r="G112">
        <v>1081</v>
      </c>
      <c r="H112">
        <v>2</v>
      </c>
      <c r="I112" t="s">
        <v>374</v>
      </c>
      <c r="J112" t="s">
        <v>375</v>
      </c>
      <c r="K112" t="s">
        <v>376</v>
      </c>
      <c r="L112">
        <v>1368</v>
      </c>
      <c r="N112">
        <v>1011</v>
      </c>
      <c r="O112" t="s">
        <v>377</v>
      </c>
      <c r="P112" t="s">
        <v>377</v>
      </c>
      <c r="Q112">
        <v>1</v>
      </c>
      <c r="X112">
        <v>0.02</v>
      </c>
      <c r="Y112">
        <v>0</v>
      </c>
      <c r="Z112">
        <v>83.1</v>
      </c>
      <c r="AA112">
        <v>12.62</v>
      </c>
      <c r="AB112">
        <v>0</v>
      </c>
      <c r="AC112">
        <v>0</v>
      </c>
      <c r="AD112">
        <v>1</v>
      </c>
      <c r="AE112">
        <v>0</v>
      </c>
      <c r="AF112" t="s">
        <v>48</v>
      </c>
      <c r="AG112">
        <v>2.3E-2</v>
      </c>
      <c r="AH112">
        <v>2</v>
      </c>
      <c r="AI112">
        <v>56794326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ROW(Source!A143)</f>
        <v>143</v>
      </c>
      <c r="B113">
        <v>56794330</v>
      </c>
      <c r="C113">
        <v>56794324</v>
      </c>
      <c r="D113">
        <v>55927405</v>
      </c>
      <c r="E113">
        <v>1081</v>
      </c>
      <c r="F113">
        <v>1</v>
      </c>
      <c r="G113">
        <v>1081</v>
      </c>
      <c r="H113">
        <v>3</v>
      </c>
      <c r="I113" t="s">
        <v>513</v>
      </c>
      <c r="J113" t="s">
        <v>3</v>
      </c>
      <c r="K113" t="s">
        <v>514</v>
      </c>
      <c r="L113">
        <v>1327</v>
      </c>
      <c r="N113">
        <v>1005</v>
      </c>
      <c r="O113" t="s">
        <v>174</v>
      </c>
      <c r="P113" t="s">
        <v>174</v>
      </c>
      <c r="Q113">
        <v>1</v>
      </c>
      <c r="X113">
        <v>122.4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 t="s">
        <v>24</v>
      </c>
      <c r="AG113">
        <v>122.4</v>
      </c>
      <c r="AH113">
        <v>3</v>
      </c>
      <c r="AI113">
        <v>-1</v>
      </c>
      <c r="AJ113" t="s">
        <v>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ROW(Source!A145)</f>
        <v>145</v>
      </c>
      <c r="B114">
        <v>56794335</v>
      </c>
      <c r="C114">
        <v>56794332</v>
      </c>
      <c r="D114">
        <v>55926487</v>
      </c>
      <c r="E114">
        <v>1081</v>
      </c>
      <c r="F114">
        <v>1</v>
      </c>
      <c r="G114">
        <v>1081</v>
      </c>
      <c r="H114">
        <v>1</v>
      </c>
      <c r="I114" t="s">
        <v>354</v>
      </c>
      <c r="J114" t="s">
        <v>3</v>
      </c>
      <c r="K114" t="s">
        <v>355</v>
      </c>
      <c r="L114">
        <v>1191</v>
      </c>
      <c r="N114">
        <v>1013</v>
      </c>
      <c r="O114" t="s">
        <v>356</v>
      </c>
      <c r="P114" t="s">
        <v>356</v>
      </c>
      <c r="Q114">
        <v>1</v>
      </c>
      <c r="X114">
        <v>3.45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1</v>
      </c>
      <c r="AF114" t="s">
        <v>278</v>
      </c>
      <c r="AG114">
        <v>2.7600000000000002</v>
      </c>
      <c r="AH114">
        <v>2</v>
      </c>
      <c r="AI114">
        <v>56794333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ROW(Source!A145)</f>
        <v>145</v>
      </c>
      <c r="B115">
        <v>56794336</v>
      </c>
      <c r="C115">
        <v>56794332</v>
      </c>
      <c r="D115">
        <v>55992399</v>
      </c>
      <c r="E115">
        <v>1</v>
      </c>
      <c r="F115">
        <v>1</v>
      </c>
      <c r="G115">
        <v>1081</v>
      </c>
      <c r="H115">
        <v>2</v>
      </c>
      <c r="I115" t="s">
        <v>374</v>
      </c>
      <c r="J115" t="s">
        <v>375</v>
      </c>
      <c r="K115" t="s">
        <v>376</v>
      </c>
      <c r="L115">
        <v>1368</v>
      </c>
      <c r="N115">
        <v>1011</v>
      </c>
      <c r="O115" t="s">
        <v>377</v>
      </c>
      <c r="P115" t="s">
        <v>377</v>
      </c>
      <c r="Q115">
        <v>1</v>
      </c>
      <c r="X115">
        <v>0.02</v>
      </c>
      <c r="Y115">
        <v>0</v>
      </c>
      <c r="Z115">
        <v>83.1</v>
      </c>
      <c r="AA115">
        <v>12.62</v>
      </c>
      <c r="AB115">
        <v>0</v>
      </c>
      <c r="AC115">
        <v>0</v>
      </c>
      <c r="AD115">
        <v>1</v>
      </c>
      <c r="AE115">
        <v>0</v>
      </c>
      <c r="AF115" t="s">
        <v>278</v>
      </c>
      <c r="AG115">
        <v>1.6E-2</v>
      </c>
      <c r="AH115">
        <v>2</v>
      </c>
      <c r="AI115">
        <v>56794334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ROW(Source!A145)</f>
        <v>145</v>
      </c>
      <c r="B116">
        <v>56794337</v>
      </c>
      <c r="C116">
        <v>56794332</v>
      </c>
      <c r="D116">
        <v>55927405</v>
      </c>
      <c r="E116">
        <v>1081</v>
      </c>
      <c r="F116">
        <v>1</v>
      </c>
      <c r="G116">
        <v>1081</v>
      </c>
      <c r="H116">
        <v>3</v>
      </c>
      <c r="I116" t="s">
        <v>513</v>
      </c>
      <c r="J116" t="s">
        <v>3</v>
      </c>
      <c r="K116" t="s">
        <v>514</v>
      </c>
      <c r="L116">
        <v>1327</v>
      </c>
      <c r="N116">
        <v>1005</v>
      </c>
      <c r="O116" t="s">
        <v>174</v>
      </c>
      <c r="P116" t="s">
        <v>174</v>
      </c>
      <c r="Q116">
        <v>1</v>
      </c>
      <c r="X116">
        <v>122.4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3</v>
      </c>
      <c r="AG116">
        <v>122.4</v>
      </c>
      <c r="AH116">
        <v>3</v>
      </c>
      <c r="AI116">
        <v>-1</v>
      </c>
      <c r="AJ116" t="s">
        <v>3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ROW(Source!A181)</f>
        <v>181</v>
      </c>
      <c r="B117">
        <v>56794397</v>
      </c>
      <c r="C117">
        <v>56794395</v>
      </c>
      <c r="D117">
        <v>55926487</v>
      </c>
      <c r="E117">
        <v>1081</v>
      </c>
      <c r="F117">
        <v>1</v>
      </c>
      <c r="G117">
        <v>1081</v>
      </c>
      <c r="H117">
        <v>1</v>
      </c>
      <c r="I117" t="s">
        <v>354</v>
      </c>
      <c r="J117" t="s">
        <v>3</v>
      </c>
      <c r="K117" t="s">
        <v>355</v>
      </c>
      <c r="L117">
        <v>1191</v>
      </c>
      <c r="N117">
        <v>1013</v>
      </c>
      <c r="O117" t="s">
        <v>356</v>
      </c>
      <c r="P117" t="s">
        <v>356</v>
      </c>
      <c r="Q117">
        <v>1</v>
      </c>
      <c r="X117">
        <v>0.53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1</v>
      </c>
      <c r="AF117" t="s">
        <v>3</v>
      </c>
      <c r="AG117">
        <v>0.53</v>
      </c>
      <c r="AH117">
        <v>2</v>
      </c>
      <c r="AI117">
        <v>56794396</v>
      </c>
      <c r="AJ117">
        <v>116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ROW(Source!A183)</f>
        <v>183</v>
      </c>
      <c r="B118">
        <v>56794402</v>
      </c>
      <c r="C118">
        <v>56794398</v>
      </c>
      <c r="D118">
        <v>55926487</v>
      </c>
      <c r="E118">
        <v>1081</v>
      </c>
      <c r="F118">
        <v>1</v>
      </c>
      <c r="G118">
        <v>1081</v>
      </c>
      <c r="H118">
        <v>1</v>
      </c>
      <c r="I118" t="s">
        <v>354</v>
      </c>
      <c r="J118" t="s">
        <v>3</v>
      </c>
      <c r="K118" t="s">
        <v>355</v>
      </c>
      <c r="L118">
        <v>1191</v>
      </c>
      <c r="N118">
        <v>1013</v>
      </c>
      <c r="O118" t="s">
        <v>356</v>
      </c>
      <c r="P118" t="s">
        <v>356</v>
      </c>
      <c r="Q118">
        <v>1</v>
      </c>
      <c r="X118">
        <v>42.37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1</v>
      </c>
      <c r="AF118" t="s">
        <v>3</v>
      </c>
      <c r="AG118">
        <v>42.37</v>
      </c>
      <c r="AH118">
        <v>2</v>
      </c>
      <c r="AI118">
        <v>56794399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ROW(Source!A183)</f>
        <v>183</v>
      </c>
      <c r="B119">
        <v>56794403</v>
      </c>
      <c r="C119">
        <v>56794398</v>
      </c>
      <c r="D119">
        <v>55952717</v>
      </c>
      <c r="E119">
        <v>1081</v>
      </c>
      <c r="F119">
        <v>1</v>
      </c>
      <c r="G119">
        <v>1081</v>
      </c>
      <c r="H119">
        <v>3</v>
      </c>
      <c r="I119" t="s">
        <v>500</v>
      </c>
      <c r="J119" t="s">
        <v>3</v>
      </c>
      <c r="K119" t="s">
        <v>515</v>
      </c>
      <c r="L119">
        <v>1339</v>
      </c>
      <c r="N119">
        <v>1007</v>
      </c>
      <c r="O119" t="s">
        <v>151</v>
      </c>
      <c r="P119" t="s">
        <v>151</v>
      </c>
      <c r="Q119">
        <v>1</v>
      </c>
      <c r="X119">
        <v>1.06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 t="s">
        <v>24</v>
      </c>
      <c r="AG119">
        <v>1.06</v>
      </c>
      <c r="AH119">
        <v>3</v>
      </c>
      <c r="AI119">
        <v>-1</v>
      </c>
      <c r="AJ119" t="s">
        <v>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ROW(Source!A186)</f>
        <v>186</v>
      </c>
      <c r="B120">
        <v>56794417</v>
      </c>
      <c r="C120">
        <v>56794406</v>
      </c>
      <c r="D120">
        <v>55926487</v>
      </c>
      <c r="E120">
        <v>1081</v>
      </c>
      <c r="F120">
        <v>1</v>
      </c>
      <c r="G120">
        <v>1081</v>
      </c>
      <c r="H120">
        <v>1</v>
      </c>
      <c r="I120" t="s">
        <v>354</v>
      </c>
      <c r="J120" t="s">
        <v>3</v>
      </c>
      <c r="K120" t="s">
        <v>355</v>
      </c>
      <c r="L120">
        <v>1191</v>
      </c>
      <c r="N120">
        <v>1013</v>
      </c>
      <c r="O120" t="s">
        <v>356</v>
      </c>
      <c r="P120" t="s">
        <v>356</v>
      </c>
      <c r="Q120">
        <v>1</v>
      </c>
      <c r="X120">
        <v>54.95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1</v>
      </c>
      <c r="AF120" t="s">
        <v>48</v>
      </c>
      <c r="AG120">
        <v>63.192499999999995</v>
      </c>
      <c r="AH120">
        <v>2</v>
      </c>
      <c r="AI120">
        <v>56794407</v>
      </c>
      <c r="AJ120">
        <v>121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ROW(Source!A186)</f>
        <v>186</v>
      </c>
      <c r="B121">
        <v>56794418</v>
      </c>
      <c r="C121">
        <v>56794406</v>
      </c>
      <c r="D121">
        <v>55992399</v>
      </c>
      <c r="E121">
        <v>1</v>
      </c>
      <c r="F121">
        <v>1</v>
      </c>
      <c r="G121">
        <v>1081</v>
      </c>
      <c r="H121">
        <v>2</v>
      </c>
      <c r="I121" t="s">
        <v>374</v>
      </c>
      <c r="J121" t="s">
        <v>375</v>
      </c>
      <c r="K121" t="s">
        <v>376</v>
      </c>
      <c r="L121">
        <v>1368</v>
      </c>
      <c r="N121">
        <v>1011</v>
      </c>
      <c r="O121" t="s">
        <v>377</v>
      </c>
      <c r="P121" t="s">
        <v>377</v>
      </c>
      <c r="Q121">
        <v>1</v>
      </c>
      <c r="X121">
        <v>0.09</v>
      </c>
      <c r="Y121">
        <v>0</v>
      </c>
      <c r="Z121">
        <v>83.1</v>
      </c>
      <c r="AA121">
        <v>12.62</v>
      </c>
      <c r="AB121">
        <v>0</v>
      </c>
      <c r="AC121">
        <v>0</v>
      </c>
      <c r="AD121">
        <v>1</v>
      </c>
      <c r="AE121">
        <v>0</v>
      </c>
      <c r="AF121" t="s">
        <v>48</v>
      </c>
      <c r="AG121">
        <v>0.10349999999999999</v>
      </c>
      <c r="AH121">
        <v>2</v>
      </c>
      <c r="AI121">
        <v>56794408</v>
      </c>
      <c r="AJ121">
        <v>122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ROW(Source!A186)</f>
        <v>186</v>
      </c>
      <c r="B122">
        <v>56794419</v>
      </c>
      <c r="C122">
        <v>56794406</v>
      </c>
      <c r="D122">
        <v>55991703</v>
      </c>
      <c r="E122">
        <v>1</v>
      </c>
      <c r="F122">
        <v>1</v>
      </c>
      <c r="G122">
        <v>1081</v>
      </c>
      <c r="H122">
        <v>2</v>
      </c>
      <c r="I122" t="s">
        <v>458</v>
      </c>
      <c r="J122" t="s">
        <v>459</v>
      </c>
      <c r="K122" t="s">
        <v>460</v>
      </c>
      <c r="L122">
        <v>1368</v>
      </c>
      <c r="N122">
        <v>1011</v>
      </c>
      <c r="O122" t="s">
        <v>377</v>
      </c>
      <c r="P122" t="s">
        <v>377</v>
      </c>
      <c r="Q122">
        <v>1</v>
      </c>
      <c r="X122">
        <v>0.01</v>
      </c>
      <c r="Y122">
        <v>0</v>
      </c>
      <c r="Z122">
        <v>114.83</v>
      </c>
      <c r="AA122">
        <v>12.62</v>
      </c>
      <c r="AB122">
        <v>0</v>
      </c>
      <c r="AC122">
        <v>0</v>
      </c>
      <c r="AD122">
        <v>1</v>
      </c>
      <c r="AE122">
        <v>0</v>
      </c>
      <c r="AF122" t="s">
        <v>48</v>
      </c>
      <c r="AG122">
        <v>1.15E-2</v>
      </c>
      <c r="AH122">
        <v>2</v>
      </c>
      <c r="AI122">
        <v>56794409</v>
      </c>
      <c r="AJ122">
        <v>123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ROW(Source!A186)</f>
        <v>186</v>
      </c>
      <c r="B123">
        <v>56794420</v>
      </c>
      <c r="C123">
        <v>56794406</v>
      </c>
      <c r="D123">
        <v>55991899</v>
      </c>
      <c r="E123">
        <v>1</v>
      </c>
      <c r="F123">
        <v>1</v>
      </c>
      <c r="G123">
        <v>1081</v>
      </c>
      <c r="H123">
        <v>2</v>
      </c>
      <c r="I123" t="s">
        <v>461</v>
      </c>
      <c r="J123" t="s">
        <v>462</v>
      </c>
      <c r="K123" t="s">
        <v>463</v>
      </c>
      <c r="L123">
        <v>1368</v>
      </c>
      <c r="N123">
        <v>1011</v>
      </c>
      <c r="O123" t="s">
        <v>377</v>
      </c>
      <c r="P123" t="s">
        <v>377</v>
      </c>
      <c r="Q123">
        <v>1</v>
      </c>
      <c r="X123">
        <v>0.65</v>
      </c>
      <c r="Y123">
        <v>0</v>
      </c>
      <c r="Z123">
        <v>0.17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48</v>
      </c>
      <c r="AG123">
        <v>0.74749999999999994</v>
      </c>
      <c r="AH123">
        <v>2</v>
      </c>
      <c r="AI123">
        <v>56794410</v>
      </c>
      <c r="AJ123">
        <v>124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ROW(Source!A186)</f>
        <v>186</v>
      </c>
      <c r="B124">
        <v>56794421</v>
      </c>
      <c r="C124">
        <v>56794406</v>
      </c>
      <c r="D124">
        <v>55961424</v>
      </c>
      <c r="E124">
        <v>1</v>
      </c>
      <c r="F124">
        <v>1</v>
      </c>
      <c r="G124">
        <v>1081</v>
      </c>
      <c r="H124">
        <v>3</v>
      </c>
      <c r="I124" t="s">
        <v>464</v>
      </c>
      <c r="J124" t="s">
        <v>465</v>
      </c>
      <c r="K124" t="s">
        <v>466</v>
      </c>
      <c r="L124">
        <v>1346</v>
      </c>
      <c r="N124">
        <v>1009</v>
      </c>
      <c r="O124" t="s">
        <v>146</v>
      </c>
      <c r="P124" t="s">
        <v>146</v>
      </c>
      <c r="Q124">
        <v>1</v>
      </c>
      <c r="X124">
        <v>0.11</v>
      </c>
      <c r="Y124">
        <v>1.61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24</v>
      </c>
      <c r="AG124">
        <v>0.11</v>
      </c>
      <c r="AH124">
        <v>2</v>
      </c>
      <c r="AI124">
        <v>56794411</v>
      </c>
      <c r="AJ124">
        <v>125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ROW(Source!A186)</f>
        <v>186</v>
      </c>
      <c r="B125">
        <v>56794422</v>
      </c>
      <c r="C125">
        <v>56794406</v>
      </c>
      <c r="D125">
        <v>55961427</v>
      </c>
      <c r="E125">
        <v>1</v>
      </c>
      <c r="F125">
        <v>1</v>
      </c>
      <c r="G125">
        <v>1081</v>
      </c>
      <c r="H125">
        <v>3</v>
      </c>
      <c r="I125" t="s">
        <v>424</v>
      </c>
      <c r="J125" t="s">
        <v>425</v>
      </c>
      <c r="K125" t="s">
        <v>426</v>
      </c>
      <c r="L125">
        <v>1339</v>
      </c>
      <c r="N125">
        <v>1007</v>
      </c>
      <c r="O125" t="s">
        <v>151</v>
      </c>
      <c r="P125" t="s">
        <v>151</v>
      </c>
      <c r="Q125">
        <v>1</v>
      </c>
      <c r="X125">
        <v>4.9799999999999997E-2</v>
      </c>
      <c r="Y125">
        <v>7.07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24</v>
      </c>
      <c r="AG125">
        <v>4.9799999999999997E-2</v>
      </c>
      <c r="AH125">
        <v>2</v>
      </c>
      <c r="AI125">
        <v>56794412</v>
      </c>
      <c r="AJ125">
        <v>126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ROW(Source!A186)</f>
        <v>186</v>
      </c>
      <c r="B126">
        <v>56794423</v>
      </c>
      <c r="C126">
        <v>56794406</v>
      </c>
      <c r="D126">
        <v>55962402</v>
      </c>
      <c r="E126">
        <v>1</v>
      </c>
      <c r="F126">
        <v>1</v>
      </c>
      <c r="G126">
        <v>1081</v>
      </c>
      <c r="H126">
        <v>3</v>
      </c>
      <c r="I126" t="s">
        <v>412</v>
      </c>
      <c r="J126" t="s">
        <v>413</v>
      </c>
      <c r="K126" t="s">
        <v>414</v>
      </c>
      <c r="L126">
        <v>1327</v>
      </c>
      <c r="N126">
        <v>1005</v>
      </c>
      <c r="O126" t="s">
        <v>174</v>
      </c>
      <c r="P126" t="s">
        <v>174</v>
      </c>
      <c r="Q126">
        <v>1</v>
      </c>
      <c r="X126">
        <v>0.88</v>
      </c>
      <c r="Y126">
        <v>103.99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24</v>
      </c>
      <c r="AG126">
        <v>0.88</v>
      </c>
      <c r="AH126">
        <v>2</v>
      </c>
      <c r="AI126">
        <v>56794413</v>
      </c>
      <c r="AJ126">
        <v>127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ROW(Source!A186)</f>
        <v>186</v>
      </c>
      <c r="B127">
        <v>56794424</v>
      </c>
      <c r="C127">
        <v>56794406</v>
      </c>
      <c r="D127">
        <v>55931538</v>
      </c>
      <c r="E127">
        <v>1081</v>
      </c>
      <c r="F127">
        <v>1</v>
      </c>
      <c r="G127">
        <v>1081</v>
      </c>
      <c r="H127">
        <v>3</v>
      </c>
      <c r="I127" t="s">
        <v>502</v>
      </c>
      <c r="J127" t="s">
        <v>3</v>
      </c>
      <c r="K127" t="s">
        <v>503</v>
      </c>
      <c r="L127">
        <v>1346</v>
      </c>
      <c r="N127">
        <v>1009</v>
      </c>
      <c r="O127" t="s">
        <v>146</v>
      </c>
      <c r="P127" t="s">
        <v>146</v>
      </c>
      <c r="Q127">
        <v>1</v>
      </c>
      <c r="X127">
        <v>22.42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 t="s">
        <v>24</v>
      </c>
      <c r="AG127">
        <v>22.42</v>
      </c>
      <c r="AH127">
        <v>3</v>
      </c>
      <c r="AI127">
        <v>-1</v>
      </c>
      <c r="AJ127" t="s">
        <v>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ROW(Source!A186)</f>
        <v>186</v>
      </c>
      <c r="B128">
        <v>56794425</v>
      </c>
      <c r="C128">
        <v>56794406</v>
      </c>
      <c r="D128">
        <v>55931538</v>
      </c>
      <c r="E128">
        <v>1081</v>
      </c>
      <c r="F128">
        <v>1</v>
      </c>
      <c r="G128">
        <v>1081</v>
      </c>
      <c r="H128">
        <v>3</v>
      </c>
      <c r="I128" t="s">
        <v>502</v>
      </c>
      <c r="J128" t="s">
        <v>3</v>
      </c>
      <c r="K128" t="s">
        <v>504</v>
      </c>
      <c r="L128">
        <v>1348</v>
      </c>
      <c r="N128">
        <v>1009</v>
      </c>
      <c r="O128" t="s">
        <v>239</v>
      </c>
      <c r="P128" t="s">
        <v>239</v>
      </c>
      <c r="Q128">
        <v>1000</v>
      </c>
      <c r="X128">
        <v>4.4999999999999998E-2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 t="s">
        <v>24</v>
      </c>
      <c r="AG128">
        <v>4.4999999999999998E-2</v>
      </c>
      <c r="AH128">
        <v>3</v>
      </c>
      <c r="AI128">
        <v>-1</v>
      </c>
      <c r="AJ128" t="s">
        <v>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ROW(Source!A186)</f>
        <v>186</v>
      </c>
      <c r="B129">
        <v>56794426</v>
      </c>
      <c r="C129">
        <v>56794406</v>
      </c>
      <c r="D129">
        <v>55952472</v>
      </c>
      <c r="E129">
        <v>1081</v>
      </c>
      <c r="F129">
        <v>1</v>
      </c>
      <c r="G129">
        <v>1081</v>
      </c>
      <c r="H129">
        <v>3</v>
      </c>
      <c r="I129" t="s">
        <v>505</v>
      </c>
      <c r="J129" t="s">
        <v>3</v>
      </c>
      <c r="K129" t="s">
        <v>506</v>
      </c>
      <c r="L129">
        <v>1346</v>
      </c>
      <c r="N129">
        <v>1009</v>
      </c>
      <c r="O129" t="s">
        <v>146</v>
      </c>
      <c r="P129" t="s">
        <v>146</v>
      </c>
      <c r="Q129">
        <v>1</v>
      </c>
      <c r="X129">
        <v>119.78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 t="s">
        <v>24</v>
      </c>
      <c r="AG129">
        <v>119.78</v>
      </c>
      <c r="AH129">
        <v>3</v>
      </c>
      <c r="AI129">
        <v>-1</v>
      </c>
      <c r="AJ129" t="s">
        <v>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ROW(Source!A255)</f>
        <v>255</v>
      </c>
      <c r="B130">
        <v>56793666</v>
      </c>
      <c r="C130">
        <v>56793663</v>
      </c>
      <c r="D130">
        <v>55926487</v>
      </c>
      <c r="E130">
        <v>1081</v>
      </c>
      <c r="F130">
        <v>1</v>
      </c>
      <c r="G130">
        <v>1081</v>
      </c>
      <c r="H130">
        <v>1</v>
      </c>
      <c r="I130" t="s">
        <v>354</v>
      </c>
      <c r="J130" t="s">
        <v>3</v>
      </c>
      <c r="K130" t="s">
        <v>355</v>
      </c>
      <c r="L130">
        <v>1191</v>
      </c>
      <c r="N130">
        <v>1013</v>
      </c>
      <c r="O130" t="s">
        <v>356</v>
      </c>
      <c r="P130" t="s">
        <v>356</v>
      </c>
      <c r="Q130">
        <v>1</v>
      </c>
      <c r="X130">
        <v>1.1200000000000001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1</v>
      </c>
      <c r="AF130" t="s">
        <v>3</v>
      </c>
      <c r="AG130">
        <v>1.1200000000000001</v>
      </c>
      <c r="AH130">
        <v>2</v>
      </c>
      <c r="AI130">
        <v>56793664</v>
      </c>
      <c r="AJ130">
        <v>131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ROW(Source!A255)</f>
        <v>255</v>
      </c>
      <c r="B131">
        <v>56793667</v>
      </c>
      <c r="C131">
        <v>56793663</v>
      </c>
      <c r="D131">
        <v>55992411</v>
      </c>
      <c r="E131">
        <v>1</v>
      </c>
      <c r="F131">
        <v>1</v>
      </c>
      <c r="G131">
        <v>1081</v>
      </c>
      <c r="H131">
        <v>2</v>
      </c>
      <c r="I131" t="s">
        <v>467</v>
      </c>
      <c r="J131" t="s">
        <v>468</v>
      </c>
      <c r="K131" t="s">
        <v>469</v>
      </c>
      <c r="L131">
        <v>1368</v>
      </c>
      <c r="N131">
        <v>1011</v>
      </c>
      <c r="O131" t="s">
        <v>377</v>
      </c>
      <c r="P131" t="s">
        <v>377</v>
      </c>
      <c r="Q131">
        <v>1</v>
      </c>
      <c r="X131">
        <v>0.38</v>
      </c>
      <c r="Y131">
        <v>0</v>
      </c>
      <c r="Z131">
        <v>43.95</v>
      </c>
      <c r="AA131">
        <v>12.62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0.38</v>
      </c>
      <c r="AH131">
        <v>2</v>
      </c>
      <c r="AI131">
        <v>56793665</v>
      </c>
      <c r="AJ131">
        <v>132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ROW(Source!A256)</f>
        <v>256</v>
      </c>
      <c r="B132">
        <v>56793670</v>
      </c>
      <c r="C132">
        <v>56793668</v>
      </c>
      <c r="D132">
        <v>55926483</v>
      </c>
      <c r="E132">
        <v>1081</v>
      </c>
      <c r="F132">
        <v>1</v>
      </c>
      <c r="G132">
        <v>1081</v>
      </c>
      <c r="H132">
        <v>2</v>
      </c>
      <c r="I132" t="s">
        <v>470</v>
      </c>
      <c r="J132" t="s">
        <v>3</v>
      </c>
      <c r="K132" t="s">
        <v>471</v>
      </c>
      <c r="L132">
        <v>1344</v>
      </c>
      <c r="N132">
        <v>1008</v>
      </c>
      <c r="O132" t="s">
        <v>472</v>
      </c>
      <c r="P132" t="s">
        <v>472</v>
      </c>
      <c r="Q132">
        <v>1</v>
      </c>
      <c r="X132">
        <v>115.01</v>
      </c>
      <c r="Y132">
        <v>0</v>
      </c>
      <c r="Z132">
        <v>1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115.01</v>
      </c>
      <c r="AH132">
        <v>2</v>
      </c>
      <c r="AI132">
        <v>56793669</v>
      </c>
      <c r="AJ132">
        <v>133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36</v>
      </c>
      <c r="B1">
        <v>1</v>
      </c>
      <c r="C1" t="s">
        <v>3</v>
      </c>
      <c r="D1" t="s">
        <v>24</v>
      </c>
      <c r="E1" t="s">
        <v>48</v>
      </c>
      <c r="F1" t="s">
        <v>48</v>
      </c>
      <c r="G1" t="s">
        <v>48</v>
      </c>
      <c r="H1" t="s">
        <v>3</v>
      </c>
      <c r="I1" t="s">
        <v>48</v>
      </c>
      <c r="J1" t="s">
        <v>48</v>
      </c>
      <c r="K1" t="s">
        <v>3</v>
      </c>
      <c r="L1" t="s">
        <v>3</v>
      </c>
      <c r="M1" t="s">
        <v>3</v>
      </c>
      <c r="N1" t="s">
        <v>24</v>
      </c>
      <c r="O1" t="s">
        <v>48</v>
      </c>
      <c r="P1" t="s">
        <v>3</v>
      </c>
      <c r="Q1" t="s">
        <v>3</v>
      </c>
      <c r="R1" t="s">
        <v>3</v>
      </c>
      <c r="S1" t="s">
        <v>516</v>
      </c>
      <c r="T1" t="s">
        <v>521</v>
      </c>
      <c r="U1" t="s">
        <v>517</v>
      </c>
    </row>
    <row r="2" spans="1:21" x14ac:dyDescent="0.2">
      <c r="A2">
        <v>81</v>
      </c>
      <c r="B2">
        <v>1</v>
      </c>
      <c r="C2" t="s">
        <v>3</v>
      </c>
      <c r="D2" t="s">
        <v>24</v>
      </c>
      <c r="E2" t="s">
        <v>48</v>
      </c>
      <c r="F2" t="s">
        <v>48</v>
      </c>
      <c r="G2" t="s">
        <v>48</v>
      </c>
      <c r="H2" t="s">
        <v>3</v>
      </c>
      <c r="I2" t="s">
        <v>48</v>
      </c>
      <c r="J2" t="s">
        <v>48</v>
      </c>
      <c r="K2" t="s">
        <v>3</v>
      </c>
      <c r="L2" t="s">
        <v>3</v>
      </c>
      <c r="M2" t="s">
        <v>3</v>
      </c>
      <c r="N2" t="s">
        <v>24</v>
      </c>
      <c r="O2" t="s">
        <v>48</v>
      </c>
      <c r="P2" t="s">
        <v>3</v>
      </c>
      <c r="Q2" t="s">
        <v>3</v>
      </c>
      <c r="R2" t="s">
        <v>3</v>
      </c>
      <c r="S2" t="s">
        <v>516</v>
      </c>
      <c r="T2" t="s">
        <v>521</v>
      </c>
      <c r="U2" t="s">
        <v>517</v>
      </c>
    </row>
    <row r="3" spans="1:21" x14ac:dyDescent="0.2">
      <c r="A3">
        <v>86</v>
      </c>
      <c r="B3">
        <v>1</v>
      </c>
      <c r="C3" t="s">
        <v>3</v>
      </c>
      <c r="D3" t="s">
        <v>24</v>
      </c>
      <c r="E3" t="s">
        <v>48</v>
      </c>
      <c r="F3" t="s">
        <v>48</v>
      </c>
      <c r="G3" t="s">
        <v>48</v>
      </c>
      <c r="H3" t="s">
        <v>3</v>
      </c>
      <c r="I3" t="s">
        <v>48</v>
      </c>
      <c r="J3" t="s">
        <v>48</v>
      </c>
      <c r="K3" t="s">
        <v>3</v>
      </c>
      <c r="L3" t="s">
        <v>3</v>
      </c>
      <c r="M3" t="s">
        <v>3</v>
      </c>
      <c r="N3" t="s">
        <v>24</v>
      </c>
      <c r="O3" t="s">
        <v>48</v>
      </c>
      <c r="P3" t="s">
        <v>3</v>
      </c>
      <c r="Q3" t="s">
        <v>3</v>
      </c>
      <c r="R3" t="s">
        <v>3</v>
      </c>
      <c r="S3" t="s">
        <v>516</v>
      </c>
      <c r="T3" t="s">
        <v>521</v>
      </c>
      <c r="U3" t="s">
        <v>517</v>
      </c>
    </row>
    <row r="4" spans="1:21" x14ac:dyDescent="0.2">
      <c r="A4">
        <v>88</v>
      </c>
      <c r="B4">
        <v>1</v>
      </c>
      <c r="C4" t="s">
        <v>3</v>
      </c>
      <c r="D4" t="s">
        <v>24</v>
      </c>
      <c r="E4" t="s">
        <v>48</v>
      </c>
      <c r="F4" t="s">
        <v>48</v>
      </c>
      <c r="G4" t="s">
        <v>48</v>
      </c>
      <c r="H4" t="s">
        <v>3</v>
      </c>
      <c r="I4" t="s">
        <v>48</v>
      </c>
      <c r="J4" t="s">
        <v>48</v>
      </c>
      <c r="K4" t="s">
        <v>3</v>
      </c>
      <c r="L4" t="s">
        <v>3</v>
      </c>
      <c r="M4" t="s">
        <v>3</v>
      </c>
      <c r="N4" t="s">
        <v>24</v>
      </c>
      <c r="O4" t="s">
        <v>48</v>
      </c>
      <c r="P4" t="s">
        <v>3</v>
      </c>
      <c r="Q4" t="s">
        <v>3</v>
      </c>
      <c r="R4" t="s">
        <v>3</v>
      </c>
      <c r="S4" t="s">
        <v>516</v>
      </c>
      <c r="T4" t="s">
        <v>521</v>
      </c>
      <c r="U4" t="s">
        <v>517</v>
      </c>
    </row>
    <row r="5" spans="1:21" x14ac:dyDescent="0.2">
      <c r="A5">
        <v>89</v>
      </c>
      <c r="B5">
        <v>1</v>
      </c>
      <c r="C5" t="s">
        <v>3</v>
      </c>
      <c r="D5" t="s">
        <v>24</v>
      </c>
      <c r="E5" t="s">
        <v>48</v>
      </c>
      <c r="F5" t="s">
        <v>48</v>
      </c>
      <c r="G5" t="s">
        <v>48</v>
      </c>
      <c r="H5" t="s">
        <v>3</v>
      </c>
      <c r="I5" t="s">
        <v>48</v>
      </c>
      <c r="J5" t="s">
        <v>48</v>
      </c>
      <c r="K5" t="s">
        <v>3</v>
      </c>
      <c r="L5" t="s">
        <v>3</v>
      </c>
      <c r="M5" t="s">
        <v>3</v>
      </c>
      <c r="N5" t="s">
        <v>24</v>
      </c>
      <c r="O5" t="s">
        <v>48</v>
      </c>
      <c r="P5" t="s">
        <v>3</v>
      </c>
      <c r="Q5" t="s">
        <v>3</v>
      </c>
      <c r="R5" t="s">
        <v>3</v>
      </c>
      <c r="S5" t="s">
        <v>516</v>
      </c>
      <c r="T5" t="s">
        <v>521</v>
      </c>
      <c r="U5" t="s">
        <v>517</v>
      </c>
    </row>
    <row r="6" spans="1:21" x14ac:dyDescent="0.2">
      <c r="A6">
        <v>94</v>
      </c>
      <c r="B6">
        <v>1</v>
      </c>
      <c r="C6" t="s">
        <v>3</v>
      </c>
      <c r="D6" t="s">
        <v>24</v>
      </c>
      <c r="E6" t="s">
        <v>48</v>
      </c>
      <c r="F6" t="s">
        <v>48</v>
      </c>
      <c r="G6" t="s">
        <v>48</v>
      </c>
      <c r="H6" t="s">
        <v>3</v>
      </c>
      <c r="I6" t="s">
        <v>48</v>
      </c>
      <c r="J6" t="s">
        <v>48</v>
      </c>
      <c r="K6" t="s">
        <v>3</v>
      </c>
      <c r="L6" t="s">
        <v>3</v>
      </c>
      <c r="M6" t="s">
        <v>3</v>
      </c>
      <c r="N6" t="s">
        <v>24</v>
      </c>
      <c r="O6" t="s">
        <v>48</v>
      </c>
      <c r="P6" t="s">
        <v>3</v>
      </c>
      <c r="Q6" t="s">
        <v>3</v>
      </c>
      <c r="R6" t="s">
        <v>3</v>
      </c>
      <c r="S6" t="s">
        <v>516</v>
      </c>
      <c r="T6" t="s">
        <v>521</v>
      </c>
      <c r="U6" t="s">
        <v>517</v>
      </c>
    </row>
    <row r="7" spans="1:21" x14ac:dyDescent="0.2">
      <c r="A7">
        <v>134</v>
      </c>
      <c r="B7">
        <v>1</v>
      </c>
      <c r="C7" t="s">
        <v>3</v>
      </c>
      <c r="D7" t="s">
        <v>24</v>
      </c>
      <c r="E7" t="s">
        <v>48</v>
      </c>
      <c r="F7" t="s">
        <v>48</v>
      </c>
      <c r="G7" t="s">
        <v>48</v>
      </c>
      <c r="H7" t="s">
        <v>3</v>
      </c>
      <c r="I7" t="s">
        <v>48</v>
      </c>
      <c r="J7" t="s">
        <v>48</v>
      </c>
      <c r="K7" t="s">
        <v>3</v>
      </c>
      <c r="L7" t="s">
        <v>3</v>
      </c>
      <c r="M7" t="s">
        <v>3</v>
      </c>
      <c r="N7" t="s">
        <v>24</v>
      </c>
      <c r="O7" t="s">
        <v>48</v>
      </c>
      <c r="P7" t="s">
        <v>3</v>
      </c>
      <c r="Q7" t="s">
        <v>3</v>
      </c>
      <c r="R7" t="s">
        <v>3</v>
      </c>
      <c r="S7" t="s">
        <v>516</v>
      </c>
      <c r="T7" t="s">
        <v>521</v>
      </c>
      <c r="U7" t="s">
        <v>517</v>
      </c>
    </row>
    <row r="8" spans="1:21" x14ac:dyDescent="0.2">
      <c r="A8">
        <v>138</v>
      </c>
      <c r="B8">
        <v>1</v>
      </c>
      <c r="C8" t="s">
        <v>3</v>
      </c>
      <c r="D8" t="s">
        <v>24</v>
      </c>
      <c r="E8" t="s">
        <v>48</v>
      </c>
      <c r="F8" t="s">
        <v>48</v>
      </c>
      <c r="G8" t="s">
        <v>48</v>
      </c>
      <c r="H8" t="s">
        <v>3</v>
      </c>
      <c r="I8" t="s">
        <v>48</v>
      </c>
      <c r="J8" t="s">
        <v>48</v>
      </c>
      <c r="K8" t="s">
        <v>3</v>
      </c>
      <c r="L8" t="s">
        <v>3</v>
      </c>
      <c r="M8" t="s">
        <v>3</v>
      </c>
      <c r="N8" t="s">
        <v>24</v>
      </c>
      <c r="O8" t="s">
        <v>48</v>
      </c>
      <c r="P8" t="s">
        <v>3</v>
      </c>
      <c r="Q8" t="s">
        <v>3</v>
      </c>
      <c r="R8" t="s">
        <v>3</v>
      </c>
      <c r="S8" t="s">
        <v>516</v>
      </c>
      <c r="T8" t="s">
        <v>521</v>
      </c>
      <c r="U8" t="s">
        <v>517</v>
      </c>
    </row>
    <row r="9" spans="1:21" x14ac:dyDescent="0.2">
      <c r="A9">
        <v>143</v>
      </c>
      <c r="B9">
        <v>1</v>
      </c>
      <c r="C9" t="s">
        <v>3</v>
      </c>
      <c r="D9" t="s">
        <v>24</v>
      </c>
      <c r="E9" t="s">
        <v>48</v>
      </c>
      <c r="F9" t="s">
        <v>48</v>
      </c>
      <c r="G9" t="s">
        <v>48</v>
      </c>
      <c r="H9" t="s">
        <v>3</v>
      </c>
      <c r="I9" t="s">
        <v>48</v>
      </c>
      <c r="J9" t="s">
        <v>48</v>
      </c>
      <c r="K9" t="s">
        <v>3</v>
      </c>
      <c r="L9" t="s">
        <v>3</v>
      </c>
      <c r="M9" t="s">
        <v>3</v>
      </c>
      <c r="N9" t="s">
        <v>24</v>
      </c>
      <c r="O9" t="s">
        <v>48</v>
      </c>
      <c r="P9" t="s">
        <v>3</v>
      </c>
      <c r="Q9" t="s">
        <v>3</v>
      </c>
      <c r="R9" t="s">
        <v>3</v>
      </c>
      <c r="S9" t="s">
        <v>516</v>
      </c>
      <c r="T9" t="s">
        <v>521</v>
      </c>
      <c r="U9" t="s">
        <v>517</v>
      </c>
    </row>
    <row r="10" spans="1:21" x14ac:dyDescent="0.2">
      <c r="A10">
        <v>186</v>
      </c>
      <c r="B10">
        <v>1</v>
      </c>
      <c r="C10" t="s">
        <v>3</v>
      </c>
      <c r="D10" t="s">
        <v>24</v>
      </c>
      <c r="E10" t="s">
        <v>48</v>
      </c>
      <c r="F10" t="s">
        <v>48</v>
      </c>
      <c r="G10" t="s">
        <v>48</v>
      </c>
      <c r="H10" t="s">
        <v>3</v>
      </c>
      <c r="I10" t="s">
        <v>48</v>
      </c>
      <c r="J10" t="s">
        <v>48</v>
      </c>
      <c r="K10" t="s">
        <v>3</v>
      </c>
      <c r="L10" t="s">
        <v>3</v>
      </c>
      <c r="M10" t="s">
        <v>3</v>
      </c>
      <c r="N10" t="s">
        <v>24</v>
      </c>
      <c r="O10" t="s">
        <v>48</v>
      </c>
      <c r="P10" t="s">
        <v>3</v>
      </c>
      <c r="Q10" t="s">
        <v>3</v>
      </c>
      <c r="R10" t="s">
        <v>3</v>
      </c>
      <c r="S10" t="s">
        <v>516</v>
      </c>
      <c r="T10" t="s">
        <v>521</v>
      </c>
      <c r="U10" t="s">
        <v>517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66202</v>
      </c>
      <c r="M1">
        <v>10</v>
      </c>
      <c r="N1">
        <v>12</v>
      </c>
      <c r="O1">
        <v>1</v>
      </c>
      <c r="P1">
        <v>0</v>
      </c>
      <c r="Q1">
        <v>0</v>
      </c>
    </row>
    <row r="12" spans="1:103" x14ac:dyDescent="0.2">
      <c r="F12" t="str">
        <f>Source!F12</f>
        <v>ДО</v>
      </c>
      <c r="G12" t="str">
        <f>Source!G12</f>
        <v>Текущий ремонт кабинета № 809а замена дверного блока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Смета по ТСН-2001(с доп.67</vt:lpstr>
      <vt:lpstr>Дефектная ведомость</vt:lpstr>
      <vt:lpstr>Source</vt:lpstr>
      <vt:lpstr>SourceObSm</vt:lpstr>
      <vt:lpstr>SmtRes</vt:lpstr>
      <vt:lpstr>EtalonRes</vt:lpstr>
      <vt:lpstr>SrcPoprs</vt:lpstr>
      <vt:lpstr>SrcKA</vt:lpstr>
      <vt:lpstr>'Дефектная ведомость'!Заголовки_для_печати</vt:lpstr>
      <vt:lpstr>'Смета по ТСН-2001(с доп.67'!Заголовки_для_печати</vt:lpstr>
      <vt:lpstr>'Дефектная ведомость'!Область_печати</vt:lpstr>
      <vt:lpstr>'Смета по ТСН-2001(с доп.67'!Область_печати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Чернова Анна Евгеньевна</cp:lastModifiedBy>
  <dcterms:created xsi:type="dcterms:W3CDTF">2026-06-26T11:01:50Z</dcterms:created>
  <dcterms:modified xsi:type="dcterms:W3CDTF">2026-06-26T11:03:36Z</dcterms:modified>
</cp:coreProperties>
</file>