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419 Поставка агрегата электронасосного\"/>
    </mc:Choice>
  </mc:AlternateContent>
  <xr:revisionPtr revIDLastSave="0" documentId="8_{F2C2BADE-82AF-4D30-B429-A60AD73CD958}" xr6:coauthVersionLast="47" xr6:coauthVersionMax="47" xr10:uidLastSave="{00000000-0000-0000-0000-000000000000}"/>
  <bookViews>
    <workbookView xWindow="-120" yWindow="-120" windowWidth="29040" windowHeight="15840" xr2:uid="{7D5589E5-675B-434D-B750-1E36EBAD0B20}"/>
  </bookViews>
  <sheets>
    <sheet name="НМЦ" sheetId="1" r:id="rId1"/>
  </sheets>
  <externalReferences>
    <externalReference r:id="rId2"/>
  </externalReferences>
  <definedNames>
    <definedName name="ДаНет">#N/A</definedName>
    <definedName name="_xlnm.Print_Area" localSheetId="0">НМЦ!$A$3:$M$30</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 l="1"/>
  <c r="B28" i="1"/>
  <c r="B27" i="1"/>
  <c r="K24" i="1"/>
  <c r="B24" i="1"/>
  <c r="E20" i="1"/>
  <c r="S19" i="1"/>
  <c r="J19" i="1"/>
  <c r="K19" i="1" s="1"/>
  <c r="L19" i="1" s="1"/>
  <c r="M19" i="1" s="1"/>
  <c r="M20" i="1" s="1"/>
  <c r="I19" i="1"/>
  <c r="D19" i="1"/>
  <c r="G20" i="1" s="1"/>
  <c r="S18" i="1"/>
  <c r="E18" i="1"/>
  <c r="F18" i="1" s="1"/>
  <c r="G18" i="1" s="1"/>
  <c r="H18" i="1" s="1"/>
  <c r="I18" i="1" s="1"/>
  <c r="J18" i="1" s="1"/>
  <c r="K18" i="1" s="1"/>
  <c r="L18" i="1" s="1"/>
  <c r="M18" i="1" s="1"/>
  <c r="S17" i="1"/>
  <c r="F12" i="1"/>
  <c r="F11" i="1"/>
  <c r="F10" i="1"/>
  <c r="F9" i="1"/>
  <c r="F8" i="1"/>
  <c r="F7" i="1"/>
  <c r="F6" i="1"/>
  <c r="F20" i="1" l="1"/>
  <c r="I20" i="1" s="1"/>
  <c r="J20" i="1" l="1"/>
</calcChain>
</file>

<file path=xl/sharedStrings.xml><?xml version="1.0" encoding="utf-8"?>
<sst xmlns="http://schemas.openxmlformats.org/spreadsheetml/2006/main" count="58" uniqueCount="53">
  <si>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</si>
  <si>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</si>
  <si>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</si>
  <si>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</si>
  <si>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</si>
  <si>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</si>
  <si>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</si>
  <si>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</si>
  <si>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</si>
  <si>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</si>
  <si>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</si>
  <si>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</si>
  <si>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</si>
  <si>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</si>
  <si>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</si>
  <si>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</si>
  <si>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</si>
  <si>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</si>
  <si>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</si>
  <si>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</si>
  <si>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</si>
  <si>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</si>
  <si>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</si>
  <si>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</si>
  <si>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</si>
  <si>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</si>
  <si>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</si>
  <si>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</si>
  <si>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</si>
  <si>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</si>
  <si>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</si>
  <si>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</si>
  <si>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</si>
  <si>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</si>
  <si>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</si>
  <si>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</si>
  <si>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</si>
  <si>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t xml:space="preserve">№4* </t>
  </si>
  <si>
    <t>ООО "Промышленное снабжение"</t>
  </si>
  <si>
    <t>пример</t>
  </si>
  <si>
    <t>ООО "Энергостандарт"</t>
  </si>
  <si>
    <t>Агрегат электронасосный</t>
  </si>
  <si>
    <t>шт.</t>
  </si>
  <si>
    <t>ООО "Стокинг"</t>
  </si>
  <si>
    <t>Итого:</t>
  </si>
  <si>
    <t>X</t>
  </si>
  <si>
    <t>Х</t>
  </si>
  <si>
    <t>ОШИБКА!!</t>
  </si>
  <si>
    <t>№4</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</si>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</sst>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5"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i/>
      <sz val="12"/>
      <color theme="8" tint="0.79998168889431442"/>
      <name val="Times New Roman"/>
      <family val="1"/>
      <charset val="204"/>
    </font>
    <font>
      <sz val="12"/>
      <color rgb="FF0070C0"/>
      <name val="Times New Roman"/>
      <family val="1"/>
      <charset val="204"/>
    </font>
    <font>
      <sz val="12"/>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1" fillId="0" borderId="0" applyAlignment="0"/>
  </cellStyleXfs>
  <cellXfs count="82">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6" fillId="0" borderId="1" xfId="0" applyFont="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9"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3" fontId="3"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0" fillId="0" borderId="1" xfId="0" applyFont="1" applyBorder="1" applyAlignment="1">
      <alignment horizontal="left" vertical="center" wrapText="1" indent="3"/>
    </xf>
    <xf numFmtId="0" fontId="12" fillId="0" borderId="1" xfId="0" applyFont="1" applyBorder="1" applyAlignment="1">
      <alignment vertical="center" wrapText="1"/>
    </xf>
    <xf numFmtId="0" fontId="10" fillId="0" borderId="1" xfId="0" applyFont="1" applyBorder="1" applyAlignment="1">
      <alignment horizontal="center" vertical="center" wrapText="1"/>
    </xf>
    <xf numFmtId="4" fontId="12" fillId="0" borderId="1" xfId="0" applyNumberFormat="1" applyFont="1" applyBorder="1" applyAlignment="1">
      <alignment horizontal="center" vertical="center" wrapText="1"/>
    </xf>
    <xf numFmtId="165" fontId="12" fillId="0" borderId="1" xfId="1" applyFont="1" applyFill="1" applyBorder="1" applyAlignment="1">
      <alignment vertical="center" wrapText="1"/>
    </xf>
    <xf numFmtId="2" fontId="13" fillId="0" borderId="0" xfId="3" applyNumberFormat="1" applyFont="1" applyAlignment="1">
      <alignment horizontal="left" vertical="center"/>
    </xf>
    <xf numFmtId="0" fontId="12" fillId="0" borderId="0" xfId="0" applyFont="1" applyAlignment="1">
      <alignment horizontal="left" vertical="top" wrapText="1"/>
    </xf>
    <xf numFmtId="0" fontId="5" fillId="0" borderId="0" xfId="0" applyFont="1" applyAlignment="1">
      <alignment horizontal="left" vertical="top" wrapText="1"/>
    </xf>
    <xf numFmtId="0" fontId="10"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0" fillId="0" borderId="1" xfId="2"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4"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378E142D-D568-4A3C-BE6E-F1E48DD68F25}"/>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6;&#1055;&#1047;%20&#8470;__&#1040;&#1075;&#1088;&#1077;&#1075;&#1072;&#1090;%20&#1101;&#1083;&#1077;&#1082;&#1090;&#1088;&#1086;&#1085;&#1072;&#1089;&#1086;&#1089;&#1085;&#1099;&#1081;%20&#1062;&#1077;&#1093;%205%20&#1080;&#1079;&#1084;%20&#1053;&#1052;&#106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t="str">
            <v>30.07.2026 г.</v>
          </cell>
        </row>
        <row r="4">
          <cell r="C4" t="str">
            <v>Начальник 5 цеха</v>
          </cell>
          <cell r="D4" t="str">
            <v>А.И. Хворов</v>
          </cell>
        </row>
        <row r="66">
          <cell r="C66" t="str">
            <v>Поставка агрегата электронасосного</v>
          </cell>
        </row>
        <row r="67">
          <cell r="C67" t="str">
            <v xml:space="preserve">метод сопоставимых рыночных цен (анализа рынка) </v>
          </cell>
        </row>
        <row r="68">
          <cell r="C68" t="str">
            <v xml:space="preserve">в течение 45 календарных дней с даты заключения договора. </v>
          </cell>
        </row>
        <row r="69">
          <cell r="C69" t="str">
            <v>исх. 43-6165 от 24.07.2026 г.</v>
          </cell>
        </row>
        <row r="70">
          <cell r="C70" t="str">
            <v>вх. 4369 от 30.07.2026 г., вх. 4370 от 30.07.2026 г.,вх. 4368 от 30.07.2026 г.</v>
          </cell>
        </row>
        <row r="71">
          <cell r="C71" t="str">
            <v>175 596 (Сто семьдесят пять тысяч пятьсот девяносто шесть) рублей 00 копеек, с учетом НДС 22%.</v>
          </cell>
        </row>
        <row r="77">
          <cell r="C77" t="str">
            <v>Ведущий инженер Малкова Д.С.</v>
          </cell>
        </row>
        <row r="78">
          <cell r="C78" t="str">
            <v>69-75</v>
          </cell>
        </row>
      </sheetData>
      <sheetData sheetId="8"/>
      <sheetData sheetId="9"/>
      <sheetData sheetId="10"/>
      <sheetData sheetId="11"/>
      <sheetData sheetId="12">
        <row r="10">
          <cell r="E10">
            <v>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1CAF8-E350-4DD3-BB62-6B0A66BE5109}">
  <sheetPr>
    <tabColor rgb="FF00B050"/>
    <pageSetUpPr fitToPage="1"/>
  </sheetPr>
  <dimension ref="A1:W37"/>
  <sheetViews>
    <sheetView tabSelected="1" view="pageBreakPreview" topLeftCell="A12" zoomScale="80" zoomScaleNormal="100" zoomScaleSheetLayoutView="80" workbookViewId="0">
      <selection activeCell="M20" sqref="M20"/>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2.85546875" style="2" customWidth="1"/>
    <col min="6" max="6" width="12.140625" style="2" customWidth="1"/>
    <col min="7" max="7" width="15.140625" style="2" customWidth="1"/>
    <col min="8" max="8" width="0.285156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38.25" customHeight="1" x14ac:dyDescent="0.25">
      <c r="A6" s="19" t="s">
        <v>7</v>
      </c>
      <c r="B6" s="19"/>
      <c r="C6" s="19"/>
      <c r="D6" s="19"/>
      <c r="E6" s="19"/>
      <c r="F6" s="19" t="str">
        <f>[1]ЗАКУПКА!C66</f>
        <v>Поставка агрегата электронасосного</v>
      </c>
      <c r="G6" s="19"/>
      <c r="H6" s="19"/>
      <c r="I6" s="19"/>
      <c r="J6" s="19"/>
      <c r="K6" s="19"/>
      <c r="L6" s="19"/>
      <c r="M6" s="19"/>
      <c r="N6" s="16"/>
      <c r="O6" s="17"/>
      <c r="P6" s="17"/>
      <c r="Q6" s="17"/>
      <c r="R6" s="17"/>
      <c r="S6" s="12">
        <v>2025</v>
      </c>
      <c r="T6" s="13">
        <v>109</v>
      </c>
      <c r="U6" s="18">
        <v>1.0900000000000001</v>
      </c>
      <c r="V6" s="14"/>
      <c r="W6" s="14"/>
    </row>
    <row r="7" spans="1:23"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9"/>
      <c r="N7" s="16"/>
      <c r="O7" s="17"/>
      <c r="P7" s="17"/>
      <c r="Q7" s="17"/>
      <c r="R7" s="17"/>
      <c r="S7" s="12">
        <v>2026</v>
      </c>
      <c r="T7" s="13">
        <v>105.1</v>
      </c>
      <c r="U7" s="18">
        <v>1.0509999999999999</v>
      </c>
      <c r="V7" s="14"/>
      <c r="W7" s="14"/>
    </row>
    <row r="8" spans="1:23" ht="36.6" customHeight="1" x14ac:dyDescent="0.25">
      <c r="A8" s="19" t="s">
        <v>9</v>
      </c>
      <c r="B8" s="19"/>
      <c r="C8" s="19"/>
      <c r="D8" s="19"/>
      <c r="E8" s="19"/>
      <c r="F8" s="19" t="str">
        <f>[1]ЗАКУПКА!C68</f>
        <v xml:space="preserve">в течение 45 календарных дней с даты заключения договора. </v>
      </c>
      <c r="G8" s="19"/>
      <c r="H8" s="19"/>
      <c r="I8" s="19"/>
      <c r="J8" s="19"/>
      <c r="K8" s="19"/>
      <c r="L8" s="19"/>
      <c r="M8" s="19"/>
      <c r="N8" s="20"/>
      <c r="O8" s="17"/>
      <c r="P8" s="17"/>
      <c r="Q8" s="17"/>
      <c r="R8" s="17"/>
      <c r="S8" s="21">
        <v>2027</v>
      </c>
      <c r="T8" s="22">
        <v>104</v>
      </c>
      <c r="U8" s="18">
        <v>1.04</v>
      </c>
      <c r="V8" s="14"/>
      <c r="W8" s="14"/>
    </row>
    <row r="9" spans="1:23" ht="40.5" customHeight="1" x14ac:dyDescent="0.25">
      <c r="A9" s="19" t="s">
        <v>10</v>
      </c>
      <c r="B9" s="19"/>
      <c r="C9" s="19"/>
      <c r="D9" s="19"/>
      <c r="E9" s="19"/>
      <c r="F9" s="23" t="str">
        <f>[1]ЗАКУПКА!C69</f>
        <v>исх. 43-6165 от 24.07.2026 г.</v>
      </c>
      <c r="G9" s="23"/>
      <c r="H9" s="23"/>
      <c r="I9" s="23"/>
      <c r="J9" s="23"/>
      <c r="K9" s="23"/>
      <c r="L9" s="23"/>
      <c r="M9" s="23"/>
      <c r="N9" s="24" t="s">
        <v>11</v>
      </c>
      <c r="O9" s="25"/>
      <c r="P9" s="25"/>
      <c r="Q9" s="25"/>
      <c r="R9" s="17"/>
      <c r="S9" s="21">
        <v>2028</v>
      </c>
      <c r="T9" s="22">
        <v>104</v>
      </c>
      <c r="U9" s="18">
        <v>1.04</v>
      </c>
      <c r="V9" s="14"/>
      <c r="W9" s="14"/>
    </row>
    <row r="10" spans="1:23" ht="40.5" customHeight="1" x14ac:dyDescent="0.25">
      <c r="A10" s="19" t="s">
        <v>12</v>
      </c>
      <c r="B10" s="19"/>
      <c r="C10" s="19"/>
      <c r="D10" s="19"/>
      <c r="E10" s="19"/>
      <c r="F10" s="23" t="str">
        <f>[1]ЗАКУПКА!C70</f>
        <v>вх. 4369 от 30.07.2026 г., вх. 4370 от 30.07.2026 г.,вх. 4368 от 30.07.2026 г.</v>
      </c>
      <c r="G10" s="23"/>
      <c r="H10" s="23"/>
      <c r="I10" s="23"/>
      <c r="J10" s="23"/>
      <c r="K10" s="23"/>
      <c r="L10" s="23"/>
      <c r="M10" s="23"/>
      <c r="N10" s="24" t="s">
        <v>13</v>
      </c>
      <c r="O10" s="25"/>
      <c r="P10" s="25"/>
      <c r="Q10" s="25"/>
      <c r="R10" s="17"/>
    </row>
    <row r="11" spans="1:23" ht="93.75" customHeight="1" x14ac:dyDescent="0.25">
      <c r="A11" s="19" t="s">
        <v>14</v>
      </c>
      <c r="B11" s="19"/>
      <c r="C11" s="19"/>
      <c r="D11" s="19"/>
      <c r="E11" s="19"/>
      <c r="F11" s="23" t="str">
        <f>CONCATENATE([1]ЗАКУПКА!C71)</f>
        <v>175 596 (Сто семьдесят пять тысяч пятьсот девяносто шесть) рублей 00 копеек, с учетом НДС 22%.</v>
      </c>
      <c r="G11" s="23"/>
      <c r="H11" s="23"/>
      <c r="I11" s="23"/>
      <c r="J11" s="23"/>
      <c r="K11" s="23"/>
      <c r="L11" s="23"/>
      <c r="M11" s="23"/>
      <c r="N11" s="26" t="s">
        <v>15</v>
      </c>
      <c r="O11" s="17"/>
      <c r="P11" s="17"/>
      <c r="R11" s="17"/>
      <c r="S11" s="17"/>
      <c r="T11" s="17"/>
    </row>
    <row r="12" spans="1:23" ht="21" customHeight="1" x14ac:dyDescent="0.25">
      <c r="A12" s="19" t="s">
        <v>16</v>
      </c>
      <c r="B12" s="19"/>
      <c r="C12" s="19"/>
      <c r="D12" s="19"/>
      <c r="E12" s="19"/>
      <c r="F12" s="27" t="str">
        <f>[1]ЗАКУПКА!B1</f>
        <v>30.07.2026 г.</v>
      </c>
      <c r="G12" s="27"/>
      <c r="H12" s="27"/>
      <c r="I12" s="27"/>
      <c r="J12" s="27"/>
      <c r="K12" s="27"/>
      <c r="L12" s="27"/>
      <c r="M12" s="27"/>
      <c r="N12" s="28" t="s">
        <v>17</v>
      </c>
      <c r="O12" s="17"/>
      <c r="P12" s="17"/>
      <c r="Q12" s="17"/>
      <c r="R12" s="17"/>
      <c r="S12" s="17"/>
      <c r="T12" s="17"/>
    </row>
    <row r="13" spans="1:23" ht="15" customHeight="1" x14ac:dyDescent="0.25">
      <c r="A13" s="29"/>
      <c r="B13" s="29"/>
      <c r="C13" s="29"/>
      <c r="D13" s="29"/>
      <c r="E13" s="29"/>
      <c r="F13" s="29"/>
      <c r="G13" s="29"/>
      <c r="H13" s="29"/>
      <c r="I13" s="29"/>
      <c r="J13" s="29"/>
      <c r="K13" s="29"/>
      <c r="L13" s="29"/>
      <c r="M13" s="29"/>
      <c r="N13" s="17"/>
      <c r="O13" s="17"/>
      <c r="P13" s="17"/>
      <c r="Q13" s="17"/>
      <c r="R13" s="17"/>
      <c r="S13" s="17"/>
      <c r="T13" s="17"/>
    </row>
    <row r="14" spans="1:23" ht="15" customHeight="1" x14ac:dyDescent="0.25">
      <c r="A14" s="30" t="s">
        <v>18</v>
      </c>
      <c r="B14" s="30"/>
      <c r="C14" s="30"/>
      <c r="D14" s="30"/>
      <c r="E14" s="30"/>
      <c r="F14" s="30"/>
      <c r="G14" s="30"/>
      <c r="H14" s="30"/>
      <c r="I14" s="30"/>
      <c r="J14" s="30"/>
      <c r="K14" s="30"/>
      <c r="L14" s="30"/>
      <c r="M14" s="30"/>
      <c r="N14" s="17"/>
      <c r="O14" s="17"/>
      <c r="P14" s="17"/>
      <c r="Q14" s="17"/>
      <c r="R14" s="17"/>
      <c r="S14" s="17"/>
      <c r="T14" s="17"/>
    </row>
    <row r="15" spans="1:23" x14ac:dyDescent="0.25">
      <c r="Q15" s="31" t="s">
        <v>19</v>
      </c>
    </row>
    <row r="16" spans="1:23" s="37" customFormat="1" ht="30.75" customHeight="1" x14ac:dyDescent="0.25">
      <c r="A16" s="32" t="s">
        <v>20</v>
      </c>
      <c r="B16" s="32" t="s">
        <v>21</v>
      </c>
      <c r="C16" s="32" t="s">
        <v>22</v>
      </c>
      <c r="D16" s="32" t="s">
        <v>23</v>
      </c>
      <c r="E16" s="33" t="s">
        <v>24</v>
      </c>
      <c r="F16" s="34"/>
      <c r="G16" s="34"/>
      <c r="H16" s="35"/>
      <c r="I16" s="32" t="s">
        <v>25</v>
      </c>
      <c r="J16" s="32" t="s">
        <v>26</v>
      </c>
      <c r="K16" s="32" t="s">
        <v>27</v>
      </c>
      <c r="L16" s="36" t="s">
        <v>28</v>
      </c>
      <c r="M16" s="32" t="s">
        <v>29</v>
      </c>
      <c r="O16" s="38"/>
      <c r="P16" s="39" t="s">
        <v>30</v>
      </c>
      <c r="Q16" s="39" t="s">
        <v>31</v>
      </c>
      <c r="R16" s="6" t="s">
        <v>32</v>
      </c>
      <c r="S16" s="6" t="s">
        <v>33</v>
      </c>
    </row>
    <row r="17" spans="1:20" s="37" customFormat="1" ht="128.25" customHeight="1" x14ac:dyDescent="0.25">
      <c r="A17" s="40"/>
      <c r="B17" s="40"/>
      <c r="C17" s="40"/>
      <c r="D17" s="40"/>
      <c r="E17" s="6" t="s">
        <v>34</v>
      </c>
      <c r="F17" s="6" t="s">
        <v>35</v>
      </c>
      <c r="G17" s="6" t="s">
        <v>36</v>
      </c>
      <c r="H17" s="41" t="s">
        <v>37</v>
      </c>
      <c r="I17" s="40"/>
      <c r="J17" s="40"/>
      <c r="K17" s="40"/>
      <c r="L17" s="42"/>
      <c r="M17" s="40"/>
      <c r="O17" s="17"/>
      <c r="P17" s="43" t="s">
        <v>34</v>
      </c>
      <c r="Q17" s="44">
        <v>2223627663</v>
      </c>
      <c r="R17" s="44" t="s">
        <v>38</v>
      </c>
      <c r="S17" s="45" t="e">
        <f>VLOOKUP(Q17,[1]Контрагенты!$A$3:$H$3248,7,FALSE)</f>
        <v>#N/A</v>
      </c>
      <c r="T17" s="46" t="s">
        <v>39</v>
      </c>
    </row>
    <row r="18" spans="1:20" ht="14.25" customHeight="1" x14ac:dyDescent="0.25">
      <c r="A18" s="47">
        <v>1</v>
      </c>
      <c r="B18" s="47">
        <v>2</v>
      </c>
      <c r="C18" s="47">
        <v>3</v>
      </c>
      <c r="D18" s="47">
        <v>4</v>
      </c>
      <c r="E18" s="47">
        <f>D18+1</f>
        <v>5</v>
      </c>
      <c r="F18" s="47">
        <f t="shared" ref="F18:M18" si="0">E18+1</f>
        <v>6</v>
      </c>
      <c r="G18" s="47">
        <f t="shared" si="0"/>
        <v>7</v>
      </c>
      <c r="H18" s="47">
        <f t="shared" si="0"/>
        <v>8</v>
      </c>
      <c r="I18" s="47">
        <f t="shared" si="0"/>
        <v>9</v>
      </c>
      <c r="J18" s="47">
        <f t="shared" si="0"/>
        <v>10</v>
      </c>
      <c r="K18" s="47">
        <f t="shared" si="0"/>
        <v>11</v>
      </c>
      <c r="L18" s="47">
        <f t="shared" si="0"/>
        <v>12</v>
      </c>
      <c r="M18" s="47">
        <f t="shared" si="0"/>
        <v>13</v>
      </c>
      <c r="O18" s="17"/>
      <c r="P18" s="6" t="s">
        <v>35</v>
      </c>
      <c r="Q18" s="48">
        <v>2224201973</v>
      </c>
      <c r="R18" s="8" t="s">
        <v>40</v>
      </c>
      <c r="S18" s="49" t="e">
        <f>VLOOKUP(Q18,[1]Контрагенты!$A$3:$H$3248,7,FALSE)</f>
        <v>#N/A</v>
      </c>
    </row>
    <row r="19" spans="1:20" ht="31.5" x14ac:dyDescent="0.25">
      <c r="A19" s="47">
        <v>1</v>
      </c>
      <c r="B19" s="47" t="s">
        <v>41</v>
      </c>
      <c r="C19" s="47" t="s">
        <v>42</v>
      </c>
      <c r="D19" s="50">
        <f>'[1]Спец-я'!E10</f>
        <v>2</v>
      </c>
      <c r="E19" s="51">
        <v>87798</v>
      </c>
      <c r="F19" s="51">
        <v>158700</v>
      </c>
      <c r="G19" s="51">
        <v>103478.38</v>
      </c>
      <c r="H19" s="51"/>
      <c r="I19" s="51">
        <f>IFERROR(ROUND(AVERAGEIF(E19:G19,"&gt;0"),2),"")</f>
        <v>116658.79</v>
      </c>
      <c r="J19" s="52">
        <f>IFERROR(_xlfn.STDEV.P($E19:$G19),"")</f>
        <v>30409.054273665835</v>
      </c>
      <c r="K19" s="52">
        <f>IFERROR(J19/I19,"")</f>
        <v>0.26066663535311685</v>
      </c>
      <c r="L19" s="52">
        <f>IF(K19&lt;0.06,I19,IF(K19&gt;0.32,$N$20,MIN(E19:G19)))</f>
        <v>87798</v>
      </c>
      <c r="M19" s="52">
        <f>IFERROR(L19*D19,"")</f>
        <v>175596</v>
      </c>
      <c r="O19" s="17"/>
      <c r="P19" s="6" t="s">
        <v>36</v>
      </c>
      <c r="Q19" s="48">
        <v>5904993922</v>
      </c>
      <c r="R19" s="8" t="s">
        <v>43</v>
      </c>
      <c r="S19" s="49" t="e">
        <f>VLOOKUP(Q19,[1]Контрагенты!$A$3:$H$3248,7,FALSE)</f>
        <v>#N/A</v>
      </c>
    </row>
    <row r="20" spans="1:20" s="61" customFormat="1" ht="48" customHeight="1" x14ac:dyDescent="0.25">
      <c r="A20" s="53"/>
      <c r="B20" s="54" t="s">
        <v>44</v>
      </c>
      <c r="C20" s="55" t="s">
        <v>45</v>
      </c>
      <c r="D20" s="55" t="s">
        <v>45</v>
      </c>
      <c r="E20" s="56">
        <f>IFERROR(SUMPRODUCT($D$19:$D$19,E19:E19),"Х")</f>
        <v>175596</v>
      </c>
      <c r="F20" s="56">
        <f>IFERROR(SUMPRODUCT($D$19:$D$19,F19:F19),"Х")</f>
        <v>317400</v>
      </c>
      <c r="G20" s="56">
        <f>IFERROR(SUMPRODUCT($D$19:$D$19,G19:G19),"Х")</f>
        <v>206956.76</v>
      </c>
      <c r="H20" s="56"/>
      <c r="I20" s="51">
        <f t="shared" ref="I20" si="1">IFERROR(ROUND(AVERAGEIF(E20:G20,"&gt;0"),2),"")</f>
        <v>233317.59</v>
      </c>
      <c r="J20" s="52">
        <f>_xlfn.STDEV.P($E20:$G20)</f>
        <v>60818.108547331671</v>
      </c>
      <c r="K20" s="55" t="s">
        <v>46</v>
      </c>
      <c r="L20" s="55" t="s">
        <v>46</v>
      </c>
      <c r="M20" s="57">
        <f>SUM(M19:M19)</f>
        <v>175596</v>
      </c>
      <c r="N20" s="58" t="s">
        <v>47</v>
      </c>
      <c r="O20" s="17"/>
      <c r="P20" s="59" t="s">
        <v>48</v>
      </c>
      <c r="Q20" s="60"/>
      <c r="R20" s="60"/>
      <c r="S20" s="59"/>
    </row>
    <row r="21" spans="1:20" ht="31.5" x14ac:dyDescent="0.25">
      <c r="A21" s="62"/>
      <c r="B21" s="63" t="s">
        <v>49</v>
      </c>
      <c r="C21" s="64"/>
      <c r="D21" s="64"/>
      <c r="E21" s="65">
        <v>46233</v>
      </c>
      <c r="F21" s="65">
        <v>46233</v>
      </c>
      <c r="G21" s="65">
        <v>46233</v>
      </c>
      <c r="H21" s="66">
        <v>46162</v>
      </c>
      <c r="I21" s="64"/>
      <c r="J21" s="67"/>
      <c r="K21" s="68"/>
      <c r="L21" s="68"/>
      <c r="M21" s="67"/>
      <c r="O21" s="17"/>
      <c r="P21" s="17"/>
      <c r="R21" s="17"/>
      <c r="S21" s="17"/>
    </row>
    <row r="22" spans="1:20" x14ac:dyDescent="0.25">
      <c r="A22" s="69"/>
      <c r="B22" s="69"/>
      <c r="C22" s="69"/>
      <c r="D22" s="69"/>
      <c r="E22" s="69"/>
      <c r="F22" s="69"/>
      <c r="G22" s="69"/>
      <c r="H22" s="69"/>
      <c r="I22" s="69"/>
      <c r="J22" s="69"/>
      <c r="K22" s="69"/>
      <c r="L22" s="69"/>
      <c r="M22" s="69"/>
      <c r="O22" s="17"/>
      <c r="P22" s="17"/>
      <c r="Q22" s="17"/>
      <c r="R22" s="17"/>
      <c r="S22" s="17"/>
    </row>
    <row r="23" spans="1:20" x14ac:dyDescent="0.25">
      <c r="A23" s="70"/>
      <c r="B23" s="70"/>
      <c r="C23" s="70"/>
      <c r="D23" s="70"/>
      <c r="E23" s="70"/>
      <c r="F23" s="70"/>
      <c r="G23" s="70"/>
      <c r="H23" s="70"/>
      <c r="I23" s="70"/>
      <c r="J23" s="70"/>
      <c r="K23" s="70"/>
      <c r="L23" s="70"/>
      <c r="M23" s="70"/>
      <c r="O23" s="17"/>
    </row>
    <row r="24" spans="1:20" ht="18.75" x14ac:dyDescent="0.3">
      <c r="B24" s="71" t="str">
        <f>[1]ЗАКУПКА!C4</f>
        <v>Начальник 5 цеха</v>
      </c>
      <c r="C24" s="3"/>
      <c r="D24" s="3"/>
      <c r="E24" s="3"/>
      <c r="F24" s="3"/>
      <c r="G24" s="3"/>
      <c r="H24" s="72"/>
      <c r="I24" s="72"/>
      <c r="J24" s="73"/>
      <c r="K24" s="74" t="str">
        <f>[1]ЗАКУПКА!D4</f>
        <v>А.И. Хворов</v>
      </c>
      <c r="L24" s="37"/>
    </row>
    <row r="25" spans="1:20" ht="18.75" x14ac:dyDescent="0.3">
      <c r="B25" s="3"/>
      <c r="C25" s="3"/>
      <c r="D25" s="3"/>
      <c r="E25" s="3"/>
      <c r="F25" s="3"/>
      <c r="G25" s="3"/>
      <c r="H25" s="3"/>
      <c r="I25" s="3"/>
      <c r="J25" s="3"/>
      <c r="K25" s="3"/>
    </row>
    <row r="26" spans="1:20" ht="18.75" x14ac:dyDescent="0.3">
      <c r="B26" s="3"/>
      <c r="C26" s="3"/>
      <c r="D26" s="3"/>
      <c r="E26" s="3"/>
      <c r="F26" s="3"/>
      <c r="G26" s="3"/>
      <c r="H26" s="3"/>
      <c r="I26" s="3"/>
      <c r="J26" s="3"/>
      <c r="K26" s="3"/>
    </row>
    <row r="27" spans="1:20" ht="18.75" x14ac:dyDescent="0.3">
      <c r="B27" s="75" t="str">
        <f>[1]ЗАКУПКА!C77</f>
        <v>Ведущий инженер Малкова Д.С.</v>
      </c>
      <c r="C27" s="3"/>
      <c r="D27" s="3"/>
      <c r="E27" s="3"/>
      <c r="F27" s="3"/>
      <c r="G27" s="3"/>
      <c r="H27" s="3"/>
      <c r="I27" s="3"/>
      <c r="J27" s="3"/>
      <c r="K27" s="3"/>
    </row>
    <row r="28" spans="1:20" ht="18.75" x14ac:dyDescent="0.3">
      <c r="B28" s="76" t="str">
        <f>[1]ЗАКУПКА!C78</f>
        <v>69-75</v>
      </c>
      <c r="C28" s="3"/>
      <c r="D28" s="3"/>
      <c r="E28" s="3"/>
      <c r="F28" s="3"/>
      <c r="G28" s="3"/>
      <c r="H28" s="3"/>
      <c r="I28" s="3"/>
      <c r="J28" s="3"/>
      <c r="K28" s="3"/>
    </row>
    <row r="29" spans="1:20" ht="18.75" x14ac:dyDescent="0.3">
      <c r="B29" s="77" t="s">
        <v>50</v>
      </c>
      <c r="C29" s="78" t="str">
        <f>[1]ЗАКУПКА!B1</f>
        <v>30.07.2026 г.</v>
      </c>
      <c r="D29" s="78"/>
      <c r="E29" s="3"/>
      <c r="F29" s="3"/>
      <c r="G29" s="3"/>
      <c r="H29" s="3"/>
      <c r="I29" s="3"/>
      <c r="J29" s="3"/>
      <c r="K29" s="3"/>
    </row>
    <row r="30" spans="1:20" ht="18.75" x14ac:dyDescent="0.3">
      <c r="B30" s="3"/>
      <c r="C30" s="3"/>
      <c r="D30" s="3"/>
      <c r="E30" s="3"/>
      <c r="F30" s="3"/>
      <c r="G30" s="3"/>
      <c r="H30" s="3"/>
      <c r="I30" s="3"/>
      <c r="J30" s="3"/>
      <c r="K30" s="3"/>
    </row>
    <row r="31" spans="1:20" ht="15.75" customHeight="1" x14ac:dyDescent="0.25"/>
    <row r="33" spans="1:13" outlineLevel="1" x14ac:dyDescent="0.25">
      <c r="A33" s="79" t="s">
        <v>51</v>
      </c>
    </row>
    <row r="34" spans="1:13" ht="170.25" customHeight="1" outlineLevel="1" x14ac:dyDescent="0.25">
      <c r="A34" s="80" t="s">
        <v>52</v>
      </c>
      <c r="B34" s="80"/>
      <c r="C34" s="80"/>
      <c r="D34" s="80"/>
      <c r="E34" s="80"/>
      <c r="F34" s="80"/>
      <c r="G34" s="80"/>
      <c r="H34" s="80"/>
      <c r="I34" s="80"/>
      <c r="J34" s="80"/>
      <c r="K34" s="80"/>
      <c r="L34" s="80"/>
      <c r="M34" s="80"/>
    </row>
    <row r="37" spans="1:13" x14ac:dyDescent="0.25">
      <c r="M37" s="81"/>
    </row>
  </sheetData>
  <mergeCells count="32">
    <mergeCell ref="A34:M34"/>
    <mergeCell ref="I16:I17"/>
    <mergeCell ref="J16:J17"/>
    <mergeCell ref="K16:K17"/>
    <mergeCell ref="L16:L17"/>
    <mergeCell ref="M16:M17"/>
    <mergeCell ref="C29:D29"/>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 right="0.24" top="0.6" bottom="0.75" header="0.51180555555555496" footer="0.51180555555555496"/>
  <pageSetup paperSize="9" scale="58"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2026-08-13T03:17:08Z</dcterms:created>
  <dcterms:modified xsi:type="dcterms:W3CDTF">2026-08-13T03:17:21Z</dcterms:modified>
</cp:coreProperties>
</file>