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665" yWindow="-315" windowWidth="26880" windowHeight="12315"/>
  </bookViews>
  <sheets>
    <sheet name="Лист2" sheetId="27" r:id="rId1"/>
  </sheets>
  <calcPr calcId="145621" refMode="R1C1"/>
</workbook>
</file>

<file path=xl/calcChain.xml><?xml version="1.0" encoding="utf-8"?>
<calcChain xmlns="http://schemas.openxmlformats.org/spreadsheetml/2006/main">
  <c r="H13" i="27" l="1"/>
  <c r="H14" i="27"/>
  <c r="H12" i="27"/>
  <c r="H11" i="27"/>
  <c r="H10" i="27"/>
  <c r="H9" i="27"/>
  <c r="H8" i="27"/>
  <c r="G8" i="27"/>
  <c r="G9" i="27"/>
  <c r="G10" i="27"/>
  <c r="G11" i="27"/>
  <c r="G12" i="27"/>
  <c r="G14" i="27"/>
  <c r="G13" i="27"/>
  <c r="F14" i="27"/>
  <c r="F11" i="27"/>
  <c r="F13" i="27"/>
  <c r="F12" i="27"/>
  <c r="F10" i="27"/>
  <c r="F9" i="27"/>
  <c r="F8" i="27"/>
  <c r="E9" i="27"/>
  <c r="E14" i="27"/>
  <c r="E13" i="27"/>
  <c r="E12" i="27"/>
  <c r="E11" i="27"/>
  <c r="E10" i="27"/>
  <c r="E8" i="27"/>
  <c r="I12" i="27" l="1"/>
  <c r="J12" i="27"/>
  <c r="K12" i="27"/>
  <c r="M12" i="27"/>
  <c r="I13" i="27"/>
  <c r="J13" i="27"/>
  <c r="K13" i="27"/>
  <c r="M13" i="27"/>
  <c r="I11" i="27"/>
  <c r="K11" i="27" s="1"/>
  <c r="M11" i="27"/>
  <c r="I10" i="27"/>
  <c r="K10" i="27" s="1"/>
  <c r="N13" i="27" l="1"/>
  <c r="O13" i="27" s="1"/>
  <c r="N11" i="27"/>
  <c r="O11" i="27" s="1"/>
  <c r="O12" i="27"/>
  <c r="J10" i="27"/>
  <c r="M10" i="27"/>
  <c r="J11" i="27"/>
  <c r="O10" i="27" l="1"/>
  <c r="I14" i="27"/>
  <c r="K14" i="27" s="1"/>
  <c r="M14" i="27"/>
  <c r="J14" i="27"/>
  <c r="M9" i="27"/>
  <c r="N14" i="27" l="1"/>
  <c r="O14" i="27" s="1"/>
  <c r="N9" i="27"/>
  <c r="O9" i="27" s="1"/>
  <c r="I9" i="27"/>
  <c r="K9" i="27" s="1"/>
  <c r="J9" i="27"/>
  <c r="M8" i="27"/>
  <c r="N8" i="27" s="1"/>
  <c r="J8" i="27" l="1"/>
  <c r="I8" i="27"/>
  <c r="K8" i="27" s="1"/>
  <c r="O8" i="27" l="1"/>
</calcChain>
</file>

<file path=xl/sharedStrings.xml><?xml version="1.0" encoding="utf-8"?>
<sst xmlns="http://schemas.openxmlformats.org/spreadsheetml/2006/main" count="48" uniqueCount="41">
  <si>
    <t>ОБОСНОВАНИЕ НМЦК</t>
  </si>
  <si>
    <t>Начальная (максимальная) цена контракта определена в соответствии со статьей 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Порядком определения начальной (максимальной) цены контракта, цены контракта, заключаемого с единственным поставщиком (подрядчиком, исполнителем), при осуществедении закупок лекарственных препаратов для медицинского применения, утвержденного приказом Минздрава России от 19.12.2019 №1064н.</t>
  </si>
  <si>
    <t>где:</t>
  </si>
  <si>
    <t>n - количество поставляемых лекарственных препаратов;</t>
  </si>
  <si>
    <t>Цi - цена единицы i-го лекарственного препарата &lt;7&gt; с учетом НДС и оптовой надбавки;</t>
  </si>
  <si>
    <t>Vi - объем поставки i-го лекарственного препарата.</t>
  </si>
  <si>
    <t xml:space="preserve">
</t>
  </si>
  <si>
    <t>Используемый метод определения НМЦК: 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п.6 ст.22 Федерального закона от 05.04.2013 №44-ФЗ "О контрактной системе в сфере закупок товаров, работ, услуг для обеспечения государственных и муниципальных нужд".</t>
  </si>
  <si>
    <t>№</t>
  </si>
  <si>
    <t>Наименование товара, услуги (работы)</t>
  </si>
  <si>
    <t>ОКПД2/КТРУ</t>
  </si>
  <si>
    <t>Ед. измерения</t>
  </si>
  <si>
    <t>Кол-во</t>
  </si>
  <si>
    <t>Цена без НДС (руб.)</t>
  </si>
  <si>
    <t>Минимальная цена без НДС (руб.)</t>
  </si>
  <si>
    <t xml:space="preserve">НМЦК </t>
  </si>
  <si>
    <t>Сред.знач</t>
  </si>
  <si>
    <t xml:space="preserve">Среднее квадратичное отклонение </t>
  </si>
  <si>
    <t xml:space="preserve">Коэффициент вариации (%)  </t>
  </si>
  <si>
    <t>Минимальная цена с НДС (руб.)</t>
  </si>
  <si>
    <t>шт</t>
  </si>
  <si>
    <t>мл</t>
  </si>
  <si>
    <t>ГАЛОПЕРИДОЛ Раствор для внутримышечного введения 50 мг/мл</t>
  </si>
  <si>
    <t>21.20.10.235-000015-1-00275-0000000000000</t>
  </si>
  <si>
    <t>ДЕКСАМЕТАЗОН Капли глазные 1 мг/мл</t>
  </si>
  <si>
    <t>21.20.10.261-000092-1-00057-0000000000000</t>
  </si>
  <si>
    <t>ФОЛИЕВАЯ КИСЛОТА Таблетки, покрытые оболочкой 0,4 мг</t>
  </si>
  <si>
    <t>21.20.10.133-000007-1-00127-0000000000000</t>
  </si>
  <si>
    <t>ТАМСУЛОЗИН Капсулы с пролонгированным высвобождением 0,4 мг</t>
  </si>
  <si>
    <t>21.20.10.174-000006-1-00141-0000000000000</t>
  </si>
  <si>
    <t>21.20.10.171-000003-1-00056-0000000000000</t>
  </si>
  <si>
    <t>ХЛОРГЕКСИДИН Суппозитории вагинальные 16 мг</t>
  </si>
  <si>
    <t>ЖЕЛЕЗА СУЛЬФАТ+АСКОРБИНОВАЯ КИСЛОТА Таблетки с пролонгированным высвобождением, покрытые оболочкой 100 мг+60 мг</t>
  </si>
  <si>
    <t>21.20.10.133-000011-1-00005-0000000000000</t>
  </si>
  <si>
    <t>МЕТИЛЭТИЛПИРИДИНОЛ Капли глазные 10 мг/мл</t>
  </si>
  <si>
    <t>21.20.10.261-000030-1-00016-0000000000000</t>
  </si>
  <si>
    <t>Дата подготовки обоснования НМЦК: 22.09.2026</t>
  </si>
  <si>
    <t>КП 1 вх-1236 от 22.09.26</t>
  </si>
  <si>
    <t>На основании проведенного анализа рынка и расчетов НМЦК составляет: 56314,02 рубля</t>
  </si>
  <si>
    <t>КП 2 вх-1235 от 22.09.26</t>
  </si>
  <si>
    <t>КП 3 вх-1234 от 22.09.26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</si>
</sst>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XO Thames"/>
      <family val="1"/>
      <charset val="204"/>
    </font>
    <font>
      <sz val="10"/>
      <color theme="1"/>
      <name val="XO Thames"/>
      <family val="1"/>
      <charset val="204"/>
    </font>
    <font>
      <b/>
      <sz val="12"/>
      <color theme="1"/>
      <name val="XO Thames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7" xfId="0" applyFont="1" applyBorder="1" applyAlignment="1"/>
    <xf numFmtId="1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169379</xdr:colOff>
      <xdr:row>16</xdr:row>
      <xdr:rowOff>41000</xdr:rowOff>
    </xdr:from>
    <xdr:to>
      <xdr:col>1</xdr:col>
      <xdr:colOff>1762125</xdr:colOff>
      <xdr:row>16</xdr:row>
      <xdr:rowOff>263812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876" t="12682" r="31939" b="14310"/>
        <a:stretch/>
      </xdr:blipFill>
      <xdr:spPr>
        <a:xfrm>
          <a:off x="778979" y="5546450"/>
          <a:ext cx="1592746" cy="222812"/>
        </a:xfrm>
        <a:prstGeom prst="rect">
          <a:avLst/>
        </a:prstGeom>
      </xdr:spPr>
    </xdr:pic>
    <xdr:clientData/>
  </xdr:twoCellAnchor>
  <xdr:twoCellAnchor>
    <xdr:from>
      <xdr:col>9</xdr:col>
      <xdr:colOff>142874</xdr:colOff>
      <xdr:row>6</xdr:row>
      <xdr:rowOff>104776</xdr:rowOff>
    </xdr:from>
    <xdr:to>
      <xdr:col>9</xdr:col>
      <xdr:colOff>1206723</xdr:colOff>
      <xdr:row>6</xdr:row>
      <xdr:rowOff>478368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3924" y="3057526"/>
          <a:ext cx="1063849" cy="3735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114300</xdr:colOff>
      <xdr:row>6</xdr:row>
      <xdr:rowOff>118927</xdr:rowOff>
    </xdr:from>
    <xdr:to>
      <xdr:col>10</xdr:col>
      <xdr:colOff>904875</xdr:colOff>
      <xdr:row>6</xdr:row>
      <xdr:rowOff>472016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48725" y="3071677"/>
          <a:ext cx="790575" cy="353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abSelected="1" topLeftCell="A7" zoomScaleNormal="100" workbookViewId="0">
      <selection activeCell="A15" sqref="A15:O15"/>
    </sheetView>
  </sheetViews>
  <sheetFormatPr defaultRowHeight="15" x14ac:dyDescent="0.25"/>
  <cols>
    <col min="1" max="1" width="6.5703125" customWidth="1"/>
    <col min="2" max="2" width="32.140625" customWidth="1"/>
    <col min="3" max="3" width="15.28515625" customWidth="1"/>
    <col min="4" max="4" width="9.140625" customWidth="1"/>
    <col min="5" max="5" width="12.42578125" customWidth="1"/>
    <col min="6" max="6" width="12.28515625" customWidth="1"/>
    <col min="7" max="7" width="12.42578125" customWidth="1"/>
    <col min="8" max="8" width="13.140625" customWidth="1"/>
    <col min="9" max="9" width="15.140625" customWidth="1"/>
    <col min="10" max="10" width="18.5703125" customWidth="1"/>
    <col min="11" max="11" width="15.7109375" customWidth="1"/>
    <col min="12" max="12" width="9.5703125" hidden="1" customWidth="1"/>
    <col min="13" max="13" width="11.5703125" customWidth="1"/>
    <col min="14" max="14" width="12.7109375" customWidth="1"/>
    <col min="15" max="15" width="11" customWidth="1"/>
  </cols>
  <sheetData>
    <row r="2" spans="1:15" ht="1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81.7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0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56.25" customHeight="1" x14ac:dyDescent="0.25">
      <c r="A5" s="17" t="s">
        <v>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1:15" ht="88.5" customHeight="1" x14ac:dyDescent="0.25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13" t="s">
        <v>37</v>
      </c>
      <c r="G6" s="13" t="s">
        <v>39</v>
      </c>
      <c r="H6" s="13" t="s">
        <v>40</v>
      </c>
      <c r="I6" s="23" t="s">
        <v>16</v>
      </c>
      <c r="J6" s="13" t="s">
        <v>17</v>
      </c>
      <c r="K6" s="13" t="s">
        <v>18</v>
      </c>
      <c r="L6" s="13"/>
      <c r="M6" s="22" t="s">
        <v>14</v>
      </c>
      <c r="N6" s="22" t="s">
        <v>19</v>
      </c>
      <c r="O6" s="23" t="s">
        <v>15</v>
      </c>
    </row>
    <row r="7" spans="1:15" ht="46.5" customHeight="1" x14ac:dyDescent="0.25">
      <c r="A7" s="22"/>
      <c r="B7" s="22"/>
      <c r="C7" s="22"/>
      <c r="D7" s="22"/>
      <c r="E7" s="22"/>
      <c r="F7" s="13" t="s">
        <v>13</v>
      </c>
      <c r="G7" s="13" t="s">
        <v>13</v>
      </c>
      <c r="H7" s="13" t="s">
        <v>13</v>
      </c>
      <c r="I7" s="24"/>
      <c r="J7" s="4"/>
      <c r="K7" s="4"/>
      <c r="L7" s="13"/>
      <c r="M7" s="22"/>
      <c r="N7" s="22"/>
      <c r="O7" s="24"/>
    </row>
    <row r="8" spans="1:15" ht="51.75" customHeight="1" x14ac:dyDescent="0.25">
      <c r="A8" s="2">
        <v>1</v>
      </c>
      <c r="B8" s="15" t="s">
        <v>22</v>
      </c>
      <c r="C8" s="15" t="s">
        <v>23</v>
      </c>
      <c r="D8" s="11" t="s">
        <v>21</v>
      </c>
      <c r="E8" s="11">
        <f>27*5</f>
        <v>135</v>
      </c>
      <c r="F8" s="9">
        <f>448.14/5/1.1</f>
        <v>81.47999999999999</v>
      </c>
      <c r="G8" s="9">
        <f>508/5/1.1</f>
        <v>92.363636363636346</v>
      </c>
      <c r="H8" s="9">
        <f>517/5/1.1</f>
        <v>94</v>
      </c>
      <c r="I8" s="2">
        <f>(F8+G8+H8)/3</f>
        <v>89.281212121212107</v>
      </c>
      <c r="J8" s="9">
        <f>STDEVA(F8:H8)</f>
        <v>6.8054099367865799</v>
      </c>
      <c r="K8" s="8">
        <f>IF(I8&gt;0,STDEVA(F8:H8)/(SUM(F8:H8)/COUNTIF(F8:H8,"&gt;0")),0)</f>
        <v>7.6224434851391298E-2</v>
      </c>
      <c r="L8" s="2"/>
      <c r="M8" s="10">
        <f>MIN(F8:H8)</f>
        <v>81.47999999999999</v>
      </c>
      <c r="N8" s="9">
        <f>ROUND(M8*1.1,4)</f>
        <v>89.628</v>
      </c>
      <c r="O8" s="10">
        <f>N8*E8</f>
        <v>12099.78</v>
      </c>
    </row>
    <row r="9" spans="1:15" ht="51.75" customHeight="1" x14ac:dyDescent="0.25">
      <c r="A9" s="12">
        <v>2</v>
      </c>
      <c r="B9" s="15" t="s">
        <v>24</v>
      </c>
      <c r="C9" s="15" t="s">
        <v>25</v>
      </c>
      <c r="D9" s="12" t="s">
        <v>21</v>
      </c>
      <c r="E9" s="12">
        <f>40*10</f>
        <v>400</v>
      </c>
      <c r="F9" s="9">
        <f>244.64/10/1.1</f>
        <v>22.24</v>
      </c>
      <c r="G9" s="9">
        <f>287/10/1.1</f>
        <v>26.090909090909086</v>
      </c>
      <c r="H9" s="9">
        <f>249/10/1.1</f>
        <v>22.636363636363633</v>
      </c>
      <c r="I9" s="13">
        <f t="shared" ref="I9:I14" si="0">(F9+G9+H9)/3</f>
        <v>23.655757575757576</v>
      </c>
      <c r="J9" s="9">
        <f t="shared" ref="J9:J14" si="1">STDEVA(F9:H9)</f>
        <v>2.1181945636240278</v>
      </c>
      <c r="K9" s="8">
        <f t="shared" ref="K9" si="2">IF(I9&gt;0,STDEVA(F9:H9)/(SUM(F9:H9)/COUNTIF(F9:H9,"&gt;0")),0)</f>
        <v>8.9542453114871023E-2</v>
      </c>
      <c r="L9" s="12"/>
      <c r="M9" s="10">
        <f>MIN(F9:H9)</f>
        <v>22.24</v>
      </c>
      <c r="N9" s="9">
        <f t="shared" ref="N9:N14" si="3">ROUND(M9*1.1,4)</f>
        <v>24.463999999999999</v>
      </c>
      <c r="O9" s="10">
        <f>N9*E9</f>
        <v>9785.5999999999985</v>
      </c>
    </row>
    <row r="10" spans="1:15" ht="49.5" customHeight="1" x14ac:dyDescent="0.25">
      <c r="A10" s="14">
        <v>3</v>
      </c>
      <c r="B10" s="15" t="s">
        <v>26</v>
      </c>
      <c r="C10" s="15" t="s">
        <v>27</v>
      </c>
      <c r="D10" s="14" t="s">
        <v>20</v>
      </c>
      <c r="E10" s="14">
        <f>30*6</f>
        <v>180</v>
      </c>
      <c r="F10" s="9">
        <f>145.31/30/1.1</f>
        <v>4.4033333333333333</v>
      </c>
      <c r="G10" s="9">
        <f>182.99/30/1.1</f>
        <v>5.5451515151515149</v>
      </c>
      <c r="H10" s="9">
        <f>149/30/1.1</f>
        <v>4.5151515151515147</v>
      </c>
      <c r="I10" s="14">
        <f>(F10+G10+H10)/3</f>
        <v>4.8212121212121213</v>
      </c>
      <c r="J10" s="9">
        <f>STDEVA(F10:H10)</f>
        <v>0.62943785318272172</v>
      </c>
      <c r="K10" s="8">
        <f>IF(I10&gt;0,STDEVA(F10:H10)/(SUM(F10:H10)/COUNTIF(F10:H10,"&gt;0")),0)</f>
        <v>0.13055593434965315</v>
      </c>
      <c r="L10" s="14"/>
      <c r="M10" s="10">
        <f>MIN(F10:H10)</f>
        <v>4.4033333333333333</v>
      </c>
      <c r="N10" s="9">
        <v>4.843</v>
      </c>
      <c r="O10" s="10">
        <f>N10*E10</f>
        <v>871.74</v>
      </c>
    </row>
    <row r="11" spans="1:15" ht="50.25" customHeight="1" x14ac:dyDescent="0.25">
      <c r="A11" s="14">
        <v>4</v>
      </c>
      <c r="B11" s="15" t="s">
        <v>28</v>
      </c>
      <c r="C11" s="15" t="s">
        <v>29</v>
      </c>
      <c r="D11" s="14" t="s">
        <v>20</v>
      </c>
      <c r="E11" s="14">
        <f>50*30</f>
        <v>1500</v>
      </c>
      <c r="F11" s="9">
        <f>343.2/30/1.1</f>
        <v>10.399999999999999</v>
      </c>
      <c r="G11" s="9">
        <f>391/30/1.1</f>
        <v>11.848484848484848</v>
      </c>
      <c r="H11" s="9">
        <f>399/30/1.1</f>
        <v>12.09090909090909</v>
      </c>
      <c r="I11" s="14">
        <f t="shared" ref="I11" si="4">(F11+G11+H11)/3</f>
        <v>11.446464646464646</v>
      </c>
      <c r="J11" s="9">
        <f t="shared" ref="J11" si="5">STDEVA(F11:H11)</f>
        <v>0.9143350428338759</v>
      </c>
      <c r="K11" s="8">
        <f t="shared" ref="K11" si="6">IF(I11&gt;0,STDEVA(F11:H11)/(SUM(F11:H11)/COUNTIF(F11:H11,"&gt;0")),0)</f>
        <v>7.9879252771402856E-2</v>
      </c>
      <c r="L11" s="14"/>
      <c r="M11" s="10">
        <f>MIN(F11:H11)</f>
        <v>10.399999999999999</v>
      </c>
      <c r="N11" s="9">
        <f t="shared" si="3"/>
        <v>11.44</v>
      </c>
      <c r="O11" s="10">
        <f>N11*E11</f>
        <v>17160</v>
      </c>
    </row>
    <row r="12" spans="1:15" ht="51.75" customHeight="1" x14ac:dyDescent="0.25">
      <c r="A12" s="14">
        <v>5</v>
      </c>
      <c r="B12" s="15" t="s">
        <v>31</v>
      </c>
      <c r="C12" s="15" t="s">
        <v>30</v>
      </c>
      <c r="D12" s="15" t="s">
        <v>20</v>
      </c>
      <c r="E12" s="12">
        <f>5*12</f>
        <v>60</v>
      </c>
      <c r="F12" s="9">
        <f>173.69/12/1.1</f>
        <v>13.158333333333333</v>
      </c>
      <c r="G12" s="9">
        <f>207/10/1.1</f>
        <v>18.818181818181817</v>
      </c>
      <c r="H12" s="9">
        <f>263/10/1.1</f>
        <v>23.909090909090907</v>
      </c>
      <c r="I12" s="14">
        <f t="shared" ref="I12:I13" si="7">(F12+G12+H12)/3</f>
        <v>18.628535353535352</v>
      </c>
      <c r="J12" s="9">
        <f t="shared" ref="J12:J13" si="8">STDEVA(F12:H12)</f>
        <v>5.3778872663288348</v>
      </c>
      <c r="K12" s="8">
        <f t="shared" ref="K12:K13" si="9">IF(I12&gt;0,STDEVA(F12:H12)/(SUM(F12:H12)/COUNTIF(F12:H12,"&gt;0")),0)</f>
        <v>0.2886908264265774</v>
      </c>
      <c r="L12" s="14"/>
      <c r="M12" s="10">
        <f t="shared" ref="M12:M13" si="10">MIN(F12:H12)</f>
        <v>13.158333333333333</v>
      </c>
      <c r="N12" s="9">
        <v>14.47</v>
      </c>
      <c r="O12" s="10">
        <f t="shared" ref="O12:O13" si="11">N12*E12</f>
        <v>868.2</v>
      </c>
    </row>
    <row r="13" spans="1:15" ht="74.25" customHeight="1" x14ac:dyDescent="0.25">
      <c r="A13" s="14">
        <v>6</v>
      </c>
      <c r="B13" s="15" t="s">
        <v>32</v>
      </c>
      <c r="C13" s="15" t="s">
        <v>33</v>
      </c>
      <c r="D13" s="15" t="s">
        <v>20</v>
      </c>
      <c r="E13" s="14">
        <f>50*14</f>
        <v>700</v>
      </c>
      <c r="F13" s="9">
        <f>683.65/50/1.1</f>
        <v>12.43</v>
      </c>
      <c r="G13" s="9">
        <f>748/50/1.1</f>
        <v>13.6</v>
      </c>
      <c r="H13" s="9">
        <f>697/50/1.1</f>
        <v>12.672727272727272</v>
      </c>
      <c r="I13" s="14">
        <f t="shared" si="7"/>
        <v>12.90090909090909</v>
      </c>
      <c r="J13" s="9">
        <f t="shared" si="8"/>
        <v>0.61747486314146449</v>
      </c>
      <c r="K13" s="8">
        <f t="shared" si="9"/>
        <v>4.7862895458784506E-2</v>
      </c>
      <c r="L13" s="14"/>
      <c r="M13" s="10">
        <f t="shared" si="10"/>
        <v>12.43</v>
      </c>
      <c r="N13" s="9">
        <f t="shared" si="3"/>
        <v>13.673</v>
      </c>
      <c r="O13" s="10">
        <f t="shared" si="11"/>
        <v>9571.1</v>
      </c>
    </row>
    <row r="14" spans="1:15" ht="54.75" customHeight="1" x14ac:dyDescent="0.25">
      <c r="A14" s="14">
        <v>7</v>
      </c>
      <c r="B14" s="15" t="s">
        <v>34</v>
      </c>
      <c r="C14" s="15" t="s">
        <v>35</v>
      </c>
      <c r="D14" s="12" t="s">
        <v>21</v>
      </c>
      <c r="E14" s="12">
        <f>20*5</f>
        <v>100</v>
      </c>
      <c r="F14" s="9">
        <f>297.88/5/1.1</f>
        <v>54.16</v>
      </c>
      <c r="G14" s="9">
        <f>339/5/1.1</f>
        <v>61.636363636363626</v>
      </c>
      <c r="H14" s="9">
        <f>321/5/1.1</f>
        <v>58.36363636363636</v>
      </c>
      <c r="I14" s="13">
        <f t="shared" si="0"/>
        <v>58.05333333333332</v>
      </c>
      <c r="J14" s="9">
        <f t="shared" si="1"/>
        <v>3.747828609174455</v>
      </c>
      <c r="K14" s="8">
        <f>IF(I14&gt;0,STDEVA(F14:H14)/(SUM(F14:H14)/COUNTIF(F14:H14,"&gt;0")),0)</f>
        <v>6.4558370621976155E-2</v>
      </c>
      <c r="L14" s="12"/>
      <c r="M14" s="9">
        <f>MIN(F14:H14)</f>
        <v>54.16</v>
      </c>
      <c r="N14" s="9">
        <f t="shared" si="3"/>
        <v>59.576000000000001</v>
      </c>
      <c r="O14" s="10">
        <f>N14*E14</f>
        <v>5957.6</v>
      </c>
    </row>
    <row r="15" spans="1:15" ht="20.25" customHeight="1" x14ac:dyDescent="0.25">
      <c r="A15" s="25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9.25" customHeight="1" thickBot="1" x14ac:dyDescent="0.3">
      <c r="A17" s="5" t="s">
        <v>6</v>
      </c>
      <c r="B17" s="7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</row>
    <row r="18" spans="1:15" x14ac:dyDescent="0.25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 t="s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 t="s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 t="s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21" t="s">
        <v>36</v>
      </c>
      <c r="B23" s="21"/>
      <c r="C23" s="2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14">
    <mergeCell ref="A3:O3"/>
    <mergeCell ref="A5:O5"/>
    <mergeCell ref="A2:O2"/>
    <mergeCell ref="A23:C23"/>
    <mergeCell ref="N6:N7"/>
    <mergeCell ref="M6:M7"/>
    <mergeCell ref="E6:E7"/>
    <mergeCell ref="D6:D7"/>
    <mergeCell ref="C6:C7"/>
    <mergeCell ref="I6:I7"/>
    <mergeCell ref="B6:B7"/>
    <mergeCell ref="A6:A7"/>
    <mergeCell ref="A15:O15"/>
    <mergeCell ref="O6:O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2026-09-22T05:45:38Z</dcterms:modified>
</cp:coreProperties>
</file>