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20\общая для закупок\_4_ЗАКУПКИ\Закупки_2026\РПЗ_00428 Поставка труб и трубопроводной арматуры\"/>
    </mc:Choice>
  </mc:AlternateContent>
  <xr:revisionPtr revIDLastSave="0" documentId="13_ncr:1_{4C763F70-8616-45B7-AF65-46DB2B514AD9}" xr6:coauthVersionLast="47" xr6:coauthVersionMax="47" xr10:uidLastSave="{00000000-0000-0000-0000-000000000000}"/>
  <bookViews>
    <workbookView xWindow="-120" yWindow="-120" windowWidth="29040" windowHeight="15840" xr2:uid="{F8F47414-5FB6-4FF3-BCFE-3D6BF80784AC}"/>
  </bookViews>
  <sheets>
    <sheet name="НМЦ (все цены) (2)" sheetId="1" r:id="rId1"/>
  </sheets>
  <externalReferences>
    <externalReference r:id="rId2"/>
  </externalReferences>
  <definedNames>
    <definedName name="ДаНет">#N/A</definedName>
    <definedName name="_xlnm.Print_Area" localSheetId="0">'НМЦ (все цены) (2)'!$A$3:$Q$39</definedName>
    <definedName name="ОКАТО_код">#N/A</definedName>
    <definedName name="ОКЕИ_код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7" i="1" l="1"/>
  <c r="B36" i="1"/>
  <c r="O34" i="1"/>
  <c r="B34" i="1"/>
  <c r="D29" i="1"/>
  <c r="K29" i="1" s="1"/>
  <c r="C29" i="1"/>
  <c r="B29" i="1"/>
  <c r="A29" i="1"/>
  <c r="D28" i="1"/>
  <c r="K28" i="1" s="1"/>
  <c r="C28" i="1"/>
  <c r="B28" i="1"/>
  <c r="A28" i="1"/>
  <c r="D27" i="1"/>
  <c r="K27" i="1" s="1"/>
  <c r="C27" i="1"/>
  <c r="B27" i="1"/>
  <c r="A27" i="1"/>
  <c r="D26" i="1"/>
  <c r="K26" i="1" s="1"/>
  <c r="C26" i="1"/>
  <c r="B26" i="1"/>
  <c r="A26" i="1"/>
  <c r="E25" i="1"/>
  <c r="D25" i="1"/>
  <c r="I25" i="1" s="1"/>
  <c r="C25" i="1"/>
  <c r="B25" i="1"/>
  <c r="A25" i="1"/>
  <c r="D24" i="1"/>
  <c r="I24" i="1" s="1"/>
  <c r="C24" i="1"/>
  <c r="B24" i="1"/>
  <c r="A24" i="1"/>
  <c r="D23" i="1"/>
  <c r="I23" i="1" s="1"/>
  <c r="C23" i="1"/>
  <c r="B23" i="1"/>
  <c r="A23" i="1"/>
  <c r="D22" i="1"/>
  <c r="E22" i="1" s="1"/>
  <c r="C22" i="1"/>
  <c r="B22" i="1"/>
  <c r="A22" i="1"/>
  <c r="D21" i="1"/>
  <c r="G21" i="1" s="1"/>
  <c r="C21" i="1"/>
  <c r="B21" i="1"/>
  <c r="A21" i="1"/>
  <c r="D20" i="1"/>
  <c r="E20" i="1" s="1"/>
  <c r="C20" i="1"/>
  <c r="B20" i="1"/>
  <c r="A20" i="1"/>
  <c r="D19" i="1"/>
  <c r="L30" i="1" s="1"/>
  <c r="C19" i="1"/>
  <c r="B19" i="1"/>
  <c r="A19" i="1"/>
  <c r="E18" i="1"/>
  <c r="F10" i="1"/>
  <c r="F9" i="1"/>
  <c r="F8" i="1"/>
  <c r="F7" i="1"/>
  <c r="F6" i="1"/>
  <c r="F26" i="1" l="1"/>
  <c r="F23" i="1"/>
  <c r="G26" i="1"/>
  <c r="K23" i="1"/>
  <c r="I26" i="1"/>
  <c r="E28" i="1"/>
  <c r="N28" i="1"/>
  <c r="E24" i="1"/>
  <c r="N24" i="1" s="1"/>
  <c r="F25" i="1"/>
  <c r="N25" i="1" s="1"/>
  <c r="F28" i="1"/>
  <c r="E19" i="1"/>
  <c r="F19" i="1"/>
  <c r="G22" i="1"/>
  <c r="F24" i="1"/>
  <c r="E27" i="1"/>
  <c r="N27" i="1" s="1"/>
  <c r="E29" i="1"/>
  <c r="G19" i="1"/>
  <c r="F27" i="1"/>
  <c r="F29" i="1"/>
  <c r="N20" i="1"/>
  <c r="M20" i="1"/>
  <c r="N26" i="1"/>
  <c r="H21" i="1"/>
  <c r="I30" i="1"/>
  <c r="E21" i="1"/>
  <c r="K21" i="1"/>
  <c r="H22" i="1"/>
  <c r="N22" i="1" s="1"/>
  <c r="G23" i="1"/>
  <c r="G30" i="1" s="1"/>
  <c r="M25" i="1"/>
  <c r="G29" i="1"/>
  <c r="J30" i="1"/>
  <c r="F21" i="1"/>
  <c r="F30" i="1" s="1"/>
  <c r="H23" i="1"/>
  <c r="M26" i="1"/>
  <c r="M27" i="1"/>
  <c r="O27" i="1" s="1"/>
  <c r="P27" i="1" s="1"/>
  <c r="Q27" i="1" s="1"/>
  <c r="M28" i="1"/>
  <c r="O28" i="1" s="1"/>
  <c r="P28" i="1" s="1"/>
  <c r="Q28" i="1" s="1"/>
  <c r="K19" i="1"/>
  <c r="E23" i="1"/>
  <c r="H30" i="1"/>
  <c r="M29" i="1" l="1"/>
  <c r="M19" i="1"/>
  <c r="M24" i="1"/>
  <c r="O24" i="1" s="1"/>
  <c r="P24" i="1" s="1"/>
  <c r="Q24" i="1" s="1"/>
  <c r="O25" i="1"/>
  <c r="P25" i="1" s="1"/>
  <c r="Q25" i="1" s="1"/>
  <c r="N29" i="1"/>
  <c r="K30" i="1"/>
  <c r="O26" i="1"/>
  <c r="P26" i="1" s="1"/>
  <c r="Q26" i="1" s="1"/>
  <c r="O20" i="1"/>
  <c r="P20" i="1" s="1"/>
  <c r="Q20" i="1" s="1"/>
  <c r="N21" i="1"/>
  <c r="M21" i="1"/>
  <c r="E30" i="1"/>
  <c r="M22" i="1"/>
  <c r="O22" i="1" s="1"/>
  <c r="P22" i="1" s="1"/>
  <c r="Q22" i="1" s="1"/>
  <c r="N19" i="1"/>
  <c r="O19" i="1" s="1"/>
  <c r="P19" i="1" s="1"/>
  <c r="Q19" i="1" s="1"/>
  <c r="O29" i="1"/>
  <c r="P29" i="1" s="1"/>
  <c r="Q29" i="1" s="1"/>
  <c r="N23" i="1"/>
  <c r="M23" i="1"/>
  <c r="O23" i="1" l="1"/>
  <c r="P23" i="1" s="1"/>
  <c r="Q23" i="1" s="1"/>
  <c r="N30" i="1"/>
  <c r="M30" i="1"/>
  <c r="O21" i="1"/>
  <c r="P21" i="1" s="1"/>
  <c r="Q21" i="1" s="1"/>
  <c r="Q30" i="1" s="1"/>
  <c r="F11" i="1" s="1"/>
  <c r="C38" i="1" l="1"/>
  <c r="F1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Воропаев Р.В.</author>
  </authors>
  <commentList>
    <comment ref="E17" authorId="0" shapeId="0" xr:uid="{994CE1B4-F637-4B04-BFE0-470C069CAFC0}">
      <text>
        <r>
          <rPr>
            <b/>
            <sz val="9"/>
            <color indexed="81"/>
            <rFont val="Tahoma"/>
            <family val="2"/>
            <charset val="204"/>
          </rPr>
          <t>Ферус Новосибирск</t>
        </r>
      </text>
    </comment>
    <comment ref="F17" authorId="0" shapeId="0" xr:uid="{FF21A24D-A415-4AB4-BC47-892F094ED38E}">
      <text>
        <r>
          <rPr>
            <b/>
            <sz val="9"/>
            <color indexed="81"/>
            <rFont val="Tahoma"/>
            <family val="2"/>
            <charset val="204"/>
          </rPr>
          <t>Флагман - Велес</t>
        </r>
      </text>
    </comment>
    <comment ref="G17" authorId="0" shapeId="0" xr:uid="{4F257775-4F2B-4B9B-9BB5-55281E9ECDCB}">
      <text>
        <r>
          <rPr>
            <b/>
            <sz val="9"/>
            <color indexed="81"/>
            <rFont val="Tahoma"/>
            <family val="2"/>
            <charset val="204"/>
          </rPr>
          <t>Элитметалл-Сибирь</t>
        </r>
      </text>
    </comment>
    <comment ref="H17" authorId="0" shapeId="0" xr:uid="{1F5FE46E-A4B2-4EBE-BEDE-77DFED42B837}">
      <text>
        <r>
          <rPr>
            <b/>
            <sz val="9"/>
            <color indexed="81"/>
            <rFont val="Tahoma"/>
            <family val="2"/>
            <charset val="204"/>
          </rPr>
          <t>СТК</t>
        </r>
      </text>
    </comment>
    <comment ref="I17" authorId="0" shapeId="0" xr:uid="{66E02A93-AD98-42E2-B5FD-F90A9B274045}">
      <text>
        <r>
          <rPr>
            <b/>
            <sz val="9"/>
            <color indexed="81"/>
            <rFont val="Tahoma"/>
            <family val="2"/>
            <charset val="204"/>
          </rPr>
          <t>СТМ "Оптима"</t>
        </r>
      </text>
    </comment>
    <comment ref="J17" authorId="0" shapeId="0" xr:uid="{A883A11B-8999-48A9-96DA-A7943B7F66FE}">
      <text>
        <r>
          <rPr>
            <b/>
            <sz val="9"/>
            <color indexed="81"/>
            <rFont val="Tahoma"/>
            <family val="2"/>
            <charset val="204"/>
          </rPr>
          <t>Первый трубопроводный</t>
        </r>
      </text>
    </comment>
    <comment ref="K17" authorId="0" shapeId="0" xr:uid="{3DBB1C3A-9589-4875-AA09-7A6F0E772B8E}">
      <text>
        <r>
          <rPr>
            <b/>
            <sz val="9"/>
            <color indexed="81"/>
            <rFont val="Tahoma"/>
            <family val="2"/>
            <charset val="204"/>
          </rPr>
          <t>КВЕТ</t>
        </r>
      </text>
    </comment>
  </commentList>
</comments>
</file>

<file path=xl/sharedStrings.xml><?xml version="1.0" encoding="utf-8"?>
<sst xmlns="http://schemas.openxmlformats.org/spreadsheetml/2006/main" count="38" uniqueCount="36">
  <si>
    <t>Приложение Б</t>
  </si>
  <si>
    <t>форма 9</t>
  </si>
  <si>
    <t>ОБОСНОВАНИЕ</t>
  </si>
  <si>
    <t>по начальной максимальной цене договора (НМЦ)</t>
  </si>
  <si>
    <t xml:space="preserve">Наименование закупки (предмет договора): </t>
  </si>
  <si>
    <t xml:space="preserve">Используемый метод определения НМЦ: </t>
  </si>
  <si>
    <t>Срок поставки (выполнения работ, оказания услуг):</t>
  </si>
  <si>
    <t>Информация о запросах ценовых предложений (коммерческих предложений):</t>
  </si>
  <si>
    <t xml:space="preserve">Информация о ценовых предложениях, включая информацию из открытых источников: </t>
  </si>
  <si>
    <t>НМЦ/цена контракта (договора) устанавливается в размере:
(с обязательным указанием информации - с учетом или без НДС, включая все налоги, сборы и обязательные платежи)</t>
  </si>
  <si>
    <t xml:space="preserve">Дата подготовки обоснования НМЦ: </t>
  </si>
  <si>
    <t>Расчет НМЦ</t>
  </si>
  <si>
    <t>№ п/п</t>
  </si>
  <si>
    <t>Наименование товара, работы, услуги</t>
  </si>
  <si>
    <t>Ед. изм.</t>
  </si>
  <si>
    <t>Кол-во</t>
  </si>
  <si>
    <t>Ценовые предложения, руб.</t>
  </si>
  <si>
    <t>Средняя цена, руб.</t>
  </si>
  <si>
    <t>Среднее квадратичное отклонение</t>
  </si>
  <si>
    <t>Коэффициент вариации</t>
  </si>
  <si>
    <t>Стоимость за 1 ед. товара принятая в расчет с учетом коэффициента вариации, руб. (с учетом налогов, сборов и других обязательных платежей)</t>
  </si>
  <si>
    <t>Стоимость, руб. 
(с учетом налогов, сборов и других обязательных платежей)</t>
  </si>
  <si>
    <t xml:space="preserve">№1* </t>
  </si>
  <si>
    <t xml:space="preserve">№2* </t>
  </si>
  <si>
    <t xml:space="preserve">№3* </t>
  </si>
  <si>
    <t>№4</t>
  </si>
  <si>
    <t xml:space="preserve">№5* </t>
  </si>
  <si>
    <t xml:space="preserve">№6* </t>
  </si>
  <si>
    <t xml:space="preserve">№7* </t>
  </si>
  <si>
    <r>
      <t>договор №</t>
    </r>
    <r>
      <rPr>
        <b/>
        <sz val="12"/>
        <color rgb="FFFF0000"/>
        <rFont val="Times New Roman"/>
        <family val="1"/>
        <charset val="204"/>
      </rPr>
      <t>***</t>
    </r>
    <r>
      <rPr>
        <b/>
        <sz val="12"/>
        <color rgb="FF000000"/>
        <rFont val="Times New Roman"/>
        <family val="1"/>
        <charset val="204"/>
      </rPr>
      <t xml:space="preserve">от </t>
    </r>
    <r>
      <rPr>
        <b/>
        <sz val="12"/>
        <color rgb="FFFF0000"/>
        <rFont val="Times New Roman"/>
        <family val="1"/>
        <charset val="204"/>
      </rPr>
      <t xml:space="preserve"> г.</t>
    </r>
    <r>
      <rPr>
        <b/>
        <sz val="12"/>
        <color rgb="FF000000"/>
        <rFont val="Times New Roman"/>
        <family val="1"/>
        <charset val="204"/>
      </rPr>
      <t xml:space="preserve"> с учетом ИПЦ 2025-202</t>
    </r>
    <r>
      <rPr>
        <b/>
        <sz val="12"/>
        <color rgb="FFFF0000"/>
        <rFont val="Times New Roman"/>
        <family val="1"/>
        <charset val="204"/>
      </rPr>
      <t>6</t>
    </r>
    <r>
      <rPr>
        <b/>
        <sz val="12"/>
        <color rgb="FF000000"/>
        <rFont val="Times New Roman"/>
        <family val="1"/>
        <charset val="204"/>
      </rPr>
      <t xml:space="preserve"> (</t>
    </r>
    <r>
      <rPr>
        <b/>
        <sz val="12"/>
        <color rgb="FFFF0000"/>
        <rFont val="Times New Roman"/>
        <family val="1"/>
        <charset val="204"/>
      </rPr>
      <t>1,051</t>
    </r>
    <r>
      <rPr>
        <b/>
        <sz val="12"/>
        <color rgb="FF000000"/>
        <rFont val="Times New Roman"/>
        <family val="1"/>
        <charset val="204"/>
      </rPr>
      <t>) в соответствии с Методикой №357</t>
    </r>
  </si>
  <si>
    <t>Итого:</t>
  </si>
  <si>
    <t>X</t>
  </si>
  <si>
    <t>Х</t>
  </si>
  <si>
    <t>Даты сбора информации</t>
  </si>
  <si>
    <t xml:space="preserve">подпись________________ </t>
  </si>
  <si>
    <t>Следующие позиции исключены из расчета НМЦ договора в связи с превышением коэффициента вариации 0,32, как имеющие наибольшее отклонение от средней арифметической величины:
позиция 8 – КП №1;
позиции 2, 4 – КП №2;
позиция 2, 6, 7, 9, 10 – КП №3;
позиции 6, 7, 9, 11 – КП №4;
позиции 9, 10, 11 – КП №5;
позиции 2, 4, 6, 7 – КП №7.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</si>
</sst>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_-* #,##0.00\ _₽_-;\-* #,##0.00\ _₽_-;_-* &quot;-&quot;??\ _₽_-;_-@_-"/>
  </numFmts>
  <fonts count="15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B05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2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i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 applyAlignment="0"/>
  </cellStyleXfs>
  <cellXfs count="54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/>
    <xf numFmtId="165" fontId="12" fillId="0" borderId="1" xfId="1" applyFont="1" applyFill="1" applyBorder="1" applyAlignment="1">
      <alignment vertical="center" wrapText="1"/>
    </xf>
    <xf numFmtId="0" fontId="8" fillId="0" borderId="0" xfId="0" applyFont="1"/>
    <xf numFmtId="14" fontId="8" fillId="0" borderId="1" xfId="2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/>
    </xf>
    <xf numFmtId="0" fontId="4" fillId="0" borderId="7" xfId="0" applyFont="1" applyBorder="1"/>
    <xf numFmtId="0" fontId="2" fillId="0" borderId="7" xfId="0" applyFont="1" applyBorder="1" applyAlignment="1">
      <alignment horizontal="right" vertical="center"/>
    </xf>
    <xf numFmtId="0" fontId="2" fillId="0" borderId="0" xfId="0" applyFont="1"/>
    <xf numFmtId="2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4" fontId="4" fillId="0" borderId="1" xfId="0" applyNumberFormat="1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14" fontId="4" fillId="0" borderId="0" xfId="0" applyNumberFormat="1" applyFont="1" applyAlignment="1">
      <alignment horizontal="left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3" fillId="0" borderId="1" xfId="3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 indent="3"/>
    </xf>
    <xf numFmtId="0" fontId="12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 indent="3"/>
    </xf>
    <xf numFmtId="0" fontId="5" fillId="0" borderId="1" xfId="0" applyFont="1" applyFill="1" applyBorder="1" applyAlignment="1">
      <alignment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/>
    <xf numFmtId="14" fontId="3" fillId="0" borderId="1" xfId="0" applyNumberFormat="1" applyFont="1" applyFill="1" applyBorder="1" applyAlignment="1">
      <alignment wrapText="1"/>
    </xf>
    <xf numFmtId="0" fontId="3" fillId="0" borderId="0" xfId="0" applyFont="1" applyFill="1" applyAlignment="1">
      <alignment horizontal="left" vertical="center" wrapText="1" indent="3"/>
    </xf>
    <xf numFmtId="0" fontId="14" fillId="0" borderId="8" xfId="0" applyFont="1" applyFill="1" applyBorder="1" applyAlignment="1">
      <alignment horizontal="left" vertical="center" wrapText="1"/>
    </xf>
  </cellXfs>
  <cellStyles count="4">
    <cellStyle name="Обычный" xfId="0" builtinId="0"/>
    <cellStyle name="Обычный 4" xfId="3" xr:uid="{FD2B74B9-84F5-4237-AEB5-186521AE03AA}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0;&#1086;&#1084;&#1087;&#1083;&#1077;&#1082;&#1090;_&#1090;&#1088;&#1091;&#1073;&#1085;&#1072;&#1103;%20&#1072;&#1088;&#1084;&#1072;&#1090;&#1091;&#1088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зменения"/>
      <sheetName val="Справочник"/>
      <sheetName val="Инструкция"/>
      <sheetName val="ГЭБ"/>
      <sheetName val="схема"/>
      <sheetName val="ПИ"/>
      <sheetName val="2026РПЗ"/>
      <sheetName val="ЗАКУПКА"/>
      <sheetName val="Кор_РПЗ"/>
      <sheetName val="Задание"/>
      <sheetName val="ТЗ"/>
      <sheetName val="Запрос КП"/>
      <sheetName val="Спец-я"/>
      <sheetName val="Обоснование"/>
      <sheetName val="НМЦ"/>
      <sheetName val="НМЦ (все цены) (2)"/>
      <sheetName val="НМЦ (все цены)"/>
      <sheetName val="Решение НМЦ"/>
      <sheetName val="С-З_опл"/>
      <sheetName val="С-З_опл ЭДО"/>
      <sheetName val="С-З_для СС"/>
      <sheetName val="ДС"/>
      <sheetName val="п.6.6.2_ПоЗ"/>
      <sheetName val="п.19.22"/>
      <sheetName val="п.21.2.2"/>
      <sheetName val="ИГК"/>
      <sheetName val="РЕШЕНИЕ_ЕП"/>
      <sheetName val="РЕШЕНИЕ_ДС"/>
      <sheetName val="ИЗВЕЩЕНИЕ"/>
      <sheetName val="Контрагенты"/>
      <sheetName val="ОКПД2"/>
      <sheetName val="ОКПД2 (2)"/>
      <sheetName val="ОКВЭД2"/>
      <sheetName val="ОКЕИ"/>
      <sheetName val="ПП_1875_1"/>
      <sheetName val="ПП_1875_2"/>
      <sheetName val="ПП_1875_3"/>
      <sheetName val="ПП_878"/>
      <sheetName val="РП_744"/>
      <sheetName val="РП_2662"/>
      <sheetName val="ПеречДок"/>
      <sheetName val="Блок-схема"/>
      <sheetName val="Кор_ПоЗ"/>
      <sheetName val=" _"/>
      <sheetName val="Памятк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B1">
            <v>46262</v>
          </cell>
        </row>
        <row r="4">
          <cell r="C4" t="str">
            <v>Ведущий инженер</v>
          </cell>
          <cell r="D4" t="str">
            <v>Трубникова Е.В.</v>
          </cell>
        </row>
        <row r="66">
          <cell r="C66" t="str">
            <v>Поставка труб и трубопроводной арматуры</v>
          </cell>
        </row>
        <row r="67">
          <cell r="C67" t="str">
            <v xml:space="preserve">метод сопоставимых рыночных цен (анализа рынка) </v>
          </cell>
        </row>
        <row r="68">
          <cell r="C68" t="str">
            <v>в течение 30 календарных дней с даты заключения договора</v>
          </cell>
        </row>
        <row r="69">
          <cell r="C69" t="str">
            <v>Запрос исх. №59-6187 от 28.07.2026 направлен по E-mail 28.07.2026 для 30 получателей, поиск ценовой информации в сети интернет от 13.08.2026</v>
          </cell>
        </row>
        <row r="70">
          <cell r="C70" t="str">
            <v>Получено 7 КП вх. №59-604, 59-605, 59-606, 59-607, 59-608, 59-609, 59-610 от 13.08.2026 г.</v>
          </cell>
        </row>
        <row r="77">
          <cell r="C77" t="str">
            <v>Ведущий инженер Воропаев Р.В.</v>
          </cell>
        </row>
        <row r="78">
          <cell r="C78" t="str">
            <v>60-25</v>
          </cell>
        </row>
      </sheetData>
      <sheetData sheetId="8"/>
      <sheetData sheetId="9"/>
      <sheetData sheetId="10">
        <row r="19">
          <cell r="A19">
            <v>1</v>
          </cell>
          <cell r="B19" t="str">
            <v>Труба стальная бесшовная Ду 50х4,5</v>
          </cell>
          <cell r="C19" t="str">
            <v>п.м.</v>
          </cell>
          <cell r="D19">
            <v>510</v>
          </cell>
        </row>
        <row r="20">
          <cell r="A20">
            <v>2</v>
          </cell>
          <cell r="B20" t="str">
            <v>Труба стальная бесшовная Ду 15х2,8</v>
          </cell>
          <cell r="C20" t="str">
            <v>п.м.</v>
          </cell>
          <cell r="D20">
            <v>12</v>
          </cell>
        </row>
        <row r="21">
          <cell r="A21">
            <v>3</v>
          </cell>
          <cell r="B21" t="str">
            <v>Скорлупа теплоизоляционная фольгированная d вн. 57 мм, толщина изоляции 50 мм</v>
          </cell>
          <cell r="C21" t="str">
            <v>п.м.</v>
          </cell>
          <cell r="D21">
            <v>510</v>
          </cell>
        </row>
        <row r="22">
          <cell r="A22">
            <v>4</v>
          </cell>
          <cell r="B22" t="str">
            <v>Отвод крутоизогнутый цельнотянутый 90° ГОСТ 17375-2001</v>
          </cell>
          <cell r="C22" t="str">
            <v>шт</v>
          </cell>
          <cell r="D22">
            <v>52</v>
          </cell>
        </row>
        <row r="23">
          <cell r="A23">
            <v>5</v>
          </cell>
          <cell r="B23" t="str">
            <v>Кран шаровой Ду 15 вн-вн PN16 рычаг</v>
          </cell>
          <cell r="C23" t="str">
            <v>шт</v>
          </cell>
          <cell r="D23">
            <v>8</v>
          </cell>
        </row>
        <row r="24">
          <cell r="A24">
            <v>6</v>
          </cell>
          <cell r="B24" t="str">
            <v>Резьба приварная Ду 15 (под трубу наружным диаметром 22 мм) из стали 09Г2С</v>
          </cell>
          <cell r="C24" t="str">
            <v>шт</v>
          </cell>
          <cell r="D24">
            <v>8</v>
          </cell>
        </row>
        <row r="25">
          <cell r="A25">
            <v>7</v>
          </cell>
          <cell r="B25" t="str">
            <v>Задвижка клиновая фланцевая 30лс41нж DN 50 PN 16 (выдвижной шпиндель, исполнение ХЛ)</v>
          </cell>
          <cell r="C25" t="str">
            <v>шт</v>
          </cell>
          <cell r="D25">
            <v>4</v>
          </cell>
        </row>
        <row r="26">
          <cell r="A26">
            <v>8</v>
          </cell>
          <cell r="B26" t="str">
            <v>Ответный фланец Ду 50 ГОСТ 33259-2015 тип 11</v>
          </cell>
          <cell r="C26" t="str">
            <v>шт</v>
          </cell>
          <cell r="D26">
            <v>8</v>
          </cell>
        </row>
        <row r="27">
          <cell r="A27">
            <v>9</v>
          </cell>
          <cell r="B27" t="str">
            <v>Переход К-89х4,0-57х4,5-09Г2С ГОСТ 17378-2001</v>
          </cell>
          <cell r="C27" t="str">
            <v>шт</v>
          </cell>
          <cell r="D27">
            <v>2</v>
          </cell>
        </row>
        <row r="28">
          <cell r="A28">
            <v>10</v>
          </cell>
          <cell r="B28" t="str">
            <v>Ответный фланец Ду 80 ГОСТ 33259-2015 тип 11</v>
          </cell>
          <cell r="C28" t="str">
            <v>шт</v>
          </cell>
          <cell r="D28">
            <v>2</v>
          </cell>
        </row>
        <row r="29">
          <cell r="A29">
            <v>11</v>
          </cell>
          <cell r="B29" t="str">
            <v>Воздухоотводчик автоматический Ду 15 (с наружной резьбой)</v>
          </cell>
          <cell r="C29" t="str">
            <v>шт</v>
          </cell>
          <cell r="D29">
            <v>3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3">
          <cell r="A3" t="str">
            <v>220416632505</v>
          </cell>
        </row>
      </sheetData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7535A-ABEA-4E41-83BF-30A2530BD500}">
  <sheetPr>
    <tabColor rgb="FF00B050"/>
    <pageSetUpPr fitToPage="1"/>
  </sheetPr>
  <dimension ref="A1:Q44"/>
  <sheetViews>
    <sheetView tabSelected="1" view="pageBreakPreview" topLeftCell="A9" zoomScale="70" zoomScaleNormal="100" zoomScaleSheetLayoutView="70" workbookViewId="0">
      <selection activeCell="Z11" sqref="Z11"/>
    </sheetView>
  </sheetViews>
  <sheetFormatPr defaultColWidth="9.140625" defaultRowHeight="15.75" outlineLevelRow="1" outlineLevelCol="1" x14ac:dyDescent="0.25"/>
  <cols>
    <col min="1" max="1" width="5.7109375" style="1" customWidth="1"/>
    <col min="2" max="2" width="22.7109375" style="1" customWidth="1"/>
    <col min="3" max="3" width="9.28515625" style="1" customWidth="1"/>
    <col min="4" max="4" width="8.5703125" style="1" customWidth="1"/>
    <col min="5" max="11" width="15" style="1" customWidth="1"/>
    <col min="12" max="12" width="17.5703125" style="1" hidden="1" customWidth="1" outlineLevel="1"/>
    <col min="13" max="13" width="15.5703125" style="1" customWidth="1" collapsed="1"/>
    <col min="14" max="14" width="12.85546875" style="1" customWidth="1"/>
    <col min="15" max="15" width="12.7109375" style="1" customWidth="1"/>
    <col min="16" max="16" width="18.5703125" style="1" customWidth="1"/>
    <col min="17" max="17" width="16.5703125" style="1" customWidth="1"/>
    <col min="18" max="1014" width="8.7109375" style="1" customWidth="1"/>
    <col min="1015" max="16384" width="9.140625" style="1"/>
  </cols>
  <sheetData>
    <row r="1" spans="1:17" ht="18.75" hidden="1" outlineLevel="1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17" ht="18.75" hidden="1" outlineLevel="1" x14ac:dyDescent="0.3">
      <c r="C2" s="2"/>
      <c r="D2" s="2"/>
      <c r="Q2" s="3" t="s">
        <v>1</v>
      </c>
    </row>
    <row r="3" spans="1:17" ht="18.75" collapsed="1" x14ac:dyDescent="0.25">
      <c r="A3" s="22" t="s">
        <v>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</row>
    <row r="4" spans="1:17" ht="18.75" x14ac:dyDescent="0.25">
      <c r="A4" s="23" t="s">
        <v>3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</row>
    <row r="5" spans="1:17" ht="15.75" customHeight="1" x14ac:dyDescent="0.25">
      <c r="A5" s="4"/>
    </row>
    <row r="6" spans="1:17" ht="38.25" customHeight="1" x14ac:dyDescent="0.25">
      <c r="A6" s="19" t="s">
        <v>4</v>
      </c>
      <c r="B6" s="19"/>
      <c r="C6" s="19"/>
      <c r="D6" s="19"/>
      <c r="E6" s="19"/>
      <c r="F6" s="19" t="str">
        <f>[1]ЗАКУПКА!C66</f>
        <v>Поставка труб и трубопроводной арматуры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</row>
    <row r="7" spans="1:17" ht="26.25" customHeight="1" x14ac:dyDescent="0.25">
      <c r="A7" s="19" t="s">
        <v>5</v>
      </c>
      <c r="B7" s="19"/>
      <c r="C7" s="19"/>
      <c r="D7" s="19"/>
      <c r="E7" s="19"/>
      <c r="F7" s="19" t="str">
        <f>[1]ЗАКУПКА!C67</f>
        <v xml:space="preserve">метод сопоставимых рыночных цен (анализа рынка) 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</row>
    <row r="8" spans="1:17" ht="36.6" customHeight="1" x14ac:dyDescent="0.25">
      <c r="A8" s="19" t="s">
        <v>6</v>
      </c>
      <c r="B8" s="19"/>
      <c r="C8" s="19"/>
      <c r="D8" s="19"/>
      <c r="E8" s="19"/>
      <c r="F8" s="19" t="str">
        <f>[1]ЗАКУПКА!C68</f>
        <v>в течение 30 календарных дней с даты заключения договора</v>
      </c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</row>
    <row r="9" spans="1:17" ht="40.5" customHeight="1" x14ac:dyDescent="0.25">
      <c r="A9" s="19" t="s">
        <v>7</v>
      </c>
      <c r="B9" s="19"/>
      <c r="C9" s="19"/>
      <c r="D9" s="19"/>
      <c r="E9" s="19"/>
      <c r="F9" s="20" t="str">
        <f>[1]ЗАКУПКА!C69</f>
        <v>Запрос исх. №59-6187 от 28.07.2026 направлен по E-mail 28.07.2026 для 30 получателей, поиск ценовой информации в сети интернет от 13.08.2026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40.5" customHeight="1" x14ac:dyDescent="0.25">
      <c r="A10" s="19" t="s">
        <v>8</v>
      </c>
      <c r="B10" s="19"/>
      <c r="C10" s="19"/>
      <c r="D10" s="19"/>
      <c r="E10" s="19"/>
      <c r="F10" s="20" t="str">
        <f>[1]ЗАКУПКА!C70</f>
        <v>Получено 7 КП вх. №59-604, 59-605, 59-606, 59-607, 59-608, 59-609, 59-610 от 13.08.2026 г.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ht="93.75" customHeight="1" x14ac:dyDescent="0.25">
      <c r="A11" s="19" t="s">
        <v>9</v>
      </c>
      <c r="B11" s="19"/>
      <c r="C11" s="19"/>
      <c r="D11" s="19"/>
      <c r="E11" s="19"/>
      <c r="F11" s="20" t="str">
        <f>CONCATENATE(FIXED(ROUNDDOWN(Q30,0),FALSE)," (Девятьсот пятьдесят одна тысяча четыреста девяносто девять) рублей 90 копеек, с учетом НДС 22%")</f>
        <v>951 499 (Девятьсот пятьдесят одна тысяча четыреста девяносто девять) рублей 90 копеек, с учетом НДС 22%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</row>
    <row r="12" spans="1:17" ht="21" customHeight="1" x14ac:dyDescent="0.25">
      <c r="A12" s="19" t="s">
        <v>10</v>
      </c>
      <c r="B12" s="19"/>
      <c r="C12" s="19"/>
      <c r="D12" s="19"/>
      <c r="E12" s="19"/>
      <c r="F12" s="24">
        <f>[1]ЗАКУПКА!B1</f>
        <v>46262</v>
      </c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</row>
    <row r="13" spans="1:17" ht="15" customHeight="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1:17" ht="15" customHeight="1" x14ac:dyDescent="0.25">
      <c r="A14" s="25" t="s">
        <v>11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</row>
    <row r="16" spans="1:17" s="6" customFormat="1" ht="30.75" customHeight="1" x14ac:dyDescent="0.25">
      <c r="A16" s="27" t="s">
        <v>12</v>
      </c>
      <c r="B16" s="27" t="s">
        <v>13</v>
      </c>
      <c r="C16" s="27" t="s">
        <v>14</v>
      </c>
      <c r="D16" s="27" t="s">
        <v>15</v>
      </c>
      <c r="E16" s="28" t="s">
        <v>16</v>
      </c>
      <c r="F16" s="29"/>
      <c r="G16" s="29"/>
      <c r="H16" s="29"/>
      <c r="I16" s="29"/>
      <c r="J16" s="29"/>
      <c r="K16" s="29"/>
      <c r="L16" s="30"/>
      <c r="M16" s="27" t="s">
        <v>17</v>
      </c>
      <c r="N16" s="27" t="s">
        <v>18</v>
      </c>
      <c r="O16" s="27" t="s">
        <v>19</v>
      </c>
      <c r="P16" s="31" t="s">
        <v>20</v>
      </c>
      <c r="Q16" s="27" t="s">
        <v>21</v>
      </c>
    </row>
    <row r="17" spans="1:17" s="6" customFormat="1" ht="128.25" customHeight="1" x14ac:dyDescent="0.25">
      <c r="A17" s="32"/>
      <c r="B17" s="32"/>
      <c r="C17" s="32"/>
      <c r="D17" s="32"/>
      <c r="E17" s="33" t="s">
        <v>22</v>
      </c>
      <c r="F17" s="33" t="s">
        <v>23</v>
      </c>
      <c r="G17" s="33" t="s">
        <v>24</v>
      </c>
      <c r="H17" s="33" t="s">
        <v>25</v>
      </c>
      <c r="I17" s="33" t="s">
        <v>26</v>
      </c>
      <c r="J17" s="33" t="s">
        <v>27</v>
      </c>
      <c r="K17" s="33" t="s">
        <v>28</v>
      </c>
      <c r="L17" s="34" t="s">
        <v>29</v>
      </c>
      <c r="M17" s="32"/>
      <c r="N17" s="32"/>
      <c r="O17" s="32"/>
      <c r="P17" s="35"/>
      <c r="Q17" s="32"/>
    </row>
    <row r="18" spans="1:17" ht="14.25" customHeight="1" x14ac:dyDescent="0.25">
      <c r="A18" s="36">
        <v>1</v>
      </c>
      <c r="B18" s="36">
        <v>2</v>
      </c>
      <c r="C18" s="36">
        <v>3</v>
      </c>
      <c r="D18" s="36">
        <v>4</v>
      </c>
      <c r="E18" s="36">
        <f>D18+1</f>
        <v>5</v>
      </c>
      <c r="F18" s="36">
        <v>6</v>
      </c>
      <c r="G18" s="36">
        <v>7</v>
      </c>
      <c r="H18" s="36">
        <v>8</v>
      </c>
      <c r="I18" s="36">
        <v>9</v>
      </c>
      <c r="J18" s="36">
        <v>10</v>
      </c>
      <c r="K18" s="36">
        <v>11</v>
      </c>
      <c r="L18" s="36">
        <v>12</v>
      </c>
      <c r="M18" s="36">
        <v>13</v>
      </c>
      <c r="N18" s="36">
        <v>14</v>
      </c>
      <c r="O18" s="36">
        <v>15</v>
      </c>
      <c r="P18" s="36">
        <v>16</v>
      </c>
      <c r="Q18" s="36">
        <v>17</v>
      </c>
    </row>
    <row r="19" spans="1:17" ht="31.5" x14ac:dyDescent="0.25">
      <c r="A19" s="36">
        <f>[1]ТЗ!A19</f>
        <v>1</v>
      </c>
      <c r="B19" s="37" t="str">
        <f>[1]ТЗ!B19</f>
        <v>Труба стальная бесшовная Ду 50х4,5</v>
      </c>
      <c r="C19" s="36" t="str">
        <f>[1]ТЗ!C19</f>
        <v>п.м.</v>
      </c>
      <c r="D19" s="38">
        <f>[1]ТЗ!D19</f>
        <v>510</v>
      </c>
      <c r="E19" s="39">
        <f>747150/D19</f>
        <v>1465</v>
      </c>
      <c r="F19" s="39">
        <f>718335/D19</f>
        <v>1408.5</v>
      </c>
      <c r="G19" s="40">
        <f>1106557.3/D19</f>
        <v>2169.7201960784314</v>
      </c>
      <c r="H19" s="39"/>
      <c r="I19" s="39"/>
      <c r="J19" s="39"/>
      <c r="K19" s="39">
        <f>563193/D19</f>
        <v>1104.3</v>
      </c>
      <c r="L19" s="41"/>
      <c r="M19" s="39">
        <f>IFERROR(ROUND(AVERAGEIF(E19:K19,"&gt;0"),2),"")</f>
        <v>1536.88</v>
      </c>
      <c r="N19" s="42">
        <f>IFERROR(_xlfn.STDEV.P($E19:$K19),"")</f>
        <v>390.27564905223596</v>
      </c>
      <c r="O19" s="42">
        <f>IFERROR(N19/M19,"")</f>
        <v>0.2539402224326141</v>
      </c>
      <c r="P19" s="42">
        <f>IF(O19&lt;0.06,M19,IF(O19&gt;0.32,#REF!,MIN(E19:K19)))</f>
        <v>1104.3</v>
      </c>
      <c r="Q19" s="42">
        <f t="shared" ref="Q19:Q29" si="0">IFERROR(P19*D19,"")</f>
        <v>563193</v>
      </c>
    </row>
    <row r="20" spans="1:17" ht="31.5" x14ac:dyDescent="0.25">
      <c r="A20" s="36">
        <f>[1]ТЗ!A20</f>
        <v>2</v>
      </c>
      <c r="B20" s="37" t="str">
        <f>[1]ТЗ!B20</f>
        <v>Труба стальная бесшовная Ду 15х2,8</v>
      </c>
      <c r="C20" s="36" t="str">
        <f>[1]ТЗ!C20</f>
        <v>п.м.</v>
      </c>
      <c r="D20" s="38">
        <f>[1]ТЗ!D20</f>
        <v>12</v>
      </c>
      <c r="E20" s="40">
        <f>4932/D20</f>
        <v>411</v>
      </c>
      <c r="F20" s="41"/>
      <c r="G20" s="41"/>
      <c r="H20" s="39"/>
      <c r="I20" s="39"/>
      <c r="J20" s="39">
        <v>252</v>
      </c>
      <c r="K20" s="41"/>
      <c r="L20" s="41"/>
      <c r="M20" s="39">
        <f t="shared" ref="M20:M29" si="1">IFERROR(ROUND(AVERAGEIF(E20:K20,"&gt;0"),2),"")</f>
        <v>331.5</v>
      </c>
      <c r="N20" s="42">
        <f t="shared" ref="N20:N29" si="2">IFERROR(_xlfn.STDEV.P($E20:$K20),"")</f>
        <v>79.5</v>
      </c>
      <c r="O20" s="42">
        <f t="shared" ref="O20:O29" si="3">IFERROR(N20/M20,"")</f>
        <v>0.23981900452488689</v>
      </c>
      <c r="P20" s="42">
        <f>IF(O20&lt;0.06,M20,IF(O20&gt;0.32,#REF!,MIN(E20:K20)))</f>
        <v>252</v>
      </c>
      <c r="Q20" s="42">
        <f t="shared" si="0"/>
        <v>3024</v>
      </c>
    </row>
    <row r="21" spans="1:17" ht="78.75" x14ac:dyDescent="0.25">
      <c r="A21" s="36">
        <f>[1]ТЗ!A21</f>
        <v>3</v>
      </c>
      <c r="B21" s="37" t="str">
        <f>[1]ТЗ!B21</f>
        <v>Скорлупа теплоизоляционная фольгированная d вн. 57 мм, толщина изоляции 50 мм</v>
      </c>
      <c r="C21" s="36" t="str">
        <f>[1]ТЗ!C21</f>
        <v>п.м.</v>
      </c>
      <c r="D21" s="38">
        <f>[1]ТЗ!D21</f>
        <v>510</v>
      </c>
      <c r="E21" s="39">
        <f>541620/D21</f>
        <v>1062</v>
      </c>
      <c r="F21" s="39">
        <f>461295/D21</f>
        <v>904.5</v>
      </c>
      <c r="G21" s="39">
        <f>376229.51/D21</f>
        <v>737.70492156862747</v>
      </c>
      <c r="H21" s="39">
        <f>400350/D21</f>
        <v>785</v>
      </c>
      <c r="I21" s="41">
        <v>884</v>
      </c>
      <c r="J21" s="39"/>
      <c r="K21" s="39">
        <f>350064/D21</f>
        <v>686.4</v>
      </c>
      <c r="L21" s="41"/>
      <c r="M21" s="39">
        <f t="shared" si="1"/>
        <v>843.27</v>
      </c>
      <c r="N21" s="42">
        <f t="shared" si="2"/>
        <v>124.09568502190086</v>
      </c>
      <c r="O21" s="42">
        <f t="shared" si="3"/>
        <v>0.14716008517070556</v>
      </c>
      <c r="P21" s="42">
        <f>IF(O21&lt;0.06,M21,IF(O21&gt;0.32,#REF!,MIN(E21:K21)))</f>
        <v>686.4</v>
      </c>
      <c r="Q21" s="42">
        <f t="shared" si="0"/>
        <v>350064</v>
      </c>
    </row>
    <row r="22" spans="1:17" ht="63" x14ac:dyDescent="0.25">
      <c r="A22" s="36">
        <f>[1]ТЗ!A22</f>
        <v>4</v>
      </c>
      <c r="B22" s="37" t="str">
        <f>[1]ТЗ!B22</f>
        <v>Отвод крутоизогнутый цельнотянутый 90° ГОСТ 17375-2001</v>
      </c>
      <c r="C22" s="36" t="str">
        <f>[1]ТЗ!C22</f>
        <v>шт</v>
      </c>
      <c r="D22" s="38">
        <f>[1]ТЗ!D22</f>
        <v>52</v>
      </c>
      <c r="E22" s="39">
        <f>12792/D22</f>
        <v>246</v>
      </c>
      <c r="F22" s="41"/>
      <c r="G22" s="39">
        <f>19180.33/D22</f>
        <v>368.85250000000002</v>
      </c>
      <c r="H22" s="39">
        <f>22048/D22</f>
        <v>424</v>
      </c>
      <c r="I22" s="41">
        <v>218</v>
      </c>
      <c r="J22" s="39"/>
      <c r="K22" s="39"/>
      <c r="L22" s="41"/>
      <c r="M22" s="39">
        <f t="shared" si="1"/>
        <v>314.20999999999998</v>
      </c>
      <c r="N22" s="42">
        <f t="shared" si="2"/>
        <v>85.071462705168528</v>
      </c>
      <c r="O22" s="42">
        <f t="shared" si="3"/>
        <v>0.27074715223948487</v>
      </c>
      <c r="P22" s="42">
        <f>IF(O22&lt;0.06,M22,IF(O22&gt;0.32,#REF!,MIN(E22:K22)))</f>
        <v>218</v>
      </c>
      <c r="Q22" s="42">
        <f t="shared" si="0"/>
        <v>11336</v>
      </c>
    </row>
    <row r="23" spans="1:17" ht="31.5" x14ac:dyDescent="0.25">
      <c r="A23" s="36">
        <f>[1]ТЗ!A23</f>
        <v>5</v>
      </c>
      <c r="B23" s="37" t="str">
        <f>[1]ТЗ!B23</f>
        <v>Кран шаровой Ду 15 вн-вн PN16 рычаг</v>
      </c>
      <c r="C23" s="36" t="str">
        <f>[1]ТЗ!C23</f>
        <v>шт</v>
      </c>
      <c r="D23" s="38">
        <f>[1]ТЗ!D23</f>
        <v>8</v>
      </c>
      <c r="E23" s="39">
        <f>2568/D23</f>
        <v>321</v>
      </c>
      <c r="F23" s="39">
        <f>2148/D23</f>
        <v>268.5</v>
      </c>
      <c r="G23" s="39">
        <f>2950.82/D23</f>
        <v>368.85250000000002</v>
      </c>
      <c r="H23" s="39">
        <f>3760/D23</f>
        <v>470</v>
      </c>
      <c r="I23" s="39">
        <f>3184/D23</f>
        <v>398</v>
      </c>
      <c r="J23" s="39"/>
      <c r="K23" s="39">
        <f>2704/D23</f>
        <v>338</v>
      </c>
      <c r="L23" s="41"/>
      <c r="M23" s="39">
        <f t="shared" si="1"/>
        <v>360.73</v>
      </c>
      <c r="N23" s="42">
        <f t="shared" si="2"/>
        <v>63.240887855100461</v>
      </c>
      <c r="O23" s="42">
        <f t="shared" si="3"/>
        <v>0.17531363583594506</v>
      </c>
      <c r="P23" s="42">
        <f>IF(O23&lt;0.06,M23,IF(O23&gt;0.32,#REF!,MIN(E23:K23)))</f>
        <v>268.5</v>
      </c>
      <c r="Q23" s="42">
        <f t="shared" si="0"/>
        <v>2148</v>
      </c>
    </row>
    <row r="24" spans="1:17" ht="78.75" x14ac:dyDescent="0.25">
      <c r="A24" s="36">
        <f>[1]ТЗ!A24</f>
        <v>6</v>
      </c>
      <c r="B24" s="37" t="str">
        <f>[1]ТЗ!B24</f>
        <v>Резьба приварная Ду 15 (под трубу наружным диаметром 22 мм) из стали 09Г2С</v>
      </c>
      <c r="C24" s="36" t="str">
        <f>[1]ТЗ!C24</f>
        <v>шт</v>
      </c>
      <c r="D24" s="38">
        <f>[1]ТЗ!D24</f>
        <v>8</v>
      </c>
      <c r="E24" s="39">
        <f>192/D24</f>
        <v>24</v>
      </c>
      <c r="F24" s="39">
        <f>144/D24</f>
        <v>18</v>
      </c>
      <c r="G24" s="41"/>
      <c r="H24" s="41"/>
      <c r="I24" s="39">
        <f>184/D24</f>
        <v>23</v>
      </c>
      <c r="J24" s="39"/>
      <c r="K24" s="41"/>
      <c r="L24" s="41"/>
      <c r="M24" s="39">
        <f t="shared" si="1"/>
        <v>21.67</v>
      </c>
      <c r="N24" s="42">
        <f t="shared" si="2"/>
        <v>2.6246692913372702</v>
      </c>
      <c r="O24" s="42">
        <f t="shared" si="3"/>
        <v>0.12111994883882188</v>
      </c>
      <c r="P24" s="42">
        <f>IF(O24&lt;0.06,M24,IF(O24&gt;0.32,#REF!,MIN(E24:K24)))</f>
        <v>18</v>
      </c>
      <c r="Q24" s="42">
        <f t="shared" si="0"/>
        <v>144</v>
      </c>
    </row>
    <row r="25" spans="1:17" ht="94.5" x14ac:dyDescent="0.25">
      <c r="A25" s="36">
        <f>[1]ТЗ!A25</f>
        <v>7</v>
      </c>
      <c r="B25" s="37" t="str">
        <f>[1]ТЗ!B25</f>
        <v>Задвижка клиновая фланцевая 30лс41нж DN 50 PN 16 (выдвижной шпиндель, исполнение ХЛ)</v>
      </c>
      <c r="C25" s="36" t="str">
        <f>[1]ТЗ!C25</f>
        <v>шт</v>
      </c>
      <c r="D25" s="38">
        <f>[1]ТЗ!D25</f>
        <v>4</v>
      </c>
      <c r="E25" s="41">
        <f>13048/4</f>
        <v>3262</v>
      </c>
      <c r="F25" s="39">
        <f>24168/D25</f>
        <v>6042</v>
      </c>
      <c r="G25" s="41"/>
      <c r="H25" s="39"/>
      <c r="I25" s="39">
        <f>25220/D25</f>
        <v>6305</v>
      </c>
      <c r="J25" s="39"/>
      <c r="K25" s="41"/>
      <c r="L25" s="41"/>
      <c r="M25" s="39">
        <f t="shared" si="1"/>
        <v>5203</v>
      </c>
      <c r="N25" s="42">
        <f t="shared" si="2"/>
        <v>1376.6875704627637</v>
      </c>
      <c r="O25" s="42">
        <f t="shared" si="3"/>
        <v>0.26459495876662764</v>
      </c>
      <c r="P25" s="42">
        <f>IF(O25&lt;0.06,M25,IF(O25&gt;0.32,#REF!,MIN(E25:K25)))</f>
        <v>3262</v>
      </c>
      <c r="Q25" s="42">
        <f t="shared" si="0"/>
        <v>13048</v>
      </c>
    </row>
    <row r="26" spans="1:17" ht="47.25" x14ac:dyDescent="0.25">
      <c r="A26" s="36">
        <f>[1]ТЗ!A26</f>
        <v>8</v>
      </c>
      <c r="B26" s="37" t="str">
        <f>[1]ТЗ!B26</f>
        <v>Ответный фланец Ду 50 ГОСТ 33259-2015 тип 11</v>
      </c>
      <c r="C26" s="36" t="str">
        <f>[1]ТЗ!C26</f>
        <v>шт</v>
      </c>
      <c r="D26" s="38">
        <f>[1]ТЗ!D26</f>
        <v>8</v>
      </c>
      <c r="E26" s="41"/>
      <c r="F26" s="39">
        <f>7884/D26</f>
        <v>985.5</v>
      </c>
      <c r="G26" s="39">
        <f>8852.46/D26</f>
        <v>1106.5574999999999</v>
      </c>
      <c r="H26" s="39"/>
      <c r="I26" s="39">
        <f>3504/D26</f>
        <v>438</v>
      </c>
      <c r="J26" s="39"/>
      <c r="K26" s="39">
        <f>8528/D26</f>
        <v>1066</v>
      </c>
      <c r="L26" s="41"/>
      <c r="M26" s="39">
        <f t="shared" si="1"/>
        <v>899.01</v>
      </c>
      <c r="N26" s="42">
        <f t="shared" si="2"/>
        <v>269.70927170737343</v>
      </c>
      <c r="O26" s="42">
        <f t="shared" si="3"/>
        <v>0.30000697623760963</v>
      </c>
      <c r="P26" s="42">
        <f>IF(O26&lt;0.06,M26,IF(O26&gt;0.32,#REF!,MIN(E26:K26)))</f>
        <v>438</v>
      </c>
      <c r="Q26" s="42">
        <f t="shared" si="0"/>
        <v>3504</v>
      </c>
    </row>
    <row r="27" spans="1:17" ht="47.25" x14ac:dyDescent="0.25">
      <c r="A27" s="36">
        <f>[1]ТЗ!A27</f>
        <v>9</v>
      </c>
      <c r="B27" s="37" t="str">
        <f>[1]ТЗ!B27</f>
        <v>Переход К-89х4,0-57х4,5-09Г2С ГОСТ 17378-2001</v>
      </c>
      <c r="C27" s="36" t="str">
        <f>[1]ТЗ!C27</f>
        <v>шт</v>
      </c>
      <c r="D27" s="38">
        <f>[1]ТЗ!D27</f>
        <v>2</v>
      </c>
      <c r="E27" s="39">
        <f>1140/D27</f>
        <v>570</v>
      </c>
      <c r="F27" s="39">
        <f>580.5/D27</f>
        <v>290.25</v>
      </c>
      <c r="G27" s="41"/>
      <c r="H27" s="41"/>
      <c r="I27" s="41"/>
      <c r="J27" s="39">
        <v>469</v>
      </c>
      <c r="K27" s="39">
        <f>936/D27</f>
        <v>468</v>
      </c>
      <c r="L27" s="41"/>
      <c r="M27" s="39">
        <f t="shared" si="1"/>
        <v>449.31</v>
      </c>
      <c r="N27" s="42">
        <f t="shared" si="2"/>
        <v>100.75114375901646</v>
      </c>
      <c r="O27" s="42">
        <f t="shared" si="3"/>
        <v>0.22423525797114788</v>
      </c>
      <c r="P27" s="42">
        <f>IF(O27&lt;0.06,M27,IF(O27&gt;0.32,#REF!,MIN(E27:K27)))</f>
        <v>290.25</v>
      </c>
      <c r="Q27" s="42">
        <f t="shared" si="0"/>
        <v>580.5</v>
      </c>
    </row>
    <row r="28" spans="1:17" ht="47.25" x14ac:dyDescent="0.25">
      <c r="A28" s="36">
        <f>[1]ТЗ!A28</f>
        <v>10</v>
      </c>
      <c r="B28" s="37" t="str">
        <f>[1]ТЗ!B28</f>
        <v>Ответный фланец Ду 80 ГОСТ 33259-2015 тип 11</v>
      </c>
      <c r="C28" s="36" t="str">
        <f>[1]ТЗ!C28</f>
        <v>шт</v>
      </c>
      <c r="D28" s="38">
        <f>[1]ТЗ!D28</f>
        <v>2</v>
      </c>
      <c r="E28" s="39">
        <f>1888/D28</f>
        <v>944</v>
      </c>
      <c r="F28" s="39">
        <f>3375/D28</f>
        <v>1687.5</v>
      </c>
      <c r="G28" s="39"/>
      <c r="H28" s="39"/>
      <c r="I28" s="41"/>
      <c r="J28" s="39"/>
      <c r="K28" s="39">
        <f>2943.2/D28</f>
        <v>1471.6</v>
      </c>
      <c r="L28" s="41"/>
      <c r="M28" s="39">
        <f t="shared" si="1"/>
        <v>1367.7</v>
      </c>
      <c r="N28" s="42">
        <f t="shared" si="2"/>
        <v>312.29736897173228</v>
      </c>
      <c r="O28" s="42">
        <f t="shared" si="3"/>
        <v>0.22833762445838435</v>
      </c>
      <c r="P28" s="42">
        <f>IF(O28&lt;0.06,M28,IF(O28&gt;0.32,#REF!,MIN(E28:K28)))</f>
        <v>944</v>
      </c>
      <c r="Q28" s="42">
        <f t="shared" si="0"/>
        <v>1888</v>
      </c>
    </row>
    <row r="29" spans="1:17" ht="63" x14ac:dyDescent="0.25">
      <c r="A29" s="36">
        <f>[1]ТЗ!A29</f>
        <v>11</v>
      </c>
      <c r="B29" s="37" t="str">
        <f>[1]ТЗ!B29</f>
        <v>Воздухоотводчик автоматический Ду 15 (с наружной резьбой)</v>
      </c>
      <c r="C29" s="36" t="str">
        <f>[1]ТЗ!C29</f>
        <v>шт</v>
      </c>
      <c r="D29" s="38">
        <f>[1]ТЗ!D29</f>
        <v>3</v>
      </c>
      <c r="E29" s="39">
        <f>3810/D29</f>
        <v>1270</v>
      </c>
      <c r="F29" s="39">
        <f>2570.4/D29</f>
        <v>856.80000000000007</v>
      </c>
      <c r="G29" s="39">
        <f>4426.23/D29</f>
        <v>1475.4099999999999</v>
      </c>
      <c r="H29" s="41"/>
      <c r="I29" s="41"/>
      <c r="J29" s="39"/>
      <c r="K29" s="39">
        <f>3237/D29</f>
        <v>1079</v>
      </c>
      <c r="L29" s="41"/>
      <c r="M29" s="39">
        <f t="shared" si="1"/>
        <v>1170.3</v>
      </c>
      <c r="N29" s="42">
        <f t="shared" si="2"/>
        <v>228.93784204178621</v>
      </c>
      <c r="O29" s="42">
        <f t="shared" si="3"/>
        <v>0.19562320946918416</v>
      </c>
      <c r="P29" s="42">
        <f>IF(O29&lt;0.06,M29,IF(O29&gt;0.32,#REF!,MIN(E29:K29)))</f>
        <v>856.80000000000007</v>
      </c>
      <c r="Q29" s="42">
        <f t="shared" si="0"/>
        <v>2570.4</v>
      </c>
    </row>
    <row r="30" spans="1:17" s="8" customFormat="1" ht="48" customHeight="1" x14ac:dyDescent="0.25">
      <c r="A30" s="43"/>
      <c r="B30" s="44" t="s">
        <v>30</v>
      </c>
      <c r="C30" s="45" t="s">
        <v>31</v>
      </c>
      <c r="D30" s="45" t="s">
        <v>31</v>
      </c>
      <c r="E30" s="46">
        <f>IFERROR(SUMPRODUCT($D$19:$D$29,E19:E29),"Х")</f>
        <v>1329140</v>
      </c>
      <c r="F30" s="46">
        <f t="shared" ref="F30:K30" si="4">IFERROR(SUMPRODUCT($D$19:$D$29,F19:F29),"Х")</f>
        <v>1220499.8999999999</v>
      </c>
      <c r="G30" s="46">
        <f t="shared" si="4"/>
        <v>1518196.6500000001</v>
      </c>
      <c r="H30" s="46">
        <f t="shared" si="4"/>
        <v>426158</v>
      </c>
      <c r="I30" s="46">
        <f t="shared" si="4"/>
        <v>494268</v>
      </c>
      <c r="J30" s="46">
        <f t="shared" si="4"/>
        <v>3962</v>
      </c>
      <c r="K30" s="46">
        <f t="shared" si="4"/>
        <v>931605.2</v>
      </c>
      <c r="L30" s="39" t="str">
        <f>IFERROR(SUMPRODUCT($D$19:$D$19,L19:L19),"Х")</f>
        <v>Х</v>
      </c>
      <c r="M30" s="39">
        <f>IFERROR(ROUND(AVERAGEIF(E30:K30,"&gt;0"),2),"")</f>
        <v>846261.39</v>
      </c>
      <c r="N30" s="42">
        <f>_xlfn.STDEV.P($E30:$K30)</f>
        <v>512955.19731770112</v>
      </c>
      <c r="O30" s="45" t="s">
        <v>32</v>
      </c>
      <c r="P30" s="45" t="s">
        <v>32</v>
      </c>
      <c r="Q30" s="7">
        <f>SUM(Q19:Q29)</f>
        <v>951499.9</v>
      </c>
    </row>
    <row r="31" spans="1:17" ht="31.5" x14ac:dyDescent="0.25">
      <c r="A31" s="47"/>
      <c r="B31" s="48" t="s">
        <v>33</v>
      </c>
      <c r="C31" s="49"/>
      <c r="D31" s="49"/>
      <c r="E31" s="9">
        <v>46247</v>
      </c>
      <c r="F31" s="9">
        <v>46247</v>
      </c>
      <c r="G31" s="9">
        <v>46247</v>
      </c>
      <c r="H31" s="9">
        <v>46247</v>
      </c>
      <c r="I31" s="9">
        <v>46247</v>
      </c>
      <c r="J31" s="9">
        <v>46247</v>
      </c>
      <c r="K31" s="9">
        <v>46247</v>
      </c>
      <c r="L31" s="49"/>
      <c r="M31" s="49"/>
      <c r="N31" s="50"/>
      <c r="O31" s="51"/>
      <c r="P31" s="51"/>
      <c r="Q31" s="50"/>
    </row>
    <row r="32" spans="1:17" ht="130.5" customHeight="1" x14ac:dyDescent="0.25">
      <c r="A32" s="52"/>
      <c r="B32" s="53" t="s">
        <v>35</v>
      </c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</row>
    <row r="33" spans="1:17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</row>
    <row r="34" spans="1:17" ht="18.75" x14ac:dyDescent="0.3">
      <c r="B34" s="11" t="str">
        <f>[1]ЗАКУПКА!C4</f>
        <v>Ведущий инженер</v>
      </c>
      <c r="C34" s="2"/>
      <c r="D34" s="2"/>
      <c r="E34" s="2"/>
      <c r="F34" s="2"/>
      <c r="G34" s="2"/>
      <c r="H34" s="2"/>
      <c r="I34" s="2"/>
      <c r="J34" s="2"/>
      <c r="K34" s="2"/>
      <c r="L34" s="12"/>
      <c r="M34" s="12"/>
      <c r="N34" s="13"/>
      <c r="O34" s="14" t="str">
        <f>[1]ЗАКУПКА!D4</f>
        <v>Трубникова Е.В.</v>
      </c>
      <c r="P34" s="6"/>
    </row>
    <row r="35" spans="1:17" ht="33.75" customHeight="1" x14ac:dyDescent="0.3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7" ht="18.75" x14ac:dyDescent="0.3">
      <c r="B36" s="15" t="str">
        <f>[1]ЗАКУПКА!C77</f>
        <v>Ведущий инженер Воропаев Р.В.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7" ht="18.75" x14ac:dyDescent="0.3">
      <c r="B37" s="16" t="str">
        <f>[1]ЗАКУПКА!C78</f>
        <v>60-25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7" ht="18.75" x14ac:dyDescent="0.3">
      <c r="B38" s="17" t="s">
        <v>34</v>
      </c>
      <c r="C38" s="26">
        <f>[1]ЗАКУПКА!B1</f>
        <v>46262</v>
      </c>
      <c r="D38" s="26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7" ht="18.75" x14ac:dyDescent="0.3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7" ht="15.75" customHeight="1" x14ac:dyDescent="0.25"/>
    <row r="44" spans="1:17" x14ac:dyDescent="0.25">
      <c r="Q44" s="18"/>
    </row>
  </sheetData>
  <mergeCells count="30">
    <mergeCell ref="M16:M17"/>
    <mergeCell ref="N16:N17"/>
    <mergeCell ref="O16:O17"/>
    <mergeCell ref="P16:P17"/>
    <mergeCell ref="Q16:Q17"/>
    <mergeCell ref="C38:D38"/>
    <mergeCell ref="A16:A17"/>
    <mergeCell ref="B16:B17"/>
    <mergeCell ref="C16:C17"/>
    <mergeCell ref="D16:D17"/>
    <mergeCell ref="E16:L16"/>
    <mergeCell ref="B32:Q32"/>
    <mergeCell ref="A11:E11"/>
    <mergeCell ref="F11:Q11"/>
    <mergeCell ref="A12:E12"/>
    <mergeCell ref="F12:Q12"/>
    <mergeCell ref="A14:Q14"/>
    <mergeCell ref="A10:E10"/>
    <mergeCell ref="F10:Q10"/>
    <mergeCell ref="A1:Q1"/>
    <mergeCell ref="A3:Q3"/>
    <mergeCell ref="A4:Q4"/>
    <mergeCell ref="A6:E6"/>
    <mergeCell ref="F6:Q6"/>
    <mergeCell ref="A7:E7"/>
    <mergeCell ref="F7:Q7"/>
    <mergeCell ref="A8:E8"/>
    <mergeCell ref="F8:Q8"/>
    <mergeCell ref="A9:E9"/>
    <mergeCell ref="F9:Q9"/>
  </mergeCells>
  <pageMargins left="0.59" right="0.24" top="0.6" bottom="0.75" header="0.51180555555555496" footer="0.51180555555555496"/>
  <pageSetup paperSize="9" scale="41" firstPageNumber="0" fitToHeight="0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 (все цены) (2)</vt:lpstr>
      <vt:lpstr>'НМЦ (все цены)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 Кошкина</dc:creator>
  <cp:lastModifiedBy>oz-07</cp:lastModifiedBy>
  <dcterms:created xsi:type="dcterms:W3CDTF">2026-08-28T06:55:52Z</dcterms:created>
  <dcterms:modified xsi:type="dcterms:W3CDTF">2026-09-11T09:34:18Z</dcterms:modified>
</cp:coreProperties>
</file>