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030" yWindow="1230" windowWidth="22845" windowHeight="10110"/>
  </bookViews>
  <sheets>
    <sheet name="Лист2" sheetId="27" r:id="rId1"/>
  </sheets>
  <calcPr calcId="145621"/>
</workbook>
</file>

<file path=xl/calcChain.xml><?xml version="1.0" encoding="utf-8"?>
<calcChain xmlns="http://schemas.openxmlformats.org/spreadsheetml/2006/main">
  <c r="F8" i="27" l="1"/>
  <c r="N11" i="27"/>
  <c r="E8" i="27"/>
  <c r="I9" i="27"/>
  <c r="I10" i="27"/>
  <c r="I11" i="27"/>
  <c r="O11" i="27"/>
  <c r="M11" i="27"/>
  <c r="K11" i="27"/>
  <c r="H11" i="27"/>
  <c r="J9" i="27"/>
  <c r="J10" i="27"/>
  <c r="J11" i="27"/>
  <c r="G11" i="27"/>
  <c r="H9" i="27"/>
  <c r="G9" i="27"/>
  <c r="H10" i="27"/>
  <c r="G10" i="27"/>
  <c r="F11" i="27" l="1"/>
  <c r="K9" i="27"/>
  <c r="E10" i="27"/>
  <c r="G8" i="27" l="1"/>
  <c r="H8" i="27"/>
  <c r="F9" i="27"/>
  <c r="M9" i="27"/>
  <c r="N9" i="27" s="1"/>
  <c r="O9" i="27" s="1"/>
  <c r="F10" i="27"/>
  <c r="E11" i="27"/>
  <c r="E9" i="27"/>
  <c r="M10" i="27" l="1"/>
  <c r="N10" i="27" s="1"/>
  <c r="M8" i="27"/>
  <c r="N8" i="27" s="1"/>
  <c r="K10" i="27" l="1"/>
  <c r="O10" i="27"/>
  <c r="J8" i="27" l="1"/>
  <c r="I8" i="27"/>
  <c r="K8" i="27" s="1"/>
  <c r="O8" i="27" l="1"/>
</calcChain>
</file>

<file path=xl/sharedStrings.xml><?xml version="1.0" encoding="utf-8"?>
<sst xmlns="http://schemas.openxmlformats.org/spreadsheetml/2006/main" count="39" uniqueCount="35">
  <si>
    <t>ОБОСНОВАНИЕ НМЦК</t>
  </si>
  <si>
    <t>Начальная (максимальная) цена контракта определена в соответствии со статьей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Порядком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осуществедении закупок лекарственных препаратов для медицинского применения, утвержденного приказом Минздрава России от 19.12.2019 №1064н.</t>
  </si>
  <si>
    <t>где:</t>
  </si>
  <si>
    <t>n - количество поставляемых лекарственных препаратов;</t>
  </si>
  <si>
    <t>Цi - цена единицы i-го лекарственного препарата &lt;7&gt; с учетом НДС и оптовой надбавки;</t>
  </si>
  <si>
    <t>Vi - объем поставки i-го лекарственного препарата.</t>
  </si>
  <si>
    <t xml:space="preserve">
</t>
  </si>
  <si>
    <t>Используемый метод определения НМЦК: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п.6 ст.22 Федерального закона от 05.04.2013 №44-ФЗ "О контрактной системе в сфере закупок товаров, работ, услуг для обеспечения государственных и муниципальных нужд".</t>
  </si>
  <si>
    <t>№</t>
  </si>
  <si>
    <t>Наименование товара, услуги (работы)</t>
  </si>
  <si>
    <t>ОКПД2/КТРУ</t>
  </si>
  <si>
    <t>Ед. измерения</t>
  </si>
  <si>
    <t>Кол-во</t>
  </si>
  <si>
    <t>Цена без НДС (руб.)</t>
  </si>
  <si>
    <t>Минимальная цена без НДС (руб.)</t>
  </si>
  <si>
    <t xml:space="preserve">НМЦК </t>
  </si>
  <si>
    <t>Сред.знач</t>
  </si>
  <si>
    <t xml:space="preserve">Среднее квадратичное отклонение </t>
  </si>
  <si>
    <t xml:space="preserve">Коэффициент вариации (%)  </t>
  </si>
  <si>
    <t>Минимальная цена с НДС (руб.)</t>
  </si>
  <si>
    <t>мг</t>
  </si>
  <si>
    <t>БУСЕРЕЛИН Лиофилизат для приготовления суспензии для внутримышечного введения с пролонгированным высвобождением 3,75 мг</t>
  </si>
  <si>
    <t>21.20.10.212-000010-1-00046-0000000000000</t>
  </si>
  <si>
    <t>21.20.10.212-000011-1-00075-0000000000000</t>
  </si>
  <si>
    <t>шт</t>
  </si>
  <si>
    <r>
      <t xml:space="preserve">ТАМОКСИФЕН Таблетки или Таблетки, покрытые оболочкой 20 мг или </t>
    </r>
    <r>
      <rPr>
        <b/>
        <sz val="10"/>
        <color theme="1"/>
        <rFont val="XO Thames"/>
        <family val="1"/>
        <charset val="204"/>
      </rPr>
      <t xml:space="preserve">в двойном количестве </t>
    </r>
    <r>
      <rPr>
        <sz val="10"/>
        <color theme="1"/>
        <rFont val="XO Thames"/>
        <family val="1"/>
        <charset val="204"/>
      </rPr>
      <t xml:space="preserve">Таблетки или Таблетки, покрытые оболочкой 10 мг </t>
    </r>
  </si>
  <si>
    <r>
      <t xml:space="preserve">ЦИКЛОФОСФАМИД Порошок для приготовления раствора для внутривенного введения 1000 мг или </t>
    </r>
    <r>
      <rPr>
        <b/>
        <sz val="10"/>
        <color theme="1"/>
        <rFont val="XO Thames"/>
        <family val="1"/>
        <charset val="204"/>
      </rPr>
      <t xml:space="preserve">в двойном количестве </t>
    </r>
    <r>
      <rPr>
        <sz val="10"/>
        <color theme="1"/>
        <rFont val="XO Thames"/>
        <family val="1"/>
        <charset val="204"/>
      </rPr>
      <t>Порошок для приготовления раствора для внутривенного введения 500 мг</t>
    </r>
  </si>
  <si>
    <t>21.20.10.211-000031-1-00029-0000000000000</t>
  </si>
  <si>
    <t>На основании проведенного анализа рынка и расчетов НМЦК составляет: 22773,88 рубля</t>
  </si>
  <si>
    <t>Дата подготовки обоснования НМЦК: 28.08.2026</t>
  </si>
  <si>
    <t>КП 2 вх-1135 от 27.08.26; вх-1103 от 13.08.26</t>
  </si>
  <si>
    <t>КП 1 вх-1134 от 26.08.26; вх-1146 от 28.08.26; вх-1147 от 28.08.26</t>
  </si>
  <si>
    <t>КП 3 вх-1136 от 27.08.26; вх-1104 от 13.08.26; вх-1149 от 28.08.26</t>
  </si>
  <si>
    <t>ЦИКЛОФОСФАМИД Порошок для приготовления раствора для внутривенного и внутримышечного введения 200 мг</t>
  </si>
  <si>
    <t>21.20.10.211-000031-1-00102-0000000000000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</si>
</sst>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XO Thames"/>
      <family val="1"/>
      <charset val="204"/>
    </font>
    <font>
      <sz val="10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  <font>
      <b/>
      <sz val="10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7" xfId="0" applyFont="1" applyBorder="1" applyAlignment="1"/>
    <xf numFmtId="1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169379</xdr:colOff>
      <xdr:row>14</xdr:row>
      <xdr:rowOff>41000</xdr:rowOff>
    </xdr:from>
    <xdr:to>
      <xdr:col>1</xdr:col>
      <xdr:colOff>1762125</xdr:colOff>
      <xdr:row>14</xdr:row>
      <xdr:rowOff>263812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876" t="12682" r="31939" b="14310"/>
        <a:stretch/>
      </xdr:blipFill>
      <xdr:spPr>
        <a:xfrm>
          <a:off x="778979" y="5546450"/>
          <a:ext cx="1592746" cy="222812"/>
        </a:xfrm>
        <a:prstGeom prst="rect">
          <a:avLst/>
        </a:prstGeom>
      </xdr:spPr>
    </xdr:pic>
    <xdr:clientData/>
  </xdr:twoCellAnchor>
  <xdr:twoCellAnchor>
    <xdr:from>
      <xdr:col>9</xdr:col>
      <xdr:colOff>142874</xdr:colOff>
      <xdr:row>6</xdr:row>
      <xdr:rowOff>104776</xdr:rowOff>
    </xdr:from>
    <xdr:to>
      <xdr:col>9</xdr:col>
      <xdr:colOff>1206723</xdr:colOff>
      <xdr:row>6</xdr:row>
      <xdr:rowOff>478368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43924" y="3057526"/>
          <a:ext cx="1063849" cy="3735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114300</xdr:colOff>
      <xdr:row>6</xdr:row>
      <xdr:rowOff>118927</xdr:rowOff>
    </xdr:from>
    <xdr:to>
      <xdr:col>10</xdr:col>
      <xdr:colOff>904875</xdr:colOff>
      <xdr:row>6</xdr:row>
      <xdr:rowOff>472016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848725" y="3071677"/>
          <a:ext cx="790575" cy="353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7"/>
  <sheetViews>
    <sheetView tabSelected="1" topLeftCell="A4" zoomScaleNormal="100" workbookViewId="0">
      <selection activeCell="D11" sqref="D11"/>
    </sheetView>
  </sheetViews>
  <sheetFormatPr defaultRowHeight="15" x14ac:dyDescent="0.25"/>
  <cols>
    <col min="1" max="1" width="6.5703125" customWidth="1"/>
    <col min="2" max="2" width="32.140625" customWidth="1"/>
    <col min="3" max="3" width="14.28515625" customWidth="1"/>
    <col min="4" max="4" width="9.140625" customWidth="1"/>
    <col min="5" max="5" width="12.42578125" customWidth="1"/>
    <col min="6" max="6" width="12.28515625" customWidth="1"/>
    <col min="7" max="7" width="12.42578125" customWidth="1"/>
    <col min="8" max="8" width="13.140625" customWidth="1"/>
    <col min="9" max="9" width="15.140625" customWidth="1"/>
    <col min="10" max="10" width="18.5703125" customWidth="1"/>
    <col min="11" max="11" width="15.7109375" customWidth="1"/>
    <col min="12" max="12" width="9.5703125" hidden="1" customWidth="1"/>
    <col min="13" max="13" width="11.5703125" customWidth="1"/>
    <col min="14" max="14" width="16.5703125" customWidth="1"/>
    <col min="15" max="15" width="11" customWidth="1"/>
  </cols>
  <sheetData>
    <row r="2" spans="1:15" ht="15" customHeight="1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81.75" customHeight="1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ht="20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56.25" customHeight="1" x14ac:dyDescent="0.25">
      <c r="A5" s="16" t="s">
        <v>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</row>
    <row r="6" spans="1:15" ht="88.5" customHeight="1" x14ac:dyDescent="0.25">
      <c r="A6" s="21" t="s">
        <v>8</v>
      </c>
      <c r="B6" s="21" t="s">
        <v>9</v>
      </c>
      <c r="C6" s="21" t="s">
        <v>10</v>
      </c>
      <c r="D6" s="21" t="s">
        <v>11</v>
      </c>
      <c r="E6" s="21" t="s">
        <v>12</v>
      </c>
      <c r="F6" s="13" t="s">
        <v>31</v>
      </c>
      <c r="G6" s="13" t="s">
        <v>30</v>
      </c>
      <c r="H6" s="13" t="s">
        <v>32</v>
      </c>
      <c r="I6" s="22" t="s">
        <v>16</v>
      </c>
      <c r="J6" s="13" t="s">
        <v>17</v>
      </c>
      <c r="K6" s="13" t="s">
        <v>18</v>
      </c>
      <c r="L6" s="13"/>
      <c r="M6" s="21" t="s">
        <v>14</v>
      </c>
      <c r="N6" s="21" t="s">
        <v>19</v>
      </c>
      <c r="O6" s="22" t="s">
        <v>15</v>
      </c>
    </row>
    <row r="7" spans="1:15" ht="46.5" customHeight="1" x14ac:dyDescent="0.25">
      <c r="A7" s="21"/>
      <c r="B7" s="21"/>
      <c r="C7" s="21"/>
      <c r="D7" s="21"/>
      <c r="E7" s="21"/>
      <c r="F7" s="13" t="s">
        <v>13</v>
      </c>
      <c r="G7" s="13" t="s">
        <v>13</v>
      </c>
      <c r="H7" s="13" t="s">
        <v>13</v>
      </c>
      <c r="I7" s="23"/>
      <c r="J7" s="4"/>
      <c r="K7" s="4"/>
      <c r="L7" s="13"/>
      <c r="M7" s="21"/>
      <c r="N7" s="21"/>
      <c r="O7" s="23"/>
    </row>
    <row r="8" spans="1:15" ht="67.5" customHeight="1" x14ac:dyDescent="0.25">
      <c r="A8" s="2">
        <v>1</v>
      </c>
      <c r="B8" s="12" t="s">
        <v>21</v>
      </c>
      <c r="C8" s="12" t="s">
        <v>22</v>
      </c>
      <c r="D8" s="11" t="s">
        <v>20</v>
      </c>
      <c r="E8" s="11">
        <f>4*3.75</f>
        <v>15</v>
      </c>
      <c r="F8" s="9">
        <f>3923.4/3.75/1.1</f>
        <v>951.12727272727261</v>
      </c>
      <c r="G8" s="9">
        <f>4251/3.75/1.1</f>
        <v>1030.5454545454543</v>
      </c>
      <c r="H8" s="9">
        <f>4436/3.75/1.1</f>
        <v>1075.3939393939393</v>
      </c>
      <c r="I8" s="2">
        <f>(F8+G8+H8)/3</f>
        <v>1019.022222222222</v>
      </c>
      <c r="J8" s="9">
        <f>STDEVA(F8:H8)</f>
        <v>62.929641453710019</v>
      </c>
      <c r="K8" s="8">
        <f>IF(I8&gt;0,STDEVA(F8:H8)/(SUM(F8:H8)/COUNTIF(F8:H8,"&gt;0")),0)</f>
        <v>6.1754925536831637E-2</v>
      </c>
      <c r="L8" s="2"/>
      <c r="M8" s="10">
        <f>MIN(F8:H8)</f>
        <v>951.12727272727261</v>
      </c>
      <c r="N8" s="9">
        <f>M8*1.1</f>
        <v>1046.24</v>
      </c>
      <c r="O8" s="10">
        <f>N8*E8</f>
        <v>15693.6</v>
      </c>
    </row>
    <row r="9" spans="1:15" ht="71.25" customHeight="1" x14ac:dyDescent="0.25">
      <c r="A9" s="12">
        <v>2</v>
      </c>
      <c r="B9" s="12" t="s">
        <v>25</v>
      </c>
      <c r="C9" s="12" t="s">
        <v>23</v>
      </c>
      <c r="D9" s="12" t="s">
        <v>24</v>
      </c>
      <c r="E9" s="12">
        <f>12*30</f>
        <v>360</v>
      </c>
      <c r="F9" s="9">
        <f>188.34/30/1.1</f>
        <v>5.7072727272727271</v>
      </c>
      <c r="G9" s="9">
        <f>261/30/1.1</f>
        <v>7.9090909090909074</v>
      </c>
      <c r="H9" s="9">
        <f>193/30/1.1</f>
        <v>5.8484848484848486</v>
      </c>
      <c r="I9" s="13">
        <f t="shared" ref="I9:I11" si="0">(F9+G9+H9)/3</f>
        <v>6.4882828282828271</v>
      </c>
      <c r="J9" s="9">
        <f t="shared" ref="J9:J11" si="1">STDEVA(F9:H9)</f>
        <v>1.2324799867184368</v>
      </c>
      <c r="K9" s="8">
        <f t="shared" ref="K9:K11" si="2">IF(I9&gt;0,STDEVA(F9:H9)/(SUM(F9:H9)/COUNTIF(F9:H9,"&gt;0")),0)</f>
        <v>0.18995472597864879</v>
      </c>
      <c r="L9" s="12"/>
      <c r="M9" s="10">
        <f>MIN(F9:H9)</f>
        <v>5.7072727272727271</v>
      </c>
      <c r="N9" s="9">
        <f>ROUND(M9*1.1,4)</f>
        <v>6.2779999999999996</v>
      </c>
      <c r="O9" s="10">
        <f>N9*E9</f>
        <v>2260.08</v>
      </c>
    </row>
    <row r="10" spans="1:15" ht="51.75" customHeight="1" x14ac:dyDescent="0.25">
      <c r="A10" s="12">
        <v>3</v>
      </c>
      <c r="B10" s="12" t="s">
        <v>33</v>
      </c>
      <c r="C10" s="13" t="s">
        <v>34</v>
      </c>
      <c r="D10" s="12" t="s">
        <v>20</v>
      </c>
      <c r="E10" s="12">
        <f>20*200</f>
        <v>4000</v>
      </c>
      <c r="F10" s="9">
        <f>135.1/200/1.1</f>
        <v>0.61409090909090902</v>
      </c>
      <c r="G10" s="9">
        <f>160/200/1.1</f>
        <v>0.72727272727272729</v>
      </c>
      <c r="H10" s="9">
        <f>161.76/200/1.1</f>
        <v>0.73527272727272719</v>
      </c>
      <c r="I10" s="13">
        <f t="shared" si="0"/>
        <v>0.69221212121212117</v>
      </c>
      <c r="J10" s="9">
        <f t="shared" si="1"/>
        <v>6.7773098184055053E-2</v>
      </c>
      <c r="K10" s="8">
        <f t="shared" si="2"/>
        <v>9.790799107270573E-2</v>
      </c>
      <c r="L10" s="12"/>
      <c r="M10" s="9">
        <f>MIN(F10:H10)</f>
        <v>0.61409090909090902</v>
      </c>
      <c r="N10" s="12">
        <f>M10*1.1</f>
        <v>0.67549999999999999</v>
      </c>
      <c r="O10" s="10">
        <f>N10*E10</f>
        <v>2702</v>
      </c>
    </row>
    <row r="11" spans="1:15" ht="81.75" customHeight="1" x14ac:dyDescent="0.25">
      <c r="A11" s="12">
        <v>4</v>
      </c>
      <c r="B11" s="12" t="s">
        <v>26</v>
      </c>
      <c r="C11" s="12" t="s">
        <v>27</v>
      </c>
      <c r="D11" s="12" t="s">
        <v>20</v>
      </c>
      <c r="E11" s="12">
        <f>10*500</f>
        <v>5000</v>
      </c>
      <c r="F11" s="9">
        <f>423.64/1000/1.1</f>
        <v>0.38512727272727265</v>
      </c>
      <c r="G11" s="9">
        <f>535/1000/1.1</f>
        <v>0.48636363636363633</v>
      </c>
      <c r="H11" s="9">
        <f>572/1000/1.1</f>
        <v>0.51999999999999991</v>
      </c>
      <c r="I11" s="13">
        <f t="shared" si="0"/>
        <v>0.46383030303030298</v>
      </c>
      <c r="J11" s="9">
        <f t="shared" si="1"/>
        <v>7.0203108719124885E-2</v>
      </c>
      <c r="K11" s="8">
        <f>IF(I11&gt;0,STDEVA(F11:H11)/(SUM(F11:H11)/COUNTIF(F11:H11,"&gt;0")),0)</f>
        <v>0.15135515782490472</v>
      </c>
      <c r="L11" s="12"/>
      <c r="M11" s="9">
        <f>MIN(F11:H11)</f>
        <v>0.38512727272727265</v>
      </c>
      <c r="N11" s="13">
        <f>M11*1.1</f>
        <v>0.42363999999999996</v>
      </c>
      <c r="O11" s="10">
        <f>N11*E11</f>
        <v>2118.1999999999998</v>
      </c>
    </row>
    <row r="12" spans="1:15" ht="20.25" customHeight="1" x14ac:dyDescent="0.25">
      <c r="A12" s="24" t="s">
        <v>28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6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thickBot="1" x14ac:dyDescent="0.3">
      <c r="A14" s="1"/>
      <c r="B14" s="1"/>
      <c r="C14" s="1"/>
      <c r="D14" s="1"/>
      <c r="E14" s="14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29.25" customHeight="1" thickBot="1" x14ac:dyDescent="0.3">
      <c r="A15" s="5" t="s">
        <v>6</v>
      </c>
      <c r="B15" s="7"/>
      <c r="C15" s="6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</row>
    <row r="16" spans="1:15" x14ac:dyDescent="0.25">
      <c r="A16" s="1" t="s">
        <v>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" t="s">
        <v>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" t="s">
        <v>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" t="s">
        <v>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20" t="s">
        <v>29</v>
      </c>
      <c r="B21" s="20"/>
      <c r="C21" s="20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</sheetData>
  <mergeCells count="14">
    <mergeCell ref="A3:O3"/>
    <mergeCell ref="A5:O5"/>
    <mergeCell ref="A2:O2"/>
    <mergeCell ref="A21:C21"/>
    <mergeCell ref="N6:N7"/>
    <mergeCell ref="M6:M7"/>
    <mergeCell ref="E6:E7"/>
    <mergeCell ref="D6:D7"/>
    <mergeCell ref="C6:C7"/>
    <mergeCell ref="I6:I7"/>
    <mergeCell ref="B6:B7"/>
    <mergeCell ref="A6:A7"/>
    <mergeCell ref="A12:O12"/>
    <mergeCell ref="O6:O7"/>
  </mergeCells>
  <pageMargins left="0.7" right="0.7" top="0.75" bottom="0.7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2026-08-28T06:57:58Z</dcterms:modified>
</cp:coreProperties>
</file>