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6.30\закупки!\Закупки 2026г\Москва\МАЛЫЕ ЗАКУПКИ\Ремонт входной группы (390 000,00) 2026\"/>
    </mc:Choice>
  </mc:AlternateContent>
  <bookViews>
    <workbookView xWindow="0" yWindow="0" windowWidth="19650" windowHeight="7800"/>
  </bookViews>
  <sheets>
    <sheet name="Смета СН-2012 по гл. 1-5,7" sheetId="7" r:id="rId1"/>
    <sheet name="Акт СН-2012 по гл. 1-5" sheetId="8" r:id="rId2"/>
    <sheet name="RV_DATA" sheetId="10" state="hidden" r:id="rId3"/>
    <sheet name="Расчет стоимости ресурсов" sheetId="9" r:id="rId4"/>
    <sheet name="Макет форма-3" sheetId="11" r:id="rId5"/>
    <sheet name="Source" sheetId="1" r:id="rId6"/>
    <sheet name="SourceObSm" sheetId="2" r:id="rId7"/>
    <sheet name="SmtRes" sheetId="3" r:id="rId8"/>
    <sheet name="EtalonRes" sheetId="4" r:id="rId9"/>
    <sheet name="SrcPoprs" sheetId="5" r:id="rId10"/>
    <sheet name="SrcKA" sheetId="6" r:id="rId11"/>
  </sheets>
  <definedNames>
    <definedName name="_xlnm.Print_Titles" localSheetId="1">'Акт СН-2012 по гл. 1-5'!$19:$19</definedName>
    <definedName name="_xlnm.Print_Titles" localSheetId="3">'Расчет стоимости ресурсов'!$4:$7</definedName>
    <definedName name="_xlnm.Print_Titles" localSheetId="0">'Смета СН-2012 по гл. 1-5,7'!$31:$31</definedName>
    <definedName name="_xlnm.Print_Area" localSheetId="1">'Акт СН-2012 по гл. 1-5'!$A$1:$K$98</definedName>
    <definedName name="_xlnm.Print_Area" localSheetId="3">'Расчет стоимости ресурсов'!$A$1:$F$15</definedName>
    <definedName name="_xlnm.Print_Area" localSheetId="0">'Смета СН-2012 по гл. 1-5,7'!$A$1:$K$109</definedName>
  </definedNames>
  <calcPr calcId="162913"/>
</workbook>
</file>

<file path=xl/calcChain.xml><?xml version="1.0" encoding="utf-8"?>
<calcChain xmlns="http://schemas.openxmlformats.org/spreadsheetml/2006/main">
  <c r="A1" i="11" l="1"/>
  <c r="G10" i="10"/>
  <c r="A10" i="10"/>
  <c r="Z9" i="10"/>
  <c r="S9" i="10"/>
  <c r="P9" i="10"/>
  <c r="N9" i="10"/>
  <c r="K9" i="10"/>
  <c r="E11" i="9" s="1"/>
  <c r="J9" i="10"/>
  <c r="H9" i="10"/>
  <c r="G9" i="10"/>
  <c r="F9" i="10"/>
  <c r="E9" i="10"/>
  <c r="Z8" i="10"/>
  <c r="Q8" i="10"/>
  <c r="T8" i="10" s="1"/>
  <c r="S8" i="10"/>
  <c r="P8" i="10"/>
  <c r="N8" i="10"/>
  <c r="K8" i="10"/>
  <c r="E12" i="9" s="1"/>
  <c r="J8" i="10"/>
  <c r="H8" i="10"/>
  <c r="G8" i="10"/>
  <c r="F8" i="10"/>
  <c r="E8" i="10"/>
  <c r="G7" i="10"/>
  <c r="A7" i="10"/>
  <c r="G6" i="10"/>
  <c r="A6" i="10"/>
  <c r="H95" i="8"/>
  <c r="H92" i="8"/>
  <c r="C95" i="8"/>
  <c r="C92" i="8"/>
  <c r="C89" i="8"/>
  <c r="C88" i="8"/>
  <c r="A87" i="8"/>
  <c r="C84" i="8"/>
  <c r="C83" i="8"/>
  <c r="H78" i="8"/>
  <c r="G78" i="8"/>
  <c r="E78" i="8"/>
  <c r="E77" i="8"/>
  <c r="E76" i="8"/>
  <c r="I75" i="8"/>
  <c r="H75" i="8"/>
  <c r="G75" i="8"/>
  <c r="F75" i="8"/>
  <c r="I74" i="8"/>
  <c r="H74" i="8"/>
  <c r="G74" i="8"/>
  <c r="F74" i="8"/>
  <c r="S72" i="8"/>
  <c r="D72" i="8"/>
  <c r="C72" i="8"/>
  <c r="B72" i="8"/>
  <c r="A71" i="8"/>
  <c r="C69" i="8"/>
  <c r="C68" i="8"/>
  <c r="A66" i="8"/>
  <c r="H63" i="8"/>
  <c r="G63" i="8"/>
  <c r="E63" i="8"/>
  <c r="E62" i="8"/>
  <c r="E61" i="8"/>
  <c r="I60" i="8"/>
  <c r="H60" i="8"/>
  <c r="G60" i="8"/>
  <c r="F60" i="8"/>
  <c r="I59" i="8"/>
  <c r="H59" i="8"/>
  <c r="G59" i="8"/>
  <c r="F59" i="8"/>
  <c r="E57" i="8"/>
  <c r="D57" i="8"/>
  <c r="C57" i="8"/>
  <c r="B57" i="8"/>
  <c r="H55" i="8"/>
  <c r="G55" i="8"/>
  <c r="E55" i="8"/>
  <c r="E54" i="8"/>
  <c r="E53" i="8"/>
  <c r="E52" i="8"/>
  <c r="I51" i="8"/>
  <c r="H51" i="8"/>
  <c r="G51" i="8"/>
  <c r="F51" i="8"/>
  <c r="I50" i="8"/>
  <c r="H50" i="8"/>
  <c r="G50" i="8"/>
  <c r="F50" i="8"/>
  <c r="I49" i="8"/>
  <c r="H49" i="8"/>
  <c r="G49" i="8"/>
  <c r="F49" i="8"/>
  <c r="I48" i="8"/>
  <c r="H48" i="8"/>
  <c r="G48" i="8"/>
  <c r="F48" i="8"/>
  <c r="Q47" i="8"/>
  <c r="E47" i="8"/>
  <c r="D47" i="8"/>
  <c r="C47" i="8"/>
  <c r="B47" i="8"/>
  <c r="H45" i="8"/>
  <c r="G45" i="8"/>
  <c r="E45" i="8"/>
  <c r="E44" i="8"/>
  <c r="E43" i="8"/>
  <c r="I42" i="8"/>
  <c r="H42" i="8"/>
  <c r="G42" i="8"/>
  <c r="F42" i="8"/>
  <c r="I41" i="8"/>
  <c r="H41" i="8"/>
  <c r="G41" i="8"/>
  <c r="F41" i="8"/>
  <c r="D39" i="8"/>
  <c r="C39" i="8"/>
  <c r="B39" i="8"/>
  <c r="H37" i="8"/>
  <c r="G37" i="8"/>
  <c r="E37" i="8"/>
  <c r="E36" i="8"/>
  <c r="E35" i="8"/>
  <c r="I34" i="8"/>
  <c r="H34" i="8"/>
  <c r="G34" i="8"/>
  <c r="F34" i="8"/>
  <c r="I33" i="8"/>
  <c r="H33" i="8"/>
  <c r="G33" i="8"/>
  <c r="F33" i="8"/>
  <c r="C32" i="8"/>
  <c r="D31" i="8"/>
  <c r="C31" i="8"/>
  <c r="B31" i="8"/>
  <c r="H29" i="8"/>
  <c r="G29" i="8"/>
  <c r="E29" i="8"/>
  <c r="E28" i="8"/>
  <c r="E27" i="8"/>
  <c r="I26" i="8"/>
  <c r="H26" i="8"/>
  <c r="G26" i="8"/>
  <c r="F26" i="8"/>
  <c r="D24" i="8"/>
  <c r="C24" i="8"/>
  <c r="B24" i="8"/>
  <c r="A23" i="8"/>
  <c r="A21" i="8"/>
  <c r="C12" i="8"/>
  <c r="C10" i="8"/>
  <c r="C5" i="8"/>
  <c r="C3" i="8"/>
  <c r="A1" i="8"/>
  <c r="H107" i="7"/>
  <c r="H104" i="7"/>
  <c r="C107" i="7"/>
  <c r="C104" i="7"/>
  <c r="C101" i="7"/>
  <c r="C100" i="7"/>
  <c r="C96" i="7"/>
  <c r="C95" i="7"/>
  <c r="K90" i="7"/>
  <c r="H90" i="7"/>
  <c r="G90" i="7"/>
  <c r="E90" i="7"/>
  <c r="E89" i="7"/>
  <c r="E88" i="7"/>
  <c r="I87" i="7"/>
  <c r="H87" i="7"/>
  <c r="G87" i="7"/>
  <c r="F87" i="7"/>
  <c r="J86" i="7"/>
  <c r="I86" i="7"/>
  <c r="H86" i="7"/>
  <c r="G86" i="7"/>
  <c r="F86" i="7"/>
  <c r="E84" i="7"/>
  <c r="D84" i="7"/>
  <c r="C84" i="7"/>
  <c r="B84" i="7"/>
  <c r="A83" i="7"/>
  <c r="C81" i="7"/>
  <c r="C80" i="7"/>
  <c r="H75" i="7"/>
  <c r="G75" i="7"/>
  <c r="E75" i="7"/>
  <c r="E74" i="7"/>
  <c r="E73" i="7"/>
  <c r="I72" i="7"/>
  <c r="H72" i="7"/>
  <c r="G72" i="7"/>
  <c r="F72" i="7"/>
  <c r="I71" i="7"/>
  <c r="H71" i="7"/>
  <c r="G71" i="7"/>
  <c r="F71" i="7"/>
  <c r="C70" i="7"/>
  <c r="U69" i="7"/>
  <c r="D69" i="7"/>
  <c r="C69" i="7"/>
  <c r="B69" i="7"/>
  <c r="H67" i="7"/>
  <c r="G67" i="7"/>
  <c r="E67" i="7"/>
  <c r="E66" i="7"/>
  <c r="E65" i="7"/>
  <c r="E64" i="7"/>
  <c r="I63" i="7"/>
  <c r="H63" i="7"/>
  <c r="G63" i="7"/>
  <c r="F63" i="7"/>
  <c r="I62" i="7"/>
  <c r="H62" i="7"/>
  <c r="G62" i="7"/>
  <c r="F62" i="7"/>
  <c r="I61" i="7"/>
  <c r="H61" i="7"/>
  <c r="G61" i="7"/>
  <c r="F61" i="7"/>
  <c r="I60" i="7"/>
  <c r="H60" i="7"/>
  <c r="G60" i="7"/>
  <c r="F60" i="7"/>
  <c r="Q59" i="7"/>
  <c r="E59" i="7"/>
  <c r="D59" i="7"/>
  <c r="C59" i="7"/>
  <c r="B59" i="7"/>
  <c r="H57" i="7"/>
  <c r="G57" i="7"/>
  <c r="E57" i="7"/>
  <c r="E56" i="7"/>
  <c r="E55" i="7"/>
  <c r="I54" i="7"/>
  <c r="H54" i="7"/>
  <c r="G54" i="7"/>
  <c r="F54" i="7"/>
  <c r="I53" i="7"/>
  <c r="H53" i="7"/>
  <c r="G53" i="7"/>
  <c r="F53" i="7"/>
  <c r="D51" i="7"/>
  <c r="C51" i="7"/>
  <c r="B51" i="7"/>
  <c r="H49" i="7"/>
  <c r="G49" i="7"/>
  <c r="E49" i="7"/>
  <c r="E48" i="7"/>
  <c r="E47" i="7"/>
  <c r="I46" i="7"/>
  <c r="H46" i="7"/>
  <c r="G46" i="7"/>
  <c r="F46" i="7"/>
  <c r="I45" i="7"/>
  <c r="H45" i="7"/>
  <c r="G45" i="7"/>
  <c r="F45" i="7"/>
  <c r="C44" i="7"/>
  <c r="D43" i="7"/>
  <c r="C43" i="7"/>
  <c r="B43" i="7"/>
  <c r="H41" i="7"/>
  <c r="G41" i="7"/>
  <c r="E41" i="7"/>
  <c r="E40" i="7"/>
  <c r="E39" i="7"/>
  <c r="I38" i="7"/>
  <c r="H38" i="7"/>
  <c r="G38" i="7"/>
  <c r="F38" i="7"/>
  <c r="D36" i="7"/>
  <c r="C36" i="7"/>
  <c r="B36" i="7"/>
  <c r="A35" i="7"/>
  <c r="A33" i="7"/>
  <c r="A19" i="7"/>
  <c r="A16" i="7"/>
  <c r="A13" i="7"/>
  <c r="A10" i="7"/>
  <c r="G6" i="7"/>
  <c r="B6" i="7"/>
  <c r="A1" i="7"/>
  <c r="A1" i="4"/>
  <c r="A2" i="4"/>
  <c r="A3" i="4"/>
  <c r="A1" i="3"/>
  <c r="Y1" i="3"/>
  <c r="CY1" i="3"/>
  <c r="CZ1" i="3"/>
  <c r="DB1" i="3" s="1"/>
  <c r="DA1" i="3"/>
  <c r="DC1" i="3"/>
  <c r="A2" i="3"/>
  <c r="Y2" i="3"/>
  <c r="CY2" i="3"/>
  <c r="CZ2" i="3"/>
  <c r="DA2" i="3"/>
  <c r="DB2" i="3"/>
  <c r="L9" i="10" s="1"/>
  <c r="DC2" i="3"/>
  <c r="Q9" i="10" s="1"/>
  <c r="R9" i="10" s="1"/>
  <c r="A3" i="3"/>
  <c r="Y3" i="3"/>
  <c r="CX3" i="3" s="1"/>
  <c r="CY3" i="3"/>
  <c r="CZ3" i="3"/>
  <c r="DA3" i="3"/>
  <c r="DB3" i="3"/>
  <c r="L8" i="10" s="1"/>
  <c r="M8" i="10" s="1"/>
  <c r="F12" i="9" s="1"/>
  <c r="DC3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I28" i="1"/>
  <c r="E24" i="8" s="1"/>
  <c r="K28" i="1"/>
  <c r="AC28" i="1"/>
  <c r="AE28" i="1"/>
  <c r="U24" i="8" s="1"/>
  <c r="AF28" i="1"/>
  <c r="CT28" i="1" s="1"/>
  <c r="AG28" i="1"/>
  <c r="AH28" i="1"/>
  <c r="CV28" i="1" s="1"/>
  <c r="AI28" i="1"/>
  <c r="CW28" i="1" s="1"/>
  <c r="V28" i="1" s="1"/>
  <c r="AJ28" i="1"/>
  <c r="CX28" i="1" s="1"/>
  <c r="CQ28" i="1"/>
  <c r="CU28" i="1"/>
  <c r="GL28" i="1"/>
  <c r="GN28" i="1"/>
  <c r="CB34" i="1" s="1"/>
  <c r="CB26" i="1" s="1"/>
  <c r="GO28" i="1"/>
  <c r="GV28" i="1"/>
  <c r="HC28" i="1"/>
  <c r="GX28" i="1" s="1"/>
  <c r="I29" i="1"/>
  <c r="E31" i="8" s="1"/>
  <c r="K29" i="1"/>
  <c r="AC29" i="1"/>
  <c r="AE29" i="1"/>
  <c r="AD29" i="1" s="1"/>
  <c r="AF29" i="1"/>
  <c r="S31" i="8" s="1"/>
  <c r="AG29" i="1"/>
  <c r="CU29" i="1" s="1"/>
  <c r="T29" i="1" s="1"/>
  <c r="AH29" i="1"/>
  <c r="AI29" i="1"/>
  <c r="CW29" i="1" s="1"/>
  <c r="V29" i="1" s="1"/>
  <c r="AJ29" i="1"/>
  <c r="CT29" i="1"/>
  <c r="S29" i="1" s="1"/>
  <c r="J33" i="8" s="1"/>
  <c r="CV29" i="1"/>
  <c r="U29" i="1" s="1"/>
  <c r="K49" i="7" s="1"/>
  <c r="CX29" i="1"/>
  <c r="W29" i="1" s="1"/>
  <c r="GL29" i="1"/>
  <c r="GN29" i="1"/>
  <c r="GO29" i="1"/>
  <c r="CC34" i="1" s="1"/>
  <c r="CC26" i="1" s="1"/>
  <c r="GV29" i="1"/>
  <c r="HC29" i="1"/>
  <c r="GX29" i="1" s="1"/>
  <c r="I30" i="1"/>
  <c r="C40" i="8" s="1"/>
  <c r="K30" i="1"/>
  <c r="AC30" i="1"/>
  <c r="AE30" i="1"/>
  <c r="AD30" i="1" s="1"/>
  <c r="AF30" i="1"/>
  <c r="S39" i="8" s="1"/>
  <c r="AG30" i="1"/>
  <c r="CU30" i="1" s="1"/>
  <c r="AH30" i="1"/>
  <c r="AI30" i="1"/>
  <c r="CW30" i="1" s="1"/>
  <c r="AJ30" i="1"/>
  <c r="CV30" i="1"/>
  <c r="CX30" i="1"/>
  <c r="W30" i="1" s="1"/>
  <c r="GL30" i="1"/>
  <c r="GN30" i="1"/>
  <c r="GO30" i="1"/>
  <c r="GV30" i="1"/>
  <c r="HC30" i="1" s="1"/>
  <c r="GX30" i="1" s="1"/>
  <c r="AC31" i="1"/>
  <c r="AE31" i="1"/>
  <c r="AD31" i="1" s="1"/>
  <c r="AF31" i="1"/>
  <c r="S47" i="8" s="1"/>
  <c r="AG31" i="1"/>
  <c r="CU31" i="1" s="1"/>
  <c r="T31" i="1" s="1"/>
  <c r="AH31" i="1"/>
  <c r="AI31" i="1"/>
  <c r="CW31" i="1" s="1"/>
  <c r="V31" i="1" s="1"/>
  <c r="AJ31" i="1"/>
  <c r="CT31" i="1"/>
  <c r="S31" i="1" s="1"/>
  <c r="J48" i="8" s="1"/>
  <c r="CV31" i="1"/>
  <c r="U31" i="1" s="1"/>
  <c r="K55" i="8" s="1"/>
  <c r="CX31" i="1"/>
  <c r="W31" i="1" s="1"/>
  <c r="GL31" i="1"/>
  <c r="GN31" i="1"/>
  <c r="GO31" i="1"/>
  <c r="GV31" i="1"/>
  <c r="HC31" i="1"/>
  <c r="GX31" i="1" s="1"/>
  <c r="C32" i="1"/>
  <c r="D32" i="1"/>
  <c r="I32" i="1"/>
  <c r="CU1" i="3" s="1"/>
  <c r="K32" i="1"/>
  <c r="AC32" i="1"/>
  <c r="AE32" i="1"/>
  <c r="AD32" i="1" s="1"/>
  <c r="AF32" i="1"/>
  <c r="S69" i="7" s="1"/>
  <c r="AG32" i="1"/>
  <c r="CU32" i="1" s="1"/>
  <c r="T32" i="1" s="1"/>
  <c r="AH32" i="1"/>
  <c r="CV32" i="1" s="1"/>
  <c r="U32" i="1" s="1"/>
  <c r="AI32" i="1"/>
  <c r="CW32" i="1" s="1"/>
  <c r="V32" i="1" s="1"/>
  <c r="AJ32" i="1"/>
  <c r="CR32" i="1"/>
  <c r="Q32" i="1" s="1"/>
  <c r="CT32" i="1"/>
  <c r="S32" i="1" s="1"/>
  <c r="J59" i="8" s="1"/>
  <c r="CX32" i="1"/>
  <c r="W32" i="1" s="1"/>
  <c r="GL32" i="1"/>
  <c r="GN32" i="1"/>
  <c r="GO32" i="1"/>
  <c r="GV32" i="1"/>
  <c r="HC32" i="1"/>
  <c r="GX32" i="1" s="1"/>
  <c r="B34" i="1"/>
  <c r="B26" i="1" s="1"/>
  <c r="C34" i="1"/>
  <c r="C26" i="1" s="1"/>
  <c r="D34" i="1"/>
  <c r="D26" i="1" s="1"/>
  <c r="F34" i="1"/>
  <c r="F26" i="1" s="1"/>
  <c r="G34" i="1"/>
  <c r="G26" i="1" s="1"/>
  <c r="A9" i="9" s="1"/>
  <c r="BX34" i="1"/>
  <c r="BX26" i="1" s="1"/>
  <c r="BY34" i="1"/>
  <c r="BY26" i="1" s="1"/>
  <c r="BZ34" i="1"/>
  <c r="BZ26" i="1" s="1"/>
  <c r="CK34" i="1"/>
  <c r="CK26" i="1" s="1"/>
  <c r="CL34" i="1"/>
  <c r="CL26" i="1" s="1"/>
  <c r="CM34" i="1"/>
  <c r="CM26" i="1" s="1"/>
  <c r="D66" i="1"/>
  <c r="E68" i="1"/>
  <c r="Z68" i="1"/>
  <c r="AA68" i="1"/>
  <c r="AM68" i="1"/>
  <c r="AN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CN68" i="1"/>
  <c r="CO68" i="1"/>
  <c r="CP68" i="1"/>
  <c r="CQ68" i="1"/>
  <c r="CR68" i="1"/>
  <c r="CS68" i="1"/>
  <c r="CT68" i="1"/>
  <c r="CU68" i="1"/>
  <c r="CV68" i="1"/>
  <c r="CW68" i="1"/>
  <c r="CX68" i="1"/>
  <c r="CY68" i="1"/>
  <c r="CZ68" i="1"/>
  <c r="DA68" i="1"/>
  <c r="DB68" i="1"/>
  <c r="DC68" i="1"/>
  <c r="DD68" i="1"/>
  <c r="DE68" i="1"/>
  <c r="DF68" i="1"/>
  <c r="DG68" i="1"/>
  <c r="DH68" i="1"/>
  <c r="DI68" i="1"/>
  <c r="DJ68" i="1"/>
  <c r="DK68" i="1"/>
  <c r="DL68" i="1"/>
  <c r="DM68" i="1"/>
  <c r="DN68" i="1"/>
  <c r="DO68" i="1"/>
  <c r="DP68" i="1"/>
  <c r="DQ68" i="1"/>
  <c r="DR68" i="1"/>
  <c r="DS68" i="1"/>
  <c r="DT68" i="1"/>
  <c r="DU68" i="1"/>
  <c r="DV68" i="1"/>
  <c r="DW68" i="1"/>
  <c r="DX68" i="1"/>
  <c r="DY68" i="1"/>
  <c r="DZ68" i="1"/>
  <c r="EA68" i="1"/>
  <c r="EB68" i="1"/>
  <c r="EC68" i="1"/>
  <c r="ED68" i="1"/>
  <c r="EE68" i="1"/>
  <c r="EF68" i="1"/>
  <c r="EG68" i="1"/>
  <c r="EH68" i="1"/>
  <c r="EI68" i="1"/>
  <c r="EJ68" i="1"/>
  <c r="EK68" i="1"/>
  <c r="EL68" i="1"/>
  <c r="EM68" i="1"/>
  <c r="EN68" i="1"/>
  <c r="EO68" i="1"/>
  <c r="EP68" i="1"/>
  <c r="EQ68" i="1"/>
  <c r="ER68" i="1"/>
  <c r="ES68" i="1"/>
  <c r="ET68" i="1"/>
  <c r="EU68" i="1"/>
  <c r="EV68" i="1"/>
  <c r="EW68" i="1"/>
  <c r="EX68" i="1"/>
  <c r="EY68" i="1"/>
  <c r="EZ68" i="1"/>
  <c r="FA68" i="1"/>
  <c r="FB68" i="1"/>
  <c r="FC68" i="1"/>
  <c r="FD68" i="1"/>
  <c r="FE68" i="1"/>
  <c r="FF68" i="1"/>
  <c r="FG68" i="1"/>
  <c r="FH68" i="1"/>
  <c r="FI68" i="1"/>
  <c r="FJ68" i="1"/>
  <c r="FK68" i="1"/>
  <c r="FL68" i="1"/>
  <c r="FM68" i="1"/>
  <c r="FN68" i="1"/>
  <c r="FO68" i="1"/>
  <c r="FP68" i="1"/>
  <c r="FQ68" i="1"/>
  <c r="FR68" i="1"/>
  <c r="FS68" i="1"/>
  <c r="FT68" i="1"/>
  <c r="FU68" i="1"/>
  <c r="FV68" i="1"/>
  <c r="FW68" i="1"/>
  <c r="FX68" i="1"/>
  <c r="FY68" i="1"/>
  <c r="FZ68" i="1"/>
  <c r="GA68" i="1"/>
  <c r="GB68" i="1"/>
  <c r="GC68" i="1"/>
  <c r="GD68" i="1"/>
  <c r="GE68" i="1"/>
  <c r="GF68" i="1"/>
  <c r="GG68" i="1"/>
  <c r="GH68" i="1"/>
  <c r="GI68" i="1"/>
  <c r="GJ68" i="1"/>
  <c r="GK68" i="1"/>
  <c r="GL68" i="1"/>
  <c r="GM68" i="1"/>
  <c r="GN68" i="1"/>
  <c r="GO68" i="1"/>
  <c r="GP68" i="1"/>
  <c r="GQ68" i="1"/>
  <c r="GR68" i="1"/>
  <c r="GS68" i="1"/>
  <c r="GT68" i="1"/>
  <c r="GU68" i="1"/>
  <c r="GV68" i="1"/>
  <c r="GW68" i="1"/>
  <c r="GX68" i="1"/>
  <c r="I70" i="1"/>
  <c r="C85" i="7" s="1"/>
  <c r="K70" i="1"/>
  <c r="AC70" i="1"/>
  <c r="AE70" i="1"/>
  <c r="AD70" i="1" s="1"/>
  <c r="AF70" i="1"/>
  <c r="Q72" i="8" s="1"/>
  <c r="AG70" i="1"/>
  <c r="AH70" i="1"/>
  <c r="AI70" i="1"/>
  <c r="AJ70" i="1"/>
  <c r="CQ70" i="1"/>
  <c r="P70" i="1" s="1"/>
  <c r="J75" i="8" s="1"/>
  <c r="CT70" i="1"/>
  <c r="S70" i="1" s="1"/>
  <c r="J74" i="8" s="1"/>
  <c r="CU70" i="1"/>
  <c r="T70" i="1" s="1"/>
  <c r="AG72" i="1" s="1"/>
  <c r="CV70" i="1"/>
  <c r="U70" i="1" s="1"/>
  <c r="AH72" i="1" s="1"/>
  <c r="CW70" i="1"/>
  <c r="V70" i="1" s="1"/>
  <c r="AI72" i="1" s="1"/>
  <c r="CX70" i="1"/>
  <c r="W70" i="1" s="1"/>
  <c r="AJ72" i="1" s="1"/>
  <c r="GL70" i="1"/>
  <c r="GN70" i="1"/>
  <c r="GO70" i="1"/>
  <c r="CC72" i="1" s="1"/>
  <c r="CC68" i="1" s="1"/>
  <c r="GV70" i="1"/>
  <c r="GX70" i="1"/>
  <c r="HC70" i="1"/>
  <c r="B72" i="1"/>
  <c r="B68" i="1" s="1"/>
  <c r="C72" i="1"/>
  <c r="C68" i="1" s="1"/>
  <c r="D72" i="1"/>
  <c r="D68" i="1" s="1"/>
  <c r="F72" i="1"/>
  <c r="F68" i="1" s="1"/>
  <c r="G72" i="1"/>
  <c r="G68" i="1" s="1"/>
  <c r="A14" i="9" s="1"/>
  <c r="BX72" i="1"/>
  <c r="BX68" i="1" s="1"/>
  <c r="BY72" i="1"/>
  <c r="BY68" i="1" s="1"/>
  <c r="BZ72" i="1"/>
  <c r="BZ68" i="1" s="1"/>
  <c r="CB72" i="1"/>
  <c r="CB68" i="1" s="1"/>
  <c r="CG72" i="1"/>
  <c r="CG68" i="1" s="1"/>
  <c r="CI72" i="1"/>
  <c r="CI68" i="1" s="1"/>
  <c r="CJ72" i="1"/>
  <c r="CJ68" i="1" s="1"/>
  <c r="CK72" i="1"/>
  <c r="CK68" i="1" s="1"/>
  <c r="CL72" i="1"/>
  <c r="CL68" i="1" s="1"/>
  <c r="CM72" i="1"/>
  <c r="CM68" i="1" s="1"/>
  <c r="B104" i="1"/>
  <c r="B22" i="1" s="1"/>
  <c r="C104" i="1"/>
  <c r="C22" i="1" s="1"/>
  <c r="D104" i="1"/>
  <c r="D22" i="1" s="1"/>
  <c r="F104" i="1"/>
  <c r="F22" i="1" s="1"/>
  <c r="G104" i="1"/>
  <c r="G22" i="1" s="1"/>
  <c r="A8" i="9" s="1"/>
  <c r="B136" i="1"/>
  <c r="B18" i="1" s="1"/>
  <c r="C136" i="1"/>
  <c r="C18" i="1" s="1"/>
  <c r="D136" i="1"/>
  <c r="D18" i="1" s="1"/>
  <c r="F136" i="1"/>
  <c r="F18" i="1" s="1"/>
  <c r="G136" i="1"/>
  <c r="G18" i="1" s="1"/>
  <c r="F12" i="6"/>
  <c r="G12" i="6"/>
  <c r="K63" i="8" l="1"/>
  <c r="K75" i="7"/>
  <c r="CJ34" i="1"/>
  <c r="CJ26" i="1" s="1"/>
  <c r="O9" i="10"/>
  <c r="M9" i="10"/>
  <c r="F11" i="9" s="1"/>
  <c r="E13" i="9" s="1"/>
  <c r="CI34" i="1"/>
  <c r="CI26" i="1" s="1"/>
  <c r="U43" i="7"/>
  <c r="E51" i="7"/>
  <c r="Q24" i="8"/>
  <c r="K37" i="8"/>
  <c r="CR70" i="1"/>
  <c r="Q70" i="1" s="1"/>
  <c r="AD72" i="1" s="1"/>
  <c r="AB70" i="1"/>
  <c r="CG34" i="1"/>
  <c r="CG26" i="1" s="1"/>
  <c r="AB31" i="1"/>
  <c r="U30" i="1"/>
  <c r="V30" i="1"/>
  <c r="AB29" i="1"/>
  <c r="CR28" i="1"/>
  <c r="Q28" i="1" s="1"/>
  <c r="U28" i="1"/>
  <c r="AD28" i="1"/>
  <c r="AB28" i="1" s="1"/>
  <c r="S36" i="7"/>
  <c r="E43" i="7"/>
  <c r="J45" i="7"/>
  <c r="Q51" i="7"/>
  <c r="S59" i="7"/>
  <c r="K67" i="7"/>
  <c r="E69" i="7"/>
  <c r="J71" i="7"/>
  <c r="Q84" i="7"/>
  <c r="J87" i="7"/>
  <c r="A93" i="7"/>
  <c r="S24" i="8"/>
  <c r="Q39" i="8"/>
  <c r="Q57" i="8"/>
  <c r="AF66" i="8"/>
  <c r="U72" i="8"/>
  <c r="C73" i="8"/>
  <c r="K78" i="8"/>
  <c r="I8" i="10"/>
  <c r="D12" i="9" s="1"/>
  <c r="R8" i="10"/>
  <c r="CS70" i="1"/>
  <c r="CS28" i="1"/>
  <c r="U31" i="8"/>
  <c r="CR31" i="1"/>
  <c r="Q31" i="1" s="1"/>
  <c r="CT30" i="1"/>
  <c r="S30" i="1" s="1"/>
  <c r="CR29" i="1"/>
  <c r="Q29" i="1" s="1"/>
  <c r="P28" i="1"/>
  <c r="U36" i="7"/>
  <c r="C37" i="7"/>
  <c r="Q43" i="7"/>
  <c r="S51" i="7"/>
  <c r="U59" i="7"/>
  <c r="J60" i="7"/>
  <c r="Q69" i="7"/>
  <c r="A78" i="7"/>
  <c r="S84" i="7"/>
  <c r="C25" i="8"/>
  <c r="Q31" i="8"/>
  <c r="U47" i="8"/>
  <c r="S57" i="8"/>
  <c r="E72" i="8"/>
  <c r="A81" i="8"/>
  <c r="Q36" i="7"/>
  <c r="E39" i="8"/>
  <c r="CR30" i="1"/>
  <c r="Q30" i="1" s="1"/>
  <c r="T30" i="1"/>
  <c r="T28" i="1"/>
  <c r="W28" i="1"/>
  <c r="S28" i="1"/>
  <c r="CX2" i="3"/>
  <c r="E36" i="7"/>
  <c r="S43" i="7"/>
  <c r="U51" i="7"/>
  <c r="C52" i="7"/>
  <c r="AF78" i="7"/>
  <c r="U84" i="7"/>
  <c r="A99" i="7"/>
  <c r="U39" i="8"/>
  <c r="U57" i="8"/>
  <c r="C58" i="8"/>
  <c r="I9" i="10"/>
  <c r="D11" i="9" s="1"/>
  <c r="A3" i="9"/>
  <c r="O8" i="10"/>
  <c r="T9" i="10"/>
  <c r="AI68" i="1"/>
  <c r="V72" i="1"/>
  <c r="AG68" i="1"/>
  <c r="T72" i="1"/>
  <c r="AC72" i="1"/>
  <c r="CP70" i="1"/>
  <c r="O70" i="1" s="1"/>
  <c r="CZ32" i="1"/>
  <c r="Y32" i="1" s="1"/>
  <c r="CY32" i="1"/>
  <c r="X32" i="1" s="1"/>
  <c r="CZ30" i="1"/>
  <c r="Y30" i="1" s="1"/>
  <c r="CY30" i="1"/>
  <c r="X30" i="1" s="1"/>
  <c r="CP28" i="1"/>
  <c r="O28" i="1" s="1"/>
  <c r="DF3" i="3"/>
  <c r="DJ3" i="3" s="1"/>
  <c r="DH3" i="3"/>
  <c r="DG3" i="3"/>
  <c r="DI3" i="3"/>
  <c r="AB32" i="1"/>
  <c r="AB30" i="1"/>
  <c r="AI34" i="1"/>
  <c r="AJ68" i="1"/>
  <c r="W72" i="1"/>
  <c r="AH68" i="1"/>
  <c r="U72" i="1"/>
  <c r="CY70" i="1"/>
  <c r="X70" i="1" s="1"/>
  <c r="CZ70" i="1"/>
  <c r="Y70" i="1" s="1"/>
  <c r="AF72" i="1"/>
  <c r="AD68" i="1"/>
  <c r="Q72" i="1"/>
  <c r="CZ31" i="1"/>
  <c r="Y31" i="1" s="1"/>
  <c r="CY31" i="1"/>
  <c r="X31" i="1" s="1"/>
  <c r="CZ29" i="1"/>
  <c r="Y29" i="1" s="1"/>
  <c r="CY29" i="1"/>
  <c r="X29" i="1" s="1"/>
  <c r="CZ28" i="1"/>
  <c r="Y28" i="1" s="1"/>
  <c r="AF34" i="1"/>
  <c r="CY28" i="1"/>
  <c r="X28" i="1" s="1"/>
  <c r="DG2" i="3"/>
  <c r="DI2" i="3"/>
  <c r="DF2" i="3"/>
  <c r="DJ2" i="3" s="1"/>
  <c r="DH2" i="3"/>
  <c r="AG34" i="1"/>
  <c r="AD34" i="1"/>
  <c r="AJ34" i="1"/>
  <c r="AH34" i="1"/>
  <c r="BD72" i="1"/>
  <c r="BB72" i="1"/>
  <c r="AZ72" i="1"/>
  <c r="AX72" i="1"/>
  <c r="AT72" i="1"/>
  <c r="AP72" i="1"/>
  <c r="BC34" i="1"/>
  <c r="BA34" i="1"/>
  <c r="AS34" i="1"/>
  <c r="AQ34" i="1"/>
  <c r="AO34" i="1"/>
  <c r="CS32" i="1"/>
  <c r="CQ32" i="1"/>
  <c r="P32" i="1" s="1"/>
  <c r="CS31" i="1"/>
  <c r="CQ31" i="1"/>
  <c r="P31" i="1" s="1"/>
  <c r="CS30" i="1"/>
  <c r="CQ30" i="1"/>
  <c r="P30" i="1" s="1"/>
  <c r="CS29" i="1"/>
  <c r="CQ29" i="1"/>
  <c r="P29" i="1" s="1"/>
  <c r="CV1" i="3"/>
  <c r="BC72" i="1"/>
  <c r="BA72" i="1"/>
  <c r="AS72" i="1"/>
  <c r="AQ72" i="1"/>
  <c r="AO72" i="1"/>
  <c r="BD34" i="1"/>
  <c r="BB34" i="1"/>
  <c r="AZ34" i="1"/>
  <c r="AX34" i="1"/>
  <c r="AT34" i="1"/>
  <c r="AP34" i="1"/>
  <c r="CX1" i="3"/>
  <c r="CP31" i="1" l="1"/>
  <c r="O31" i="1" s="1"/>
  <c r="J51" i="8"/>
  <c r="J63" i="7"/>
  <c r="R30" i="1"/>
  <c r="GK30" i="1" s="1"/>
  <c r="V39" i="8"/>
  <c r="V51" i="7"/>
  <c r="R32" i="1"/>
  <c r="GK32" i="1" s="1"/>
  <c r="V69" i="7"/>
  <c r="V57" i="8"/>
  <c r="AK34" i="1"/>
  <c r="R24" i="8"/>
  <c r="J27" i="8" s="1"/>
  <c r="R36" i="7"/>
  <c r="J39" i="7" s="1"/>
  <c r="T31" i="8"/>
  <c r="J36" i="8" s="1"/>
  <c r="T43" i="7"/>
  <c r="J48" i="7" s="1"/>
  <c r="T69" i="7"/>
  <c r="J74" i="7" s="1"/>
  <c r="T57" i="8"/>
  <c r="J62" i="8" s="1"/>
  <c r="J49" i="8"/>
  <c r="J61" i="7"/>
  <c r="R47" i="8"/>
  <c r="J52" i="8" s="1"/>
  <c r="R59" i="7"/>
  <c r="J64" i="7" s="1"/>
  <c r="R51" i="7"/>
  <c r="J55" i="7" s="1"/>
  <c r="R39" i="8"/>
  <c r="J43" i="8" s="1"/>
  <c r="K29" i="8"/>
  <c r="K41" i="7"/>
  <c r="K45" i="8"/>
  <c r="K57" i="7"/>
  <c r="CP29" i="1"/>
  <c r="O29" i="1" s="1"/>
  <c r="GM29" i="1" s="1"/>
  <c r="GP29" i="1" s="1"/>
  <c r="J34" i="8"/>
  <c r="J46" i="7"/>
  <c r="R29" i="1"/>
  <c r="GK29" i="1" s="1"/>
  <c r="V31" i="8"/>
  <c r="V43" i="7"/>
  <c r="R31" i="1"/>
  <c r="V47" i="8"/>
  <c r="J54" i="8" s="1"/>
  <c r="V59" i="7"/>
  <c r="J66" i="7" s="1"/>
  <c r="AL34" i="1"/>
  <c r="T36" i="7"/>
  <c r="J40" i="7" s="1"/>
  <c r="T24" i="8"/>
  <c r="J28" i="8" s="1"/>
  <c r="T47" i="8"/>
  <c r="J53" i="8" s="1"/>
  <c r="T59" i="7"/>
  <c r="J65" i="7" s="1"/>
  <c r="AL72" i="1"/>
  <c r="T72" i="8"/>
  <c r="J77" i="8" s="1"/>
  <c r="T84" i="7"/>
  <c r="J89" i="7" s="1"/>
  <c r="T39" i="8"/>
  <c r="J44" i="8" s="1"/>
  <c r="T51" i="7"/>
  <c r="J56" i="7" s="1"/>
  <c r="J26" i="8"/>
  <c r="I30" i="8" s="1"/>
  <c r="P30" i="8" s="1"/>
  <c r="J38" i="7"/>
  <c r="R28" i="1"/>
  <c r="GK28" i="1" s="1"/>
  <c r="V24" i="8"/>
  <c r="V36" i="7"/>
  <c r="CP30" i="1"/>
  <c r="O30" i="1" s="1"/>
  <c r="GM30" i="1" s="1"/>
  <c r="GP30" i="1" s="1"/>
  <c r="J42" i="8"/>
  <c r="J54" i="7"/>
  <c r="CP32" i="1"/>
  <c r="O32" i="1" s="1"/>
  <c r="GM32" i="1" s="1"/>
  <c r="GP32" i="1" s="1"/>
  <c r="J72" i="7"/>
  <c r="J60" i="8"/>
  <c r="R31" i="8"/>
  <c r="J35" i="8" s="1"/>
  <c r="R43" i="7"/>
  <c r="J47" i="7" s="1"/>
  <c r="AK72" i="1"/>
  <c r="R84" i="7"/>
  <c r="J88" i="7" s="1"/>
  <c r="R72" i="8"/>
  <c r="J76" i="8" s="1"/>
  <c r="R57" i="8"/>
  <c r="J61" i="8" s="1"/>
  <c r="R69" i="7"/>
  <c r="J73" i="7" s="1"/>
  <c r="J41" i="8"/>
  <c r="I46" i="8" s="1"/>
  <c r="P46" i="8" s="1"/>
  <c r="J53" i="7"/>
  <c r="I58" i="7" s="1"/>
  <c r="R70" i="1"/>
  <c r="V84" i="7"/>
  <c r="V72" i="8"/>
  <c r="K30" i="8"/>
  <c r="K46" i="8"/>
  <c r="K58" i="7"/>
  <c r="P58" i="7"/>
  <c r="DF1" i="3"/>
  <c r="DH1" i="3"/>
  <c r="DG1" i="3"/>
  <c r="DI1" i="3"/>
  <c r="DJ1" i="3" s="1"/>
  <c r="AT104" i="1"/>
  <c r="AT26" i="1"/>
  <c r="F52" i="1"/>
  <c r="F45" i="1"/>
  <c r="AZ104" i="1"/>
  <c r="AZ26" i="1"/>
  <c r="F59" i="1"/>
  <c r="BD104" i="1"/>
  <c r="BD26" i="1"/>
  <c r="F82" i="1"/>
  <c r="AQ68" i="1"/>
  <c r="F92" i="1"/>
  <c r="BA68" i="1"/>
  <c r="AQ26" i="1"/>
  <c r="F44" i="1"/>
  <c r="AQ104" i="1"/>
  <c r="BA26" i="1"/>
  <c r="F54" i="1"/>
  <c r="BA104" i="1"/>
  <c r="AP68" i="1"/>
  <c r="F81" i="1"/>
  <c r="AX68" i="1"/>
  <c r="F79" i="1"/>
  <c r="BB68" i="1"/>
  <c r="F85" i="1"/>
  <c r="AH26" i="1"/>
  <c r="U34" i="1"/>
  <c r="AD26" i="1"/>
  <c r="Q34" i="1"/>
  <c r="AK26" i="1"/>
  <c r="X34" i="1"/>
  <c r="AL26" i="1"/>
  <c r="Y34" i="1"/>
  <c r="AL68" i="1"/>
  <c r="Y72" i="1"/>
  <c r="F94" i="1"/>
  <c r="U68" i="1"/>
  <c r="F96" i="1"/>
  <c r="W68" i="1"/>
  <c r="AI26" i="1"/>
  <c r="V34" i="1"/>
  <c r="AB34" i="1"/>
  <c r="GM28" i="1"/>
  <c r="CF72" i="1"/>
  <c r="CH72" i="1"/>
  <c r="AC68" i="1"/>
  <c r="P72" i="1"/>
  <c r="CE72" i="1"/>
  <c r="F43" i="1"/>
  <c r="AP104" i="1"/>
  <c r="AP26" i="1"/>
  <c r="F41" i="1"/>
  <c r="AX104" i="1"/>
  <c r="AX26" i="1"/>
  <c r="F47" i="1"/>
  <c r="BB104" i="1"/>
  <c r="BB26" i="1"/>
  <c r="F76" i="1"/>
  <c r="AO68" i="1"/>
  <c r="AS68" i="1"/>
  <c r="F89" i="1"/>
  <c r="F88" i="1"/>
  <c r="BC68" i="1"/>
  <c r="AO26" i="1"/>
  <c r="F38" i="1"/>
  <c r="AO104" i="1"/>
  <c r="AS26" i="1"/>
  <c r="F51" i="1"/>
  <c r="AS104" i="1"/>
  <c r="BC26" i="1"/>
  <c r="F50" i="1"/>
  <c r="BC104" i="1"/>
  <c r="AT68" i="1"/>
  <c r="F90" i="1"/>
  <c r="AZ68" i="1"/>
  <c r="F83" i="1"/>
  <c r="BD68" i="1"/>
  <c r="F97" i="1"/>
  <c r="AJ26" i="1"/>
  <c r="W34" i="1"/>
  <c r="AG26" i="1"/>
  <c r="T34" i="1"/>
  <c r="AF26" i="1"/>
  <c r="S34" i="1"/>
  <c r="F84" i="1"/>
  <c r="Q68" i="1"/>
  <c r="AF68" i="1"/>
  <c r="S72" i="1"/>
  <c r="AK68" i="1"/>
  <c r="X72" i="1"/>
  <c r="AB72" i="1"/>
  <c r="T68" i="1"/>
  <c r="F93" i="1"/>
  <c r="V68" i="1"/>
  <c r="F95" i="1"/>
  <c r="AC34" i="1"/>
  <c r="AE34" i="1"/>
  <c r="I79" i="8" l="1"/>
  <c r="I42" i="7"/>
  <c r="I76" i="7"/>
  <c r="K76" i="7"/>
  <c r="P76" i="7"/>
  <c r="AE72" i="1"/>
  <c r="GK70" i="1"/>
  <c r="GM70" i="1" s="1"/>
  <c r="GK31" i="1"/>
  <c r="J50" i="8"/>
  <c r="J62" i="7"/>
  <c r="I50" i="7"/>
  <c r="I68" i="7"/>
  <c r="I91" i="7"/>
  <c r="I64" i="8"/>
  <c r="I38" i="8"/>
  <c r="I56" i="8"/>
  <c r="GM31" i="1"/>
  <c r="GP31" i="1" s="1"/>
  <c r="AC26" i="1"/>
  <c r="P34" i="1"/>
  <c r="CE34" i="1"/>
  <c r="CF34" i="1"/>
  <c r="CH34" i="1"/>
  <c r="GP70" i="1"/>
  <c r="CD72" i="1" s="1"/>
  <c r="CA72" i="1"/>
  <c r="F121" i="1"/>
  <c r="E16" i="2" s="1"/>
  <c r="AS22" i="1"/>
  <c r="AS136" i="1"/>
  <c r="AX22" i="1"/>
  <c r="F111" i="1"/>
  <c r="AX136" i="1"/>
  <c r="P68" i="1"/>
  <c r="F75" i="1"/>
  <c r="CH68" i="1"/>
  <c r="AY72" i="1"/>
  <c r="GP28" i="1"/>
  <c r="CD34" i="1" s="1"/>
  <c r="CA34" i="1"/>
  <c r="F57" i="1"/>
  <c r="V26" i="1"/>
  <c r="V104" i="1"/>
  <c r="Y68" i="1"/>
  <c r="F99" i="1"/>
  <c r="Y26" i="1"/>
  <c r="F61" i="1"/>
  <c r="Y104" i="1"/>
  <c r="X26" i="1"/>
  <c r="F60" i="1"/>
  <c r="X104" i="1"/>
  <c r="Q26" i="1"/>
  <c r="Q104" i="1"/>
  <c r="F46" i="1"/>
  <c r="U26" i="1"/>
  <c r="U104" i="1"/>
  <c r="F56" i="1"/>
  <c r="BA22" i="1"/>
  <c r="F124" i="1"/>
  <c r="BA136" i="1"/>
  <c r="AZ22" i="1"/>
  <c r="F115" i="1"/>
  <c r="AZ136" i="1"/>
  <c r="AT22" i="1"/>
  <c r="F122" i="1"/>
  <c r="F16" i="2" s="1"/>
  <c r="AT136" i="1"/>
  <c r="AE26" i="1"/>
  <c r="R34" i="1"/>
  <c r="AB68" i="1"/>
  <c r="O72" i="1"/>
  <c r="X68" i="1"/>
  <c r="F98" i="1"/>
  <c r="S68" i="1"/>
  <c r="F87" i="1"/>
  <c r="S26" i="1"/>
  <c r="F49" i="1"/>
  <c r="S104" i="1"/>
  <c r="F55" i="1"/>
  <c r="T26" i="1"/>
  <c r="T104" i="1"/>
  <c r="W26" i="1"/>
  <c r="W104" i="1"/>
  <c r="F58" i="1"/>
  <c r="BC22" i="1"/>
  <c r="F120" i="1"/>
  <c r="BC136" i="1"/>
  <c r="AO22" i="1"/>
  <c r="F108" i="1"/>
  <c r="AO136" i="1"/>
  <c r="BB22" i="1"/>
  <c r="F117" i="1"/>
  <c r="BB136" i="1"/>
  <c r="AP22" i="1"/>
  <c r="F113" i="1"/>
  <c r="G16" i="2" s="1"/>
  <c r="AP136" i="1"/>
  <c r="CE68" i="1"/>
  <c r="AV72" i="1"/>
  <c r="CF68" i="1"/>
  <c r="AW72" i="1"/>
  <c r="AB26" i="1"/>
  <c r="O34" i="1"/>
  <c r="AQ22" i="1"/>
  <c r="F114" i="1"/>
  <c r="AQ136" i="1"/>
  <c r="BD22" i="1"/>
  <c r="BD136" i="1"/>
  <c r="F129" i="1"/>
  <c r="K79" i="8" l="1"/>
  <c r="P79" i="8"/>
  <c r="I81" i="8" s="1"/>
  <c r="P42" i="7"/>
  <c r="K42" i="7"/>
  <c r="K38" i="8"/>
  <c r="P38" i="8"/>
  <c r="K50" i="7"/>
  <c r="P50" i="7"/>
  <c r="P64" i="8"/>
  <c r="K64" i="8"/>
  <c r="R72" i="1"/>
  <c r="AE68" i="1"/>
  <c r="K91" i="7"/>
  <c r="P91" i="7"/>
  <c r="I93" i="7" s="1"/>
  <c r="P56" i="8"/>
  <c r="K56" i="8"/>
  <c r="P68" i="7"/>
  <c r="K68" i="7"/>
  <c r="BD18" i="1"/>
  <c r="F161" i="1"/>
  <c r="BB18" i="1"/>
  <c r="F149" i="1"/>
  <c r="BC18" i="1"/>
  <c r="F152" i="1"/>
  <c r="W22" i="1"/>
  <c r="F128" i="1"/>
  <c r="W136" i="1"/>
  <c r="T22" i="1"/>
  <c r="F125" i="1"/>
  <c r="T136" i="1"/>
  <c r="F74" i="1"/>
  <c r="O68" i="1"/>
  <c r="R26" i="1"/>
  <c r="F48" i="1"/>
  <c r="R104" i="1"/>
  <c r="AT18" i="1"/>
  <c r="F154" i="1"/>
  <c r="I23" i="7" s="1"/>
  <c r="BA18" i="1"/>
  <c r="F156" i="1"/>
  <c r="U22" i="1"/>
  <c r="F126" i="1"/>
  <c r="U136" i="1"/>
  <c r="Y22" i="1"/>
  <c r="Y136" i="1"/>
  <c r="F131" i="1"/>
  <c r="CA26" i="1"/>
  <c r="AR34" i="1"/>
  <c r="F80" i="1"/>
  <c r="AY68" i="1"/>
  <c r="AX18" i="1"/>
  <c r="F143" i="1"/>
  <c r="CA68" i="1"/>
  <c r="AR72" i="1"/>
  <c r="CH26" i="1"/>
  <c r="AY34" i="1"/>
  <c r="CE26" i="1"/>
  <c r="AV34" i="1"/>
  <c r="AQ18" i="1"/>
  <c r="F146" i="1"/>
  <c r="O26" i="1"/>
  <c r="O104" i="1"/>
  <c r="F36" i="1"/>
  <c r="F78" i="1"/>
  <c r="AW68" i="1"/>
  <c r="AV68" i="1"/>
  <c r="F77" i="1"/>
  <c r="AP18" i="1"/>
  <c r="F145" i="1"/>
  <c r="I24" i="7" s="1"/>
  <c r="AO18" i="1"/>
  <c r="F140" i="1"/>
  <c r="F119" i="1"/>
  <c r="S22" i="1"/>
  <c r="S136" i="1"/>
  <c r="AZ18" i="1"/>
  <c r="F147" i="1"/>
  <c r="Q22" i="1"/>
  <c r="Q136" i="1"/>
  <c r="F116" i="1"/>
  <c r="X22" i="1"/>
  <c r="F130" i="1"/>
  <c r="X136" i="1"/>
  <c r="V22" i="1"/>
  <c r="F127" i="1"/>
  <c r="V136" i="1"/>
  <c r="CD26" i="1"/>
  <c r="AU34" i="1"/>
  <c r="AS18" i="1"/>
  <c r="F153" i="1"/>
  <c r="I22" i="7" s="1"/>
  <c r="CD68" i="1"/>
  <c r="AU72" i="1"/>
  <c r="CF26" i="1"/>
  <c r="AW34" i="1"/>
  <c r="F37" i="1"/>
  <c r="P26" i="1"/>
  <c r="P104" i="1"/>
  <c r="I99" i="7" l="1"/>
  <c r="I78" i="7"/>
  <c r="F86" i="1"/>
  <c r="R68" i="1"/>
  <c r="I66" i="8"/>
  <c r="I87" i="8"/>
  <c r="Q18" i="1"/>
  <c r="F148" i="1"/>
  <c r="O22" i="1"/>
  <c r="F106" i="1"/>
  <c r="O136" i="1"/>
  <c r="F39" i="1"/>
  <c r="AV104" i="1"/>
  <c r="AV26" i="1"/>
  <c r="AY26" i="1"/>
  <c r="F42" i="1"/>
  <c r="AY104" i="1"/>
  <c r="AR68" i="1"/>
  <c r="F100" i="1"/>
  <c r="AR104" i="1"/>
  <c r="AR26" i="1"/>
  <c r="F62" i="1"/>
  <c r="R22" i="1"/>
  <c r="F118" i="1"/>
  <c r="R136" i="1"/>
  <c r="W18" i="1"/>
  <c r="F160" i="1"/>
  <c r="J16" i="2"/>
  <c r="P22" i="1"/>
  <c r="F107" i="1"/>
  <c r="P136" i="1"/>
  <c r="X18" i="1"/>
  <c r="F162" i="1"/>
  <c r="S18" i="1"/>
  <c r="F151" i="1"/>
  <c r="AW26" i="1"/>
  <c r="F40" i="1"/>
  <c r="AW104" i="1"/>
  <c r="AU68" i="1"/>
  <c r="F91" i="1"/>
  <c r="AU26" i="1"/>
  <c r="F53" i="1"/>
  <c r="AU104" i="1"/>
  <c r="V18" i="1"/>
  <c r="F159" i="1"/>
  <c r="Y18" i="1"/>
  <c r="F163" i="1"/>
  <c r="U18" i="1"/>
  <c r="F158" i="1"/>
  <c r="T18" i="1"/>
  <c r="F157" i="1"/>
  <c r="F123" i="1" l="1"/>
  <c r="H16" i="2" s="1"/>
  <c r="I16" i="2" s="1"/>
  <c r="N16" i="2" s="1"/>
  <c r="AU22" i="1"/>
  <c r="AU136" i="1"/>
  <c r="P18" i="1"/>
  <c r="F139" i="1"/>
  <c r="R18" i="1"/>
  <c r="F150" i="1"/>
  <c r="I26" i="7" s="1"/>
  <c r="F102" i="1"/>
  <c r="F101" i="1"/>
  <c r="AY22" i="1"/>
  <c r="F112" i="1"/>
  <c r="AY136" i="1"/>
  <c r="AV22" i="1"/>
  <c r="F109" i="1"/>
  <c r="AV136" i="1"/>
  <c r="O18" i="1"/>
  <c r="F138" i="1"/>
  <c r="AW22" i="1"/>
  <c r="F110" i="1"/>
  <c r="AW136" i="1"/>
  <c r="F63" i="1"/>
  <c r="F64" i="1"/>
  <c r="AR22" i="1"/>
  <c r="F132" i="1"/>
  <c r="AR136" i="1"/>
  <c r="I68" i="8" l="1"/>
  <c r="I80" i="7"/>
  <c r="I81" i="7"/>
  <c r="I69" i="8"/>
  <c r="I95" i="7"/>
  <c r="I83" i="8"/>
  <c r="I84" i="8"/>
  <c r="I96" i="7"/>
  <c r="AU18" i="1"/>
  <c r="F155" i="1"/>
  <c r="I25" i="7" s="1"/>
  <c r="I21" i="7" s="1"/>
  <c r="AR18" i="1"/>
  <c r="F164" i="1"/>
  <c r="AV18" i="1"/>
  <c r="F141" i="1"/>
  <c r="F134" i="1"/>
  <c r="F133" i="1"/>
  <c r="AW18" i="1"/>
  <c r="F142" i="1"/>
  <c r="AY18" i="1"/>
  <c r="F144" i="1"/>
  <c r="F165" i="1" l="1"/>
  <c r="F166" i="1"/>
  <c r="I101" i="7" l="1"/>
  <c r="I89" i="8"/>
  <c r="I88" i="8"/>
  <c r="I100" i="7"/>
</calcChain>
</file>

<file path=xl/sharedStrings.xml><?xml version="1.0" encoding="utf-8"?>
<sst xmlns="http://schemas.openxmlformats.org/spreadsheetml/2006/main" count="1241" uniqueCount="260">
  <si>
    <t>Smeta.RU  (495) 974-1589</t>
  </si>
  <si>
    <t>_PS_</t>
  </si>
  <si>
    <t>Smeta.RU</t>
  </si>
  <si>
    <t/>
  </si>
  <si>
    <t>Новый объект</t>
  </si>
  <si>
    <t>Ремонт входной группы трудовой инспекции</t>
  </si>
  <si>
    <t>Сметные нормы списания</t>
  </si>
  <si>
    <t>Коды ОКП для СН-2012 Выпуск № 8 (в ценах на 01.07.2026 г)</t>
  </si>
  <si>
    <t>СН-2012 Выпуск № 8. (в ценах на 01.07.2026) глава_6</t>
  </si>
  <si>
    <t>Типовой расчет для СН-2012 Выпуск №8 (в ценах на 01.07.2026 г)</t>
  </si>
  <si>
    <t>СН-2012 Выпуск № 8. База данных "Сборник стоимостных нормативов" в текущих ценах по состоянию на 01.07.2026 года</t>
  </si>
  <si>
    <t>Поправки для СН-2012 Выпуск № 8 в ценах на 01.07.2026 г от 02.07.2026</t>
  </si>
  <si>
    <t>Новая локальная смета</t>
  </si>
  <si>
    <t>Новый раздел</t>
  </si>
  <si>
    <t>Ремонт входной группы трудовой инспекции по адресу Домодедовская ул., д. 24, корп. 3</t>
  </si>
  <si>
    <t>1</t>
  </si>
  <si>
    <t>1.20-3104-1-4/1</t>
  </si>
  <si>
    <t>Демонтаж осветительных приборов - светильник для люминесцентных ламп</t>
  </si>
  <si>
    <t>100 шт.</t>
  </si>
  <si>
    <t>СН-2012-2026.1. База. Сб.20-3104-1-4/1</t>
  </si>
  <si>
    <t>СН-2012</t>
  </si>
  <si>
    <t>Подрядные работы, гл. 1-5,7</t>
  </si>
  <si>
    <t>работа</t>
  </si>
  <si>
    <t>2</t>
  </si>
  <si>
    <t>1.7-5103-1-1/1</t>
  </si>
  <si>
    <t>Расчистка и окраска металлических конструкций</t>
  </si>
  <si>
    <t>10 м2</t>
  </si>
  <si>
    <t>СН-2012-2026.1. База. Сб.7-5103-1-1/1</t>
  </si>
  <si>
    <t>3</t>
  </si>
  <si>
    <t>1.13-5302-5-19/1</t>
  </si>
  <si>
    <t>Высококачественная поливинилацетатная окраска с расчисткой преждеокрашенных оштукатуренных поверхностей стен, пилястр, откосов, колонн с расчисткой до 30%</t>
  </si>
  <si>
    <t>СН-2012-2026.1. База. Сб.13-5302-5-19/1</t>
  </si>
  <si>
    <t>4</t>
  </si>
  <si>
    <t>1.20-3103-22-1/1</t>
  </si>
  <si>
    <t>Установка светильника светодиодного линейного с креплением на монтажные скобы, со встроенным драйвером, длиной до 1500 мм, на бетонный (железобетонный) потолок / светильник размером 1200х75х25 мм в комплекте с монтажными скобами /</t>
  </si>
  <si>
    <t>шт.</t>
  </si>
  <si>
    <t>СН-2012-2026.1. База. Сб.20-3103-22-1/1</t>
  </si>
  <si>
    <t>5</t>
  </si>
  <si>
    <t>1.11-3402-1-3/1</t>
  </si>
  <si>
    <t>Смена дверных приборов - ручек-скоб</t>
  </si>
  <si>
    <t>СН-2012.1 Выпуск № 8 (в текущих ценах по состоянию на 01.07.2026 г.). 1.11-3402-1-3/1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</si>
  <si>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</si>
  <si>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</si>
  <si>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</si>
  <si>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</si>
  <si>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</si>
  <si>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</si>
  <si>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</si>
  <si>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</si>
  <si>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</si>
  <si>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</si>
  <si>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</si>
  <si>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</si>
  <si>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</si>
  <si>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</si>
  <si>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</si>
  <si>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</si>
  <si>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</si>
  <si>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</si>
  <si>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</si>
  <si>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</si>
  <si>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</si>
  <si>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</si>
  <si>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</si>
  <si>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</si>
  <si>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</si>
  <si>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</si>
  <si>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</si>
  <si>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</si>
  <si>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</si>
  <si>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</si>
  <si>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</si>
  <si>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</si>
  <si>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</si>
  <si>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</si>
  <si>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</si>
  <si>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</si>
  <si>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</si>
  <si>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</si>
  <si>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</si>
  <si>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</si>
  <si>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</si>
  <si>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</si>
  <si>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</si>
  <si>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</si>
  <si>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</si>
  <si>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</si>
  <si>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</si>
  <si>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</si>
  <si>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</si>
  <si>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</si>
  <si>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</si>
  <si>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</si>
  <si>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</si>
  <si>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</si>
  <si>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ндс</t>
  </si>
  <si>
    <t>НДС 22%</t>
  </si>
  <si>
    <t>вс</t>
  </si>
  <si>
    <t>Итого с НДС</t>
  </si>
  <si>
    <t>Ремонт кабинета</t>
  </si>
  <si>
    <t>6</t>
  </si>
  <si>
    <t>Уровень цен</t>
  </si>
  <si>
    <t>_OBSM_</t>
  </si>
  <si>
    <t>9999990008</t>
  </si>
  <si>
    <t>Трудозатраты рабочих</t>
  </si>
  <si>
    <t>чел.-ч.</t>
  </si>
  <si>
    <t>21.1-11-122</t>
  </si>
  <si>
    <t>СН-2012.21 Выпуск № 8 (в текущих ценах по состоянию на 01.07.2026 г.). 21.1-11-122</t>
  </si>
  <si>
    <t>Шурупы с потайной головкой, черные, размер 3,5х35 мм</t>
  </si>
  <si>
    <t>т</t>
  </si>
  <si>
    <t>21.8-1-32</t>
  </si>
  <si>
    <t>СН-2012.21 Выпуск № 8 (в текущих ценах по состоянию на 01.07.2026 г.). 21.8-1-32</t>
  </si>
  <si>
    <t>Ручка-скоба, тип РС, длина 80 мм</t>
  </si>
  <si>
    <t>"СОГЛАСОВАНО"</t>
  </si>
  <si>
    <t>"УТВЕРЖДАЮ"</t>
  </si>
  <si>
    <t>Форма № 1а (глава 1-5)</t>
  </si>
  <si>
    <t>"_____"________________ 2026 г.</t>
  </si>
  <si>
    <t>(наименование объекта)</t>
  </si>
  <si>
    <t>(локальный сметный расчет)</t>
  </si>
  <si>
    <t>(наименование работ и затрат, наименование объекта)</t>
  </si>
  <si>
    <t>Сметная стоимость</t>
  </si>
  <si>
    <t>тыс.руб</t>
  </si>
  <si>
    <t>Строительные работы</t>
  </si>
  <si>
    <t>Монтажные работы</t>
  </si>
  <si>
    <t>Оборудование</t>
  </si>
  <si>
    <t>Прочие работы</t>
  </si>
  <si>
    <t>Средства на оплату труда</t>
  </si>
  <si>
    <t>№№ п/п</t>
  </si>
  <si>
    <t>Шифр стоимостного норматива и коды ресурсов</t>
  </si>
  <si>
    <t>Наименование работ и затрат</t>
  </si>
  <si>
    <t>Единица измерения</t>
  </si>
  <si>
    <t>Кол-во единиц</t>
  </si>
  <si>
    <t>Цена на ед. изм. руб.</t>
  </si>
  <si>
    <t>Попра-вочные коэфф.</t>
  </si>
  <si>
    <t>Коэфф. зимних удоро-жаний</t>
  </si>
  <si>
    <t>Коэфф. пересчета</t>
  </si>
  <si>
    <t>ВСЕГО затрат, руб.</t>
  </si>
  <si>
    <t>Справочно</t>
  </si>
  <si>
    <t xml:space="preserve">ЗТР, всего чел.-час
</t>
  </si>
  <si>
    <t xml:space="preserve">Ст-ть ед. с начислен.
</t>
  </si>
  <si>
    <t>Составлен(а) в уровне текущих (прогнозных) цен на июль 2026 года</t>
  </si>
  <si>
    <t>ЗП</t>
  </si>
  <si>
    <t>НР от ЗП</t>
  </si>
  <si>
    <t>%</t>
  </si>
  <si>
    <t>НП от ЗП</t>
  </si>
  <si>
    <t>ЗТР</t>
  </si>
  <si>
    <t>чел-ч</t>
  </si>
  <si>
    <t>МР</t>
  </si>
  <si>
    <t>ЭМ</t>
  </si>
  <si>
    <t>в т.ч. ЗПМ</t>
  </si>
  <si>
    <t>НР и НП от ЗПМ</t>
  </si>
  <si>
    <t xml:space="preserve">Составил   </t>
  </si>
  <si>
    <t>[должность,подпись(инициалы,фамилия)]</t>
  </si>
  <si>
    <t xml:space="preserve">Проверил   </t>
  </si>
  <si>
    <t>Заказчик:</t>
  </si>
  <si>
    <t>Подрядчик:</t>
  </si>
  <si>
    <t xml:space="preserve">АКТ № _________ ПРИЁМА РАБОТ за _________________________ 20___ </t>
  </si>
  <si>
    <t>Объект:</t>
  </si>
  <si>
    <t>Наименование:</t>
  </si>
  <si>
    <t>Шифр расценки и коды ресурсов</t>
  </si>
  <si>
    <t>ЗТР, всего чел.-час</t>
  </si>
  <si>
    <t>Ст-ть ед. с начислен.</t>
  </si>
  <si>
    <t>СП от ЗП</t>
  </si>
  <si>
    <t>НР и СП от ЗПМ</t>
  </si>
  <si>
    <t xml:space="preserve">Сдал   </t>
  </si>
  <si>
    <t xml:space="preserve">Принял   </t>
  </si>
  <si>
    <t>TYPE</t>
  </si>
  <si>
    <t>SOURCE_LINK</t>
  </si>
  <si>
    <t>RABMAT_EX</t>
  </si>
  <si>
    <t>TIP_RAB</t>
  </si>
  <si>
    <t>TYPE_TRUD</t>
  </si>
  <si>
    <t>TAB</t>
  </si>
  <si>
    <t>NAME</t>
  </si>
  <si>
    <t>EDIZM</t>
  </si>
  <si>
    <t>KOLL</t>
  </si>
  <si>
    <t>UCH</t>
  </si>
  <si>
    <t>PRICE_B</t>
  </si>
  <si>
    <t>PRICE_ED</t>
  </si>
  <si>
    <t>STOIM_B</t>
  </si>
  <si>
    <t>PRICE_C</t>
  </si>
  <si>
    <t>STOIM_C</t>
  </si>
  <si>
    <t>ZPM_B</t>
  </si>
  <si>
    <t>ZPM_ED</t>
  </si>
  <si>
    <t>STOIM_ZPM_B</t>
  </si>
  <si>
    <t>ZPM_C</t>
  </si>
  <si>
    <t>STOIM_ZPM_C</t>
  </si>
  <si>
    <t>CRC_GR_RES</t>
  </si>
  <si>
    <t>CRC_B</t>
  </si>
  <si>
    <t>CRC_C</t>
  </si>
  <si>
    <t>RABMAT</t>
  </si>
  <si>
    <t>WBS</t>
  </si>
  <si>
    <t>CBSI</t>
  </si>
  <si>
    <t>CBSII</t>
  </si>
  <si>
    <t>TechSpecCVORPP</t>
  </si>
  <si>
    <t>BuildingFinished</t>
  </si>
  <si>
    <t>PEREVOZKA</t>
  </si>
  <si>
    <t>Trud</t>
  </si>
  <si>
    <t>Mash</t>
  </si>
  <si>
    <t>Mat</t>
  </si>
  <si>
    <t>MatZak</t>
  </si>
  <si>
    <t>Oborud</t>
  </si>
  <si>
    <t>OborudZak</t>
  </si>
  <si>
    <t>ZeroStoim</t>
  </si>
  <si>
    <t>NegativeKoll</t>
  </si>
  <si>
    <t>ReUnionKollResurcy</t>
  </si>
  <si>
    <t>UnionOneUchRes</t>
  </si>
  <si>
    <t>IdLevel</t>
  </si>
  <si>
    <t>ViewCodes</t>
  </si>
  <si>
    <t>UnionCodes</t>
  </si>
  <si>
    <t>Ресурсная ведомость на</t>
  </si>
  <si>
    <t>Объект: Ремонт входной группы трудовой инспекции</t>
  </si>
  <si>
    <t>Обоснование</t>
  </si>
  <si>
    <t>Наименование</t>
  </si>
  <si>
    <t>Объем</t>
  </si>
  <si>
    <t>Базовая</t>
  </si>
  <si>
    <t>цена</t>
  </si>
  <si>
    <t>стоимость</t>
  </si>
  <si>
    <t>Раздел: Ремонт входной группы трудовой инспекции по адресу Домодедовская ул., д. 24, корп. 3</t>
  </si>
  <si>
    <t xml:space="preserve">Материальные ресурсы </t>
  </si>
  <si>
    <t xml:space="preserve">Итого материальные ресурсы 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</si>
  <si>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</si>
  <si>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</si>
  <si>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</si>
  <si>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</si>
  <si>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Форма по ОКУД</t>
  </si>
  <si>
    <t xml:space="preserve">Инвестор </t>
  </si>
  <si>
    <t>по ОКПО</t>
  </si>
  <si>
    <t>организация, адрес, телефон, факс</t>
  </si>
  <si>
    <t xml:space="preserve">Заказчик (генподрядчик) </t>
  </si>
  <si>
    <t xml:space="preserve">Подрядчик (субподрядчик) </t>
  </si>
  <si>
    <t xml:space="preserve">Стройка </t>
  </si>
  <si>
    <t>наименование, адрес</t>
  </si>
  <si>
    <t>Вид деятельности  по ОКДП</t>
  </si>
  <si>
    <t xml:space="preserve">Договор подряда (контракт) 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</si>
  <si>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</si>
  <si>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</si>
  <si>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</si>
  <si>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</si>
  <si>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</si>
  <si>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</si>
  <si>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</si>
  <si>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</si>
  <si>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СПРАВКА</t>
  </si>
  <si>
    <t>СТОИМОСТИ ВЫПОЛНЕННЫХ РАБОТ И ЗАТРАТ</t>
  </si>
  <si>
    <t>№ п/п</t>
  </si>
  <si>
    <t>Наименование пусковых комплексов, объектов, видов работ, оборудования, затрат</t>
  </si>
  <si>
    <t>Код</t>
  </si>
  <si>
    <t>Стоимость выполненных работ и затрат</t>
  </si>
  <si>
    <t>с начала проведения работ</t>
  </si>
  <si>
    <t>с начала года по отчетный период включительно</t>
  </si>
  <si>
    <t>в том числе за отчетный месяц</t>
  </si>
  <si>
    <t>Всего работ и затрат, включаемых в стоимость</t>
  </si>
  <si>
    <t>В том числе:</t>
  </si>
  <si>
    <t>Итого</t>
  </si>
  <si>
    <t xml:space="preserve">Сумма НДС </t>
  </si>
  <si>
    <t xml:space="preserve">Всего с учетом НДС </t>
  </si>
  <si>
    <t>должность</t>
  </si>
  <si>
    <t>подпись</t>
  </si>
  <si>
    <t>расшифровка подпись</t>
  </si>
  <si>
    <t>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</si>
</sst>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#,##0.00;[Red]\-\ #,##0.00"/>
  </numFmts>
  <fonts count="17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i/>
      <sz val="11"/>
      <name val="Arial"/>
      <family val="2"/>
      <charset val="204"/>
    </font>
    <font>
      <sz val="13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wrapText="1"/>
    </xf>
    <xf numFmtId="0" fontId="8" fillId="0" borderId="0" xfId="0" applyFont="1" applyAlignment="1">
      <alignment horizontal="center" wrapText="1"/>
    </xf>
    <xf numFmtId="164" fontId="9" fillId="0" borderId="0" xfId="0" applyNumberFormat="1" applyFont="1"/>
    <xf numFmtId="1" fontId="9" fillId="0" borderId="0" xfId="0" applyNumberFormat="1" applyFont="1"/>
    <xf numFmtId="0" fontId="1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0" xfId="0" applyNumberFormat="1" applyFont="1" applyAlignment="1">
      <alignment horizontal="right"/>
    </xf>
    <xf numFmtId="0" fontId="7" fillId="0" borderId="0" xfId="0" applyFont="1" applyAlignment="1">
      <alignment vertical="top" wrapText="1"/>
    </xf>
    <xf numFmtId="165" fontId="0" fillId="0" borderId="0" xfId="0" applyNumberFormat="1"/>
    <xf numFmtId="0" fontId="0" fillId="0" borderId="6" xfId="0" applyBorder="1"/>
    <xf numFmtId="165" fontId="16" fillId="0" borderId="6" xfId="0" applyNumberFormat="1" applyFont="1" applyBorder="1" applyAlignment="1">
      <alignment horizontal="right"/>
    </xf>
    <xf numFmtId="165" fontId="14" fillId="0" borderId="0" xfId="0" applyNumberFormat="1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9" fillId="0" borderId="1" xfId="0" applyFont="1" applyBorder="1"/>
    <xf numFmtId="0" fontId="10" fillId="0" borderId="4" xfId="0" quotePrefix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14" fontId="9" fillId="0" borderId="0" xfId="0" applyNumberFormat="1" applyFont="1"/>
    <xf numFmtId="0" fontId="9" fillId="0" borderId="8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 applyAlignment="1"/>
    <xf numFmtId="0" fontId="9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/>
    </xf>
    <xf numFmtId="0" fontId="10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5" fontId="16" fillId="0" borderId="6" xfId="0" applyNumberFormat="1" applyFont="1" applyBorder="1" applyAlignment="1">
      <alignment horizontal="right"/>
    </xf>
    <xf numFmtId="0" fontId="16" fillId="0" borderId="0" xfId="0" applyFont="1" applyAlignment="1">
      <alignment horizontal="left" wrapText="1"/>
    </xf>
    <xf numFmtId="165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right"/>
    </xf>
    <xf numFmtId="165" fontId="16" fillId="0" borderId="4" xfId="0" applyNumberFormat="1" applyFont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1" xfId="0" applyFont="1" applyBorder="1"/>
    <xf numFmtId="0" fontId="9" fillId="0" borderId="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14" fontId="9" fillId="0" borderId="8" xfId="0" applyNumberFormat="1" applyFont="1" applyBorder="1" applyAlignment="1">
      <alignment horizontal="center"/>
    </xf>
    <xf numFmtId="14" fontId="9" fillId="0" borderId="14" xfId="0" applyNumberFormat="1" applyFont="1" applyBorder="1" applyAlignment="1">
      <alignment horizontal="center"/>
    </xf>
    <xf numFmtId="0" fontId="9" fillId="0" borderId="9" xfId="0" applyFont="1" applyBorder="1"/>
    <xf numFmtId="0" fontId="9" fillId="0" borderId="11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4" fontId="9" fillId="0" borderId="9" xfId="0" applyNumberFormat="1" applyFont="1" applyBorder="1" applyAlignment="1">
      <alignment horizontal="center"/>
    </xf>
    <xf numFmtId="14" fontId="9" fillId="0" borderId="11" xfId="0" applyNumberFormat="1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right" vertical="center" wrapText="1" shrinkToFit="1"/>
    </xf>
    <xf numFmtId="165" fontId="9" fillId="0" borderId="9" xfId="0" applyNumberFormat="1" applyFont="1" applyBorder="1" applyAlignment="1">
      <alignment horizontal="right" vertical="center" wrapText="1" shrinkToFit="1"/>
    </xf>
    <xf numFmtId="0" fontId="9" fillId="0" borderId="11" xfId="0" applyFont="1" applyBorder="1" applyAlignment="1">
      <alignment horizontal="right" vertical="center" wrapText="1" shrinkToFit="1"/>
    </xf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justify" vertical="top" wrapText="1" shrinkToFit="1"/>
    </xf>
    <xf numFmtId="0" fontId="9" fillId="0" borderId="2" xfId="0" applyFont="1" applyBorder="1" applyAlignment="1">
      <alignment horizontal="justify" vertical="top" wrapText="1" shrinkToFit="1"/>
    </xf>
    <xf numFmtId="165" fontId="9" fillId="0" borderId="8" xfId="0" applyNumberFormat="1" applyFont="1" applyBorder="1" applyAlignment="1">
      <alignment horizontal="right" wrapText="1" shrinkToFit="1"/>
    </xf>
    <xf numFmtId="0" fontId="9" fillId="0" borderId="2" xfId="0" applyFont="1" applyBorder="1" applyAlignment="1">
      <alignment horizontal="right" wrapText="1" shrinkToFit="1"/>
    </xf>
    <xf numFmtId="0" fontId="9" fillId="0" borderId="14" xfId="0" applyFont="1" applyBorder="1" applyAlignment="1">
      <alignment horizontal="right" wrapText="1" shrinkToFit="1"/>
    </xf>
    <xf numFmtId="0" fontId="9" fillId="0" borderId="9" xfId="0" applyFont="1" applyBorder="1" applyAlignment="1">
      <alignment horizontal="justify" vertical="top" wrapText="1" shrinkToFit="1"/>
    </xf>
    <xf numFmtId="0" fontId="9" fillId="0" borderId="10" xfId="0" applyFont="1" applyBorder="1" applyAlignment="1">
      <alignment horizontal="justify" vertical="top" wrapText="1" shrinkToFit="1"/>
    </xf>
    <xf numFmtId="0" fontId="9" fillId="0" borderId="14" xfId="0" applyFont="1" applyBorder="1" applyAlignment="1">
      <alignment horizontal="justify" vertical="top" wrapText="1" shrinkToFit="1"/>
    </xf>
    <xf numFmtId="0" fontId="9" fillId="0" borderId="14" xfId="0" applyFont="1" applyBorder="1" applyAlignment="1">
      <alignment horizontal="right"/>
    </xf>
    <xf numFmtId="165" fontId="9" fillId="0" borderId="8" xfId="0" applyNumberFormat="1" applyFont="1" applyBorder="1" applyAlignment="1">
      <alignment horizontal="right"/>
    </xf>
    <xf numFmtId="165" fontId="9" fillId="0" borderId="8" xfId="0" applyNumberFormat="1" applyFont="1" applyBorder="1" applyAlignment="1">
      <alignment horizontal="right" vertical="center" wrapText="1" shrinkToFit="1"/>
    </xf>
    <xf numFmtId="0" fontId="9" fillId="0" borderId="14" xfId="0" applyFont="1" applyBorder="1" applyAlignment="1">
      <alignment horizontal="right" vertical="center" wrapText="1" shrinkToFit="1"/>
    </xf>
    <xf numFmtId="0" fontId="9" fillId="0" borderId="0" xfId="0" applyFont="1" applyAlignment="1">
      <alignment horizontal="right" vertical="center" shrinkToFit="1"/>
    </xf>
    <xf numFmtId="0" fontId="9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8"/>
  <sheetViews>
    <sheetView tabSelected="1" topLeftCell="A29" zoomScaleNormal="100" workbookViewId="0">
      <selection activeCell="C91" sqref="C91"/>
    </sheetView>
  </sheetViews>
  <sheetFormatPr defaultRowHeight="12.75" x14ac:dyDescent="0.2"/>
  <cols>
    <col min="1" max="1" width="5.7109375" customWidth="1"/>
    <col min="2" max="2" width="11.7109375" customWidth="1"/>
    <col min="3" max="3" width="40.7109375" customWidth="1"/>
    <col min="4" max="6" width="11.7109375" customWidth="1"/>
    <col min="7" max="11" width="12.7109375" customWidth="1"/>
    <col min="15" max="31" width="0" hidden="1" customWidth="1"/>
    <col min="32" max="32" width="116.7109375" hidden="1" customWidth="1"/>
    <col min="33" max="36" width="0" hidden="1" customWidth="1"/>
  </cols>
  <sheetData>
    <row r="1" spans="1:11" x14ac:dyDescent="0.2">
      <c r="A1" s="8" t="str">
        <f>CONCATENATE(Source!B1, "     СН-2012 (© ГБУ «Аналитический центр», ", "2026", ")")</f>
        <v>Smeta.RU  (495) 974-1589     СН-2012 (© ГБУ «Аналитический центр», 2026)</v>
      </c>
    </row>
    <row r="2" spans="1:11" ht="14.25" x14ac:dyDescent="0.2">
      <c r="A2" s="9"/>
      <c r="B2" s="9"/>
      <c r="C2" s="9"/>
      <c r="D2" s="9"/>
      <c r="E2" s="9"/>
      <c r="F2" s="9"/>
      <c r="G2" s="9"/>
      <c r="H2" s="9"/>
      <c r="I2" s="9"/>
      <c r="J2" s="49" t="s">
        <v>115</v>
      </c>
      <c r="K2" s="49"/>
    </row>
    <row r="3" spans="1:11" ht="16.5" x14ac:dyDescent="0.25">
      <c r="A3" s="11"/>
      <c r="B3" s="46" t="s">
        <v>113</v>
      </c>
      <c r="C3" s="46"/>
      <c r="D3" s="46"/>
      <c r="E3" s="46"/>
      <c r="F3" s="10"/>
      <c r="G3" s="46" t="s">
        <v>114</v>
      </c>
      <c r="H3" s="46"/>
      <c r="I3" s="46"/>
      <c r="J3" s="46"/>
      <c r="K3" s="46"/>
    </row>
    <row r="4" spans="1:11" ht="14.25" x14ac:dyDescent="0.2">
      <c r="A4" s="10"/>
      <c r="B4" s="47"/>
      <c r="C4" s="47"/>
      <c r="D4" s="47"/>
      <c r="E4" s="47"/>
      <c r="F4" s="10"/>
      <c r="G4" s="47"/>
      <c r="H4" s="47"/>
      <c r="I4" s="47"/>
      <c r="J4" s="47"/>
      <c r="K4" s="47"/>
    </row>
    <row r="5" spans="1:11" ht="14.25" x14ac:dyDescent="0.2">
      <c r="A5" s="12"/>
      <c r="B5" s="12"/>
      <c r="C5" s="13"/>
      <c r="D5" s="13"/>
      <c r="E5" s="13"/>
      <c r="F5" s="10"/>
      <c r="G5" s="14"/>
      <c r="H5" s="13"/>
      <c r="I5" s="13"/>
      <c r="J5" s="13"/>
      <c r="K5" s="14"/>
    </row>
    <row r="6" spans="1:11" ht="14.25" x14ac:dyDescent="0.2">
      <c r="A6" s="14"/>
      <c r="B6" s="47" t="str">
        <f>CONCATENATE("______________________ ", IF(Source!AL12&lt;&gt;"", Source!AL12, ""))</f>
        <v xml:space="preserve">______________________ </v>
      </c>
      <c r="C6" s="47"/>
      <c r="D6" s="47"/>
      <c r="E6" s="47"/>
      <c r="F6" s="10"/>
      <c r="G6" s="47" t="str">
        <f>CONCATENATE("______________________ ", IF(Source!AH12&lt;&gt;"", Source!AH12, ""))</f>
        <v xml:space="preserve">______________________ </v>
      </c>
      <c r="H6" s="47"/>
      <c r="I6" s="47"/>
      <c r="J6" s="47"/>
      <c r="K6" s="47"/>
    </row>
    <row r="7" spans="1:11" ht="14.25" x14ac:dyDescent="0.2">
      <c r="A7" s="15"/>
      <c r="B7" s="48" t="s">
        <v>116</v>
      </c>
      <c r="C7" s="48"/>
      <c r="D7" s="48"/>
      <c r="E7" s="48"/>
      <c r="F7" s="10"/>
      <c r="G7" s="48" t="s">
        <v>116</v>
      </c>
      <c r="H7" s="48"/>
      <c r="I7" s="48"/>
      <c r="J7" s="48"/>
      <c r="K7" s="48"/>
    </row>
    <row r="9" spans="1:11" ht="14.25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8" hidden="1" x14ac:dyDescent="0.25">
      <c r="A10" s="50" t="str">
        <f>IF(Source!G12&lt;&gt;"Новый объект", Source!G12, "")</f>
        <v>Ремонт входной группы трудовой инспекции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hidden="1" x14ac:dyDescent="0.2">
      <c r="A11" s="51" t="s">
        <v>117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1" ht="14.25" hidden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5.75" x14ac:dyDescent="0.25">
      <c r="A13" s="44" t="str">
        <f>CONCATENATE( "ЛОКАЛЬНЫЙ СМЕТНЫЙ РАСЧЕТ № ",IF(Source!F12&lt;&gt;"Новый объект", Source!F12, ""))</f>
        <v xml:space="preserve">ЛОКАЛЬНЫЙ СМЕТНЫЙ РАСЧЕТ № 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">
      <c r="A14" s="52" t="s">
        <v>118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</row>
    <row r="15" spans="1:1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18" x14ac:dyDescent="0.25">
      <c r="A16" s="50" t="str">
        <f>IF(Source!G12&lt;&gt;"Новый объект", Source!G12, "")</f>
        <v>Ремонт входной группы трудовой инспекции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</row>
    <row r="17" spans="1:11" x14ac:dyDescent="0.2">
      <c r="A17" s="52" t="s">
        <v>119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</row>
    <row r="18" spans="1:11" ht="14.25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4.25" x14ac:dyDescent="0.2">
      <c r="A19" s="54" t="str">
        <f>CONCATENATE( "Основание: чертежи № ", Source!J12)</f>
        <v xml:space="preserve">Основание: чертежи № 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</row>
    <row r="20" spans="1:11" ht="14.25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4.25" x14ac:dyDescent="0.2">
      <c r="A21" s="10"/>
      <c r="B21" s="10"/>
      <c r="C21" s="10"/>
      <c r="D21" s="10"/>
      <c r="E21" s="10"/>
      <c r="F21" s="47" t="s">
        <v>120</v>
      </c>
      <c r="G21" s="47"/>
      <c r="H21" s="47"/>
      <c r="I21" s="55">
        <f>I22+I23+I24+I25</f>
        <v>325.02999999999997</v>
      </c>
      <c r="J21" s="49"/>
      <c r="K21" s="10" t="s">
        <v>121</v>
      </c>
    </row>
    <row r="22" spans="1:11" ht="14.25" hidden="1" x14ac:dyDescent="0.2">
      <c r="A22" s="10"/>
      <c r="B22" s="10"/>
      <c r="C22" s="10"/>
      <c r="D22" s="10"/>
      <c r="E22" s="10"/>
      <c r="F22" s="47" t="s">
        <v>122</v>
      </c>
      <c r="G22" s="47"/>
      <c r="H22" s="47"/>
      <c r="I22" s="55">
        <f>ROUND((Source!F153)/1000, 2)</f>
        <v>0</v>
      </c>
      <c r="J22" s="49"/>
      <c r="K22" s="10" t="s">
        <v>121</v>
      </c>
    </row>
    <row r="23" spans="1:11" ht="14.25" hidden="1" x14ac:dyDescent="0.2">
      <c r="A23" s="10"/>
      <c r="B23" s="10"/>
      <c r="C23" s="10"/>
      <c r="D23" s="10"/>
      <c r="E23" s="10"/>
      <c r="F23" s="47" t="s">
        <v>123</v>
      </c>
      <c r="G23" s="47"/>
      <c r="H23" s="47"/>
      <c r="I23" s="55">
        <f>ROUND((Source!F154)/1000, 2)</f>
        <v>0</v>
      </c>
      <c r="J23" s="49"/>
      <c r="K23" s="10" t="s">
        <v>121</v>
      </c>
    </row>
    <row r="24" spans="1:11" ht="14.25" hidden="1" x14ac:dyDescent="0.2">
      <c r="A24" s="10"/>
      <c r="B24" s="10"/>
      <c r="C24" s="10"/>
      <c r="D24" s="10"/>
      <c r="E24" s="10"/>
      <c r="F24" s="47" t="s">
        <v>124</v>
      </c>
      <c r="G24" s="47"/>
      <c r="H24" s="47"/>
      <c r="I24" s="55">
        <f>ROUND((Source!F145)/1000, 2)</f>
        <v>0</v>
      </c>
      <c r="J24" s="49"/>
      <c r="K24" s="10" t="s">
        <v>121</v>
      </c>
    </row>
    <row r="25" spans="1:11" ht="14.25" hidden="1" x14ac:dyDescent="0.2">
      <c r="A25" s="10"/>
      <c r="B25" s="10"/>
      <c r="C25" s="10"/>
      <c r="D25" s="10"/>
      <c r="E25" s="10"/>
      <c r="F25" s="47" t="s">
        <v>125</v>
      </c>
      <c r="G25" s="47"/>
      <c r="H25" s="47"/>
      <c r="I25" s="55">
        <f>ROUND((Source!F155+Source!F156)/1000, 2)</f>
        <v>325.02999999999997</v>
      </c>
      <c r="J25" s="49"/>
      <c r="K25" s="10" t="s">
        <v>121</v>
      </c>
    </row>
    <row r="26" spans="1:11" ht="14.25" x14ac:dyDescent="0.2">
      <c r="A26" s="10"/>
      <c r="B26" s="10"/>
      <c r="C26" s="10"/>
      <c r="D26" s="10"/>
      <c r="E26" s="10"/>
      <c r="F26" s="47" t="s">
        <v>126</v>
      </c>
      <c r="G26" s="47"/>
      <c r="H26" s="47"/>
      <c r="I26" s="55">
        <f>(Source!F151+ Source!F150)/1000</f>
        <v>154.02393000000001</v>
      </c>
      <c r="J26" s="49"/>
      <c r="K26" s="10" t="s">
        <v>121</v>
      </c>
    </row>
    <row r="27" spans="1:11" ht="14.25" x14ac:dyDescent="0.2">
      <c r="A27" s="10" t="s">
        <v>140</v>
      </c>
      <c r="B27" s="10"/>
      <c r="C27" s="10"/>
      <c r="D27" s="17"/>
      <c r="E27" s="18"/>
      <c r="F27" s="10"/>
      <c r="G27" s="10"/>
      <c r="H27" s="10"/>
      <c r="I27" s="10"/>
      <c r="J27" s="10"/>
      <c r="K27" s="10"/>
    </row>
    <row r="28" spans="1:11" ht="14.25" x14ac:dyDescent="0.2">
      <c r="A28" s="57" t="s">
        <v>127</v>
      </c>
      <c r="B28" s="57" t="s">
        <v>128</v>
      </c>
      <c r="C28" s="57" t="s">
        <v>129</v>
      </c>
      <c r="D28" s="57" t="s">
        <v>130</v>
      </c>
      <c r="E28" s="57" t="s">
        <v>131</v>
      </c>
      <c r="F28" s="57" t="s">
        <v>132</v>
      </c>
      <c r="G28" s="57" t="s">
        <v>133</v>
      </c>
      <c r="H28" s="57" t="s">
        <v>134</v>
      </c>
      <c r="I28" s="57" t="s">
        <v>135</v>
      </c>
      <c r="J28" s="57" t="s">
        <v>136</v>
      </c>
      <c r="K28" s="19" t="s">
        <v>137</v>
      </c>
    </row>
    <row r="29" spans="1:11" ht="42.75" x14ac:dyDescent="0.2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20" t="s">
        <v>138</v>
      </c>
    </row>
    <row r="30" spans="1:11" ht="42.75" x14ac:dyDescent="0.2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20" t="s">
        <v>139</v>
      </c>
    </row>
    <row r="31" spans="1:11" ht="14.25" x14ac:dyDescent="0.2">
      <c r="A31" s="20">
        <v>1</v>
      </c>
      <c r="B31" s="20">
        <v>2</v>
      </c>
      <c r="C31" s="20">
        <v>3</v>
      </c>
      <c r="D31" s="20">
        <v>4</v>
      </c>
      <c r="E31" s="20">
        <v>5</v>
      </c>
      <c r="F31" s="20">
        <v>6</v>
      </c>
      <c r="G31" s="20">
        <v>7</v>
      </c>
      <c r="H31" s="20">
        <v>8</v>
      </c>
      <c r="I31" s="20">
        <v>9</v>
      </c>
      <c r="J31" s="20">
        <v>10</v>
      </c>
      <c r="K31" s="20">
        <v>11</v>
      </c>
    </row>
    <row r="33" spans="1:22" ht="16.5" x14ac:dyDescent="0.25">
      <c r="A33" s="56" t="str">
        <f>CONCATENATE("Локальная смета: ",IF(Source!G20&lt;&gt;"Новая локальная смета", Source!G20, ""))</f>
        <v xml:space="preserve">Локальная смета: 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</row>
    <row r="35" spans="1:22" ht="16.5" x14ac:dyDescent="0.25">
      <c r="A35" s="56" t="str">
        <f>CONCATENATE("Раздел: ",IF(Source!G24&lt;&gt;"Новый раздел", Source!G24, ""))</f>
        <v>Раздел: Ремонт входной группы трудовой инспекции по адресу Домодедовская ул., д. 24, корп. 3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</row>
    <row r="36" spans="1:22" ht="28.5" x14ac:dyDescent="0.2">
      <c r="A36" s="21">
        <v>1</v>
      </c>
      <c r="B36" s="21" t="str">
        <f>Source!F28</f>
        <v>1.20-3104-1-4/1</v>
      </c>
      <c r="C36" s="21" t="str">
        <f>Source!G28</f>
        <v>Демонтаж осветительных приборов - светильник для люминесцентных ламп</v>
      </c>
      <c r="D36" s="22" t="str">
        <f>Source!H28</f>
        <v>100 шт.</v>
      </c>
      <c r="E36" s="9">
        <f>Source!I28</f>
        <v>0.05</v>
      </c>
      <c r="F36" s="24"/>
      <c r="G36" s="23"/>
      <c r="H36" s="9"/>
      <c r="I36" s="9"/>
      <c r="J36" s="24"/>
      <c r="K36" s="24"/>
      <c r="Q36">
        <f>ROUND((Source!BZ28/100)*ROUND((Source!AF28*Source!AV28)*Source!I28, 2), 2)</f>
        <v>304.7</v>
      </c>
      <c r="R36">
        <f>Source!X28</f>
        <v>304.7</v>
      </c>
      <c r="S36">
        <f>ROUND((Source!CA28/100)*ROUND((Source!AF28*Source!AV28)*Source!I28, 2), 2)</f>
        <v>43.53</v>
      </c>
      <c r="T36">
        <f>Source!Y28</f>
        <v>43.53</v>
      </c>
      <c r="U36">
        <f>ROUND((175/100)*ROUND((Source!AE28*Source!AV28)*Source!I28, 2), 2)</f>
        <v>0</v>
      </c>
      <c r="V36">
        <f>ROUND((125/100)*ROUND(Source!CS28*Source!I28, 2), 2)</f>
        <v>0</v>
      </c>
    </row>
    <row r="37" spans="1:22" x14ac:dyDescent="0.2">
      <c r="C37" s="25" t="str">
        <f>"Объем: "&amp;Source!I28&amp;"=5/"&amp;"100"</f>
        <v>Объем: 0,05=5/100</v>
      </c>
    </row>
    <row r="38" spans="1:22" ht="14.25" x14ac:dyDescent="0.2">
      <c r="A38" s="21"/>
      <c r="B38" s="21"/>
      <c r="C38" s="21" t="s">
        <v>141</v>
      </c>
      <c r="D38" s="22"/>
      <c r="E38" s="9"/>
      <c r="F38" s="24">
        <f>Source!AO28</f>
        <v>8705.81</v>
      </c>
      <c r="G38" s="23" t="str">
        <f>Source!DG28</f>
        <v/>
      </c>
      <c r="H38" s="9">
        <f>Source!AV28</f>
        <v>1</v>
      </c>
      <c r="I38" s="9">
        <f>IF(Source!BA28&lt;&gt; 0, Source!BA28, 1)</f>
        <v>1</v>
      </c>
      <c r="J38" s="24">
        <f>Source!S28</f>
        <v>435.29</v>
      </c>
      <c r="K38" s="24"/>
    </row>
    <row r="39" spans="1:22" ht="14.25" x14ac:dyDescent="0.2">
      <c r="A39" s="21"/>
      <c r="B39" s="21"/>
      <c r="C39" s="21" t="s">
        <v>142</v>
      </c>
      <c r="D39" s="22" t="s">
        <v>143</v>
      </c>
      <c r="E39" s="9">
        <f>Source!AT28</f>
        <v>70</v>
      </c>
      <c r="F39" s="24"/>
      <c r="G39" s="23"/>
      <c r="H39" s="9"/>
      <c r="I39" s="9"/>
      <c r="J39" s="24">
        <f>SUM(R36:R38)</f>
        <v>304.7</v>
      </c>
      <c r="K39" s="24"/>
    </row>
    <row r="40" spans="1:22" ht="14.25" x14ac:dyDescent="0.2">
      <c r="A40" s="21"/>
      <c r="B40" s="21"/>
      <c r="C40" s="21" t="s">
        <v>144</v>
      </c>
      <c r="D40" s="22" t="s">
        <v>143</v>
      </c>
      <c r="E40" s="9">
        <f>Source!AU28</f>
        <v>10</v>
      </c>
      <c r="F40" s="24"/>
      <c r="G40" s="23"/>
      <c r="H40" s="9"/>
      <c r="I40" s="9"/>
      <c r="J40" s="24">
        <f>SUM(T36:T39)</f>
        <v>43.53</v>
      </c>
      <c r="K40" s="24"/>
    </row>
    <row r="41" spans="1:22" ht="14.25" x14ac:dyDescent="0.2">
      <c r="A41" s="21"/>
      <c r="B41" s="21"/>
      <c r="C41" s="21" t="s">
        <v>145</v>
      </c>
      <c r="D41" s="22" t="s">
        <v>146</v>
      </c>
      <c r="E41" s="9">
        <f>Source!AQ28</f>
        <v>17.89</v>
      </c>
      <c r="F41" s="24"/>
      <c r="G41" s="23" t="str">
        <f>Source!DI28</f>
        <v/>
      </c>
      <c r="H41" s="9">
        <f>Source!AV28</f>
        <v>1</v>
      </c>
      <c r="I41" s="9"/>
      <c r="J41" s="24"/>
      <c r="K41" s="24">
        <f>Source!U28</f>
        <v>0.89450000000000007</v>
      </c>
    </row>
    <row r="42" spans="1:22" ht="15" x14ac:dyDescent="0.25">
      <c r="A42" s="27"/>
      <c r="B42" s="27"/>
      <c r="C42" s="27"/>
      <c r="D42" s="27"/>
      <c r="E42" s="27"/>
      <c r="F42" s="27"/>
      <c r="G42" s="27"/>
      <c r="H42" s="27"/>
      <c r="I42" s="59">
        <f>J38+J39+J40</f>
        <v>783.52</v>
      </c>
      <c r="J42" s="59"/>
      <c r="K42" s="28">
        <f>IF(Source!I28&lt;&gt;0, ROUND(I42/Source!I28, 2), 0)</f>
        <v>15670.4</v>
      </c>
      <c r="P42" s="26">
        <f>I42</f>
        <v>783.52</v>
      </c>
    </row>
    <row r="43" spans="1:22" ht="28.5" x14ac:dyDescent="0.2">
      <c r="A43" s="21">
        <v>2</v>
      </c>
      <c r="B43" s="21" t="str">
        <f>Source!F29</f>
        <v>1.7-5103-1-1/1</v>
      </c>
      <c r="C43" s="21" t="str">
        <f>Source!G29</f>
        <v>Расчистка и окраска металлических конструкций</v>
      </c>
      <c r="D43" s="22" t="str">
        <f>Source!H29</f>
        <v>10 м2</v>
      </c>
      <c r="E43" s="9">
        <f>Source!I29</f>
        <v>9.1</v>
      </c>
      <c r="F43" s="24"/>
      <c r="G43" s="23"/>
      <c r="H43" s="9"/>
      <c r="I43" s="9"/>
      <c r="J43" s="24"/>
      <c r="K43" s="24"/>
      <c r="Q43">
        <f>ROUND((Source!BZ29/100)*ROUND((Source!AF29*Source!AV29)*Source!I29, 2), 2)</f>
        <v>45900.25</v>
      </c>
      <c r="R43">
        <f>Source!X29</f>
        <v>45900.25</v>
      </c>
      <c r="S43">
        <f>ROUND((Source!CA29/100)*ROUND((Source!AF29*Source!AV29)*Source!I29, 2), 2)</f>
        <v>6557.18</v>
      </c>
      <c r="T43">
        <f>Source!Y29</f>
        <v>6557.18</v>
      </c>
      <c r="U43">
        <f>ROUND((175/100)*ROUND((Source!AE29*Source!AV29)*Source!I29, 2), 2)</f>
        <v>0</v>
      </c>
      <c r="V43">
        <f>ROUND((125/100)*ROUND(Source!CS29*Source!I29, 2), 2)</f>
        <v>0</v>
      </c>
    </row>
    <row r="44" spans="1:22" x14ac:dyDescent="0.2">
      <c r="C44" s="25" t="str">
        <f>"Объем: "&amp;Source!I29&amp;"=91/"&amp;"10"</f>
        <v>Объем: 9,1=91/10</v>
      </c>
    </row>
    <row r="45" spans="1:22" ht="14.25" x14ac:dyDescent="0.2">
      <c r="A45" s="21"/>
      <c r="B45" s="21"/>
      <c r="C45" s="21" t="s">
        <v>141</v>
      </c>
      <c r="D45" s="22"/>
      <c r="E45" s="9"/>
      <c r="F45" s="24">
        <f>Source!AO29</f>
        <v>7205.69</v>
      </c>
      <c r="G45" s="23" t="str">
        <f>Source!DG29</f>
        <v/>
      </c>
      <c r="H45" s="9">
        <f>Source!AV29</f>
        <v>1</v>
      </c>
      <c r="I45" s="9">
        <f>IF(Source!BA29&lt;&gt; 0, Source!BA29, 1)</f>
        <v>1</v>
      </c>
      <c r="J45" s="24">
        <f>Source!S29</f>
        <v>65571.78</v>
      </c>
      <c r="K45" s="24"/>
    </row>
    <row r="46" spans="1:22" ht="14.25" x14ac:dyDescent="0.2">
      <c r="A46" s="21"/>
      <c r="B46" s="21"/>
      <c r="C46" s="21" t="s">
        <v>147</v>
      </c>
      <c r="D46" s="22"/>
      <c r="E46" s="9"/>
      <c r="F46" s="24">
        <f>Source!AL29</f>
        <v>3773.91</v>
      </c>
      <c r="G46" s="23" t="str">
        <f>Source!DD29</f>
        <v/>
      </c>
      <c r="H46" s="9">
        <f>Source!AW29</f>
        <v>1</v>
      </c>
      <c r="I46" s="9">
        <f>IF(Source!BC29&lt;&gt; 0, Source!BC29, 1)</f>
        <v>1</v>
      </c>
      <c r="J46" s="24">
        <f>Source!P29</f>
        <v>34342.58</v>
      </c>
      <c r="K46" s="24"/>
    </row>
    <row r="47" spans="1:22" ht="14.25" x14ac:dyDescent="0.2">
      <c r="A47" s="21"/>
      <c r="B47" s="21"/>
      <c r="C47" s="21" t="s">
        <v>142</v>
      </c>
      <c r="D47" s="22" t="s">
        <v>143</v>
      </c>
      <c r="E47" s="9">
        <f>Source!AT29</f>
        <v>70</v>
      </c>
      <c r="F47" s="24"/>
      <c r="G47" s="23"/>
      <c r="H47" s="9"/>
      <c r="I47" s="9"/>
      <c r="J47" s="24">
        <f>SUM(R43:R46)</f>
        <v>45900.25</v>
      </c>
      <c r="K47" s="24"/>
    </row>
    <row r="48" spans="1:22" ht="14.25" x14ac:dyDescent="0.2">
      <c r="A48" s="21"/>
      <c r="B48" s="21"/>
      <c r="C48" s="21" t="s">
        <v>144</v>
      </c>
      <c r="D48" s="22" t="s">
        <v>143</v>
      </c>
      <c r="E48" s="9">
        <f>Source!AU29</f>
        <v>10</v>
      </c>
      <c r="F48" s="24"/>
      <c r="G48" s="23"/>
      <c r="H48" s="9"/>
      <c r="I48" s="9"/>
      <c r="J48" s="24">
        <f>SUM(T43:T47)</f>
        <v>6557.18</v>
      </c>
      <c r="K48" s="24"/>
    </row>
    <row r="49" spans="1:22" ht="14.25" x14ac:dyDescent="0.2">
      <c r="A49" s="21"/>
      <c r="B49" s="21"/>
      <c r="C49" s="21" t="s">
        <v>145</v>
      </c>
      <c r="D49" s="22" t="s">
        <v>146</v>
      </c>
      <c r="E49" s="9">
        <f>Source!AQ29</f>
        <v>10.82</v>
      </c>
      <c r="F49" s="24"/>
      <c r="G49" s="23" t="str">
        <f>Source!DI29</f>
        <v/>
      </c>
      <c r="H49" s="9">
        <f>Source!AV29</f>
        <v>1</v>
      </c>
      <c r="I49" s="9"/>
      <c r="J49" s="24"/>
      <c r="K49" s="24">
        <f>Source!U29</f>
        <v>98.462000000000003</v>
      </c>
    </row>
    <row r="50" spans="1:22" ht="15" x14ac:dyDescent="0.25">
      <c r="A50" s="27"/>
      <c r="B50" s="27"/>
      <c r="C50" s="27"/>
      <c r="D50" s="27"/>
      <c r="E50" s="27"/>
      <c r="F50" s="27"/>
      <c r="G50" s="27"/>
      <c r="H50" s="27"/>
      <c r="I50" s="59">
        <f>J45+J46+J47+J48</f>
        <v>152371.78999999998</v>
      </c>
      <c r="J50" s="59"/>
      <c r="K50" s="28">
        <f>IF(Source!I29&lt;&gt;0, ROUND(I50/Source!I29, 2), 0)</f>
        <v>16744.150000000001</v>
      </c>
      <c r="P50" s="26">
        <f>I50</f>
        <v>152371.78999999998</v>
      </c>
    </row>
    <row r="51" spans="1:22" ht="85.5" x14ac:dyDescent="0.2">
      <c r="A51" s="21">
        <v>3</v>
      </c>
      <c r="B51" s="21" t="str">
        <f>Source!F30</f>
        <v>1.13-5302-5-19/1</v>
      </c>
      <c r="C51" s="21" t="str">
        <f>Source!G30</f>
        <v>Высококачественная поливинилацетатная окраска с расчисткой преждеокрашенных оштукатуренных поверхностей стен, пилястр, откосов, колонн с расчисткой до 30%</v>
      </c>
      <c r="D51" s="22" t="str">
        <f>Source!H30</f>
        <v>10 м2</v>
      </c>
      <c r="E51" s="9">
        <f>Source!I30</f>
        <v>8.06</v>
      </c>
      <c r="F51" s="24"/>
      <c r="G51" s="23"/>
      <c r="H51" s="9"/>
      <c r="I51" s="9"/>
      <c r="J51" s="24"/>
      <c r="K51" s="24"/>
      <c r="Q51">
        <f>ROUND((Source!BZ30/100)*ROUND((Source!AF30*Source!AV30)*Source!I30, 2), 2)</f>
        <v>38432.120000000003</v>
      </c>
      <c r="R51">
        <f>Source!X30</f>
        <v>38432.120000000003</v>
      </c>
      <c r="S51">
        <f>ROUND((Source!CA30/100)*ROUND((Source!AF30*Source!AV30)*Source!I30, 2), 2)</f>
        <v>5490.3</v>
      </c>
      <c r="T51">
        <f>Source!Y30</f>
        <v>5490.3</v>
      </c>
      <c r="U51">
        <f>ROUND((175/100)*ROUND((Source!AE30*Source!AV30)*Source!I30, 2), 2)</f>
        <v>0</v>
      </c>
      <c r="V51">
        <f>ROUND((125/100)*ROUND(Source!CS30*Source!I30, 2), 2)</f>
        <v>0</v>
      </c>
    </row>
    <row r="52" spans="1:22" x14ac:dyDescent="0.2">
      <c r="C52" s="25" t="str">
        <f>"Объем: "&amp;Source!I30&amp;"=80,6/"&amp;"10"</f>
        <v>Объем: 8,06=80,6/10</v>
      </c>
    </row>
    <row r="53" spans="1:22" ht="14.25" x14ac:dyDescent="0.2">
      <c r="A53" s="21"/>
      <c r="B53" s="21"/>
      <c r="C53" s="21" t="s">
        <v>141</v>
      </c>
      <c r="D53" s="22"/>
      <c r="E53" s="9"/>
      <c r="F53" s="24">
        <f>Source!AO30</f>
        <v>6811.79</v>
      </c>
      <c r="G53" s="23" t="str">
        <f>Source!DG30</f>
        <v/>
      </c>
      <c r="H53" s="9">
        <f>Source!AV30</f>
        <v>1</v>
      </c>
      <c r="I53" s="9">
        <f>IF(Source!BA30&lt;&gt; 0, Source!BA30, 1)</f>
        <v>1</v>
      </c>
      <c r="J53" s="24">
        <f>Source!S30</f>
        <v>54903.03</v>
      </c>
      <c r="K53" s="24"/>
    </row>
    <row r="54" spans="1:22" ht="14.25" x14ac:dyDescent="0.2">
      <c r="A54" s="21"/>
      <c r="B54" s="21"/>
      <c r="C54" s="21" t="s">
        <v>147</v>
      </c>
      <c r="D54" s="22"/>
      <c r="E54" s="9"/>
      <c r="F54" s="24">
        <f>Source!AL30</f>
        <v>645.72</v>
      </c>
      <c r="G54" s="23" t="str">
        <f>Source!DD30</f>
        <v/>
      </c>
      <c r="H54" s="9">
        <f>Source!AW30</f>
        <v>1</v>
      </c>
      <c r="I54" s="9">
        <f>IF(Source!BC30&lt;&gt; 0, Source!BC30, 1)</f>
        <v>1</v>
      </c>
      <c r="J54" s="24">
        <f>Source!P30</f>
        <v>5204.5</v>
      </c>
      <c r="K54" s="24"/>
    </row>
    <row r="55" spans="1:22" ht="14.25" x14ac:dyDescent="0.2">
      <c r="A55" s="21"/>
      <c r="B55" s="21"/>
      <c r="C55" s="21" t="s">
        <v>142</v>
      </c>
      <c r="D55" s="22" t="s">
        <v>143</v>
      </c>
      <c r="E55" s="9">
        <f>Source!AT30</f>
        <v>70</v>
      </c>
      <c r="F55" s="24"/>
      <c r="G55" s="23"/>
      <c r="H55" s="9"/>
      <c r="I55" s="9"/>
      <c r="J55" s="24">
        <f>SUM(R51:R54)</f>
        <v>38432.120000000003</v>
      </c>
      <c r="K55" s="24"/>
    </row>
    <row r="56" spans="1:22" ht="14.25" x14ac:dyDescent="0.2">
      <c r="A56" s="21"/>
      <c r="B56" s="21"/>
      <c r="C56" s="21" t="s">
        <v>144</v>
      </c>
      <c r="D56" s="22" t="s">
        <v>143</v>
      </c>
      <c r="E56" s="9">
        <f>Source!AU30</f>
        <v>10</v>
      </c>
      <c r="F56" s="24"/>
      <c r="G56" s="23"/>
      <c r="H56" s="9"/>
      <c r="I56" s="9"/>
      <c r="J56" s="24">
        <f>SUM(T51:T55)</f>
        <v>5490.3</v>
      </c>
      <c r="K56" s="24"/>
    </row>
    <row r="57" spans="1:22" ht="14.25" x14ac:dyDescent="0.2">
      <c r="A57" s="21"/>
      <c r="B57" s="21"/>
      <c r="C57" s="21" t="s">
        <v>145</v>
      </c>
      <c r="D57" s="22" t="s">
        <v>146</v>
      </c>
      <c r="E57" s="9">
        <f>Source!AQ30</f>
        <v>8.9</v>
      </c>
      <c r="F57" s="24"/>
      <c r="G57" s="23" t="str">
        <f>Source!DI30</f>
        <v/>
      </c>
      <c r="H57" s="9">
        <f>Source!AV30</f>
        <v>1</v>
      </c>
      <c r="I57" s="9"/>
      <c r="J57" s="24"/>
      <c r="K57" s="24">
        <f>Source!U30</f>
        <v>71.734000000000009</v>
      </c>
    </row>
    <row r="58" spans="1:22" ht="15" x14ac:dyDescent="0.25">
      <c r="A58" s="27"/>
      <c r="B58" s="27"/>
      <c r="C58" s="27"/>
      <c r="D58" s="27"/>
      <c r="E58" s="27"/>
      <c r="F58" s="27"/>
      <c r="G58" s="27"/>
      <c r="H58" s="27"/>
      <c r="I58" s="59">
        <f>J53+J54+J55+J56</f>
        <v>104029.95</v>
      </c>
      <c r="J58" s="59"/>
      <c r="K58" s="28">
        <f>IF(Source!I30&lt;&gt;0, ROUND(I58/Source!I30, 2), 0)</f>
        <v>12906.94</v>
      </c>
      <c r="P58" s="26">
        <f>I58</f>
        <v>104029.95</v>
      </c>
    </row>
    <row r="59" spans="1:22" ht="99.75" x14ac:dyDescent="0.2">
      <c r="A59" s="21">
        <v>4</v>
      </c>
      <c r="B59" s="21" t="str">
        <f>Source!F31</f>
        <v>1.20-3103-22-1/1</v>
      </c>
      <c r="C59" s="21" t="str">
        <f>Source!G31</f>
        <v>Установка светильника светодиодного линейного с креплением на монтажные скобы, со встроенным драйвером, длиной до 1500 мм, на бетонный (железобетонный) потолок / светильник размером 1200х75х25 мм в комплекте с монтажными скобами /</v>
      </c>
      <c r="D59" s="22" t="str">
        <f>Source!H31</f>
        <v>шт.</v>
      </c>
      <c r="E59" s="9">
        <f>Source!I31</f>
        <v>5</v>
      </c>
      <c r="F59" s="24"/>
      <c r="G59" s="23"/>
      <c r="H59" s="9"/>
      <c r="I59" s="9"/>
      <c r="J59" s="24"/>
      <c r="K59" s="24"/>
      <c r="Q59">
        <f>ROUND((Source!BZ31/100)*ROUND((Source!AF31*Source!AV31)*Source!I31, 2), 2)</f>
        <v>1387.51</v>
      </c>
      <c r="R59">
        <f>Source!X31</f>
        <v>1387.51</v>
      </c>
      <c r="S59">
        <f>ROUND((Source!CA31/100)*ROUND((Source!AF31*Source!AV31)*Source!I31, 2), 2)</f>
        <v>198.22</v>
      </c>
      <c r="T59">
        <f>Source!Y31</f>
        <v>198.22</v>
      </c>
      <c r="U59">
        <f>ROUND((175/100)*ROUND((Source!AE31*Source!AV31)*Source!I31, 2), 2)</f>
        <v>0.09</v>
      </c>
      <c r="V59">
        <f>ROUND((125/100)*ROUND(Source!CS31*Source!I31, 2), 2)</f>
        <v>0.06</v>
      </c>
    </row>
    <row r="60" spans="1:22" ht="14.25" x14ac:dyDescent="0.2">
      <c r="A60" s="21"/>
      <c r="B60" s="21"/>
      <c r="C60" s="21" t="s">
        <v>141</v>
      </c>
      <c r="D60" s="22"/>
      <c r="E60" s="9"/>
      <c r="F60" s="24">
        <f>Source!AO31</f>
        <v>396.43</v>
      </c>
      <c r="G60" s="23" t="str">
        <f>Source!DG31</f>
        <v/>
      </c>
      <c r="H60" s="9">
        <f>Source!AV31</f>
        <v>1</v>
      </c>
      <c r="I60" s="9">
        <f>IF(Source!BA31&lt;&gt; 0, Source!BA31, 1)</f>
        <v>1</v>
      </c>
      <c r="J60" s="24">
        <f>Source!S31</f>
        <v>1982.15</v>
      </c>
      <c r="K60" s="24"/>
    </row>
    <row r="61" spans="1:22" ht="14.25" x14ac:dyDescent="0.2">
      <c r="A61" s="21"/>
      <c r="B61" s="21"/>
      <c r="C61" s="21" t="s">
        <v>148</v>
      </c>
      <c r="D61" s="22"/>
      <c r="E61" s="9"/>
      <c r="F61" s="24">
        <f>Source!AM31</f>
        <v>2.16</v>
      </c>
      <c r="G61" s="23" t="str">
        <f>Source!DE31</f>
        <v/>
      </c>
      <c r="H61" s="9">
        <f>Source!AV31</f>
        <v>1</v>
      </c>
      <c r="I61" s="9">
        <f>IF(Source!BB31&lt;&gt; 0, Source!BB31, 1)</f>
        <v>1</v>
      </c>
      <c r="J61" s="24">
        <f>Source!Q31</f>
        <v>10.8</v>
      </c>
      <c r="K61" s="24"/>
    </row>
    <row r="62" spans="1:22" ht="14.25" x14ac:dyDescent="0.2">
      <c r="A62" s="21"/>
      <c r="B62" s="21"/>
      <c r="C62" s="21" t="s">
        <v>149</v>
      </c>
      <c r="D62" s="22"/>
      <c r="E62" s="9"/>
      <c r="F62" s="24">
        <f>Source!AN31</f>
        <v>0.01</v>
      </c>
      <c r="G62" s="23" t="str">
        <f>Source!DF31</f>
        <v/>
      </c>
      <c r="H62" s="9">
        <f>Source!AV31</f>
        <v>1</v>
      </c>
      <c r="I62" s="9">
        <f>IF(Source!BS31&lt;&gt; 0, Source!BS31, 1)</f>
        <v>1</v>
      </c>
      <c r="J62" s="29">
        <f>Source!R31</f>
        <v>0.05</v>
      </c>
      <c r="K62" s="24"/>
    </row>
    <row r="63" spans="1:22" ht="14.25" x14ac:dyDescent="0.2">
      <c r="A63" s="21"/>
      <c r="B63" s="21"/>
      <c r="C63" s="21" t="s">
        <v>147</v>
      </c>
      <c r="D63" s="22"/>
      <c r="E63" s="9"/>
      <c r="F63" s="24">
        <f>Source!AL31</f>
        <v>1001.7</v>
      </c>
      <c r="G63" s="23" t="str">
        <f>Source!DD31</f>
        <v/>
      </c>
      <c r="H63" s="9">
        <f>Source!AW31</f>
        <v>1</v>
      </c>
      <c r="I63" s="9">
        <f>IF(Source!BC31&lt;&gt; 0, Source!BC31, 1)</f>
        <v>1</v>
      </c>
      <c r="J63" s="24">
        <f>Source!P31</f>
        <v>5008.5</v>
      </c>
      <c r="K63" s="24"/>
    </row>
    <row r="64" spans="1:22" ht="14.25" x14ac:dyDescent="0.2">
      <c r="A64" s="21"/>
      <c r="B64" s="21"/>
      <c r="C64" s="21" t="s">
        <v>142</v>
      </c>
      <c r="D64" s="22" t="s">
        <v>143</v>
      </c>
      <c r="E64" s="9">
        <f>Source!AT31</f>
        <v>70</v>
      </c>
      <c r="F64" s="24"/>
      <c r="G64" s="23"/>
      <c r="H64" s="9"/>
      <c r="I64" s="9"/>
      <c r="J64" s="24">
        <f>SUM(R59:R63)</f>
        <v>1387.51</v>
      </c>
      <c r="K64" s="24"/>
    </row>
    <row r="65" spans="1:32" ht="14.25" x14ac:dyDescent="0.2">
      <c r="A65" s="21"/>
      <c r="B65" s="21"/>
      <c r="C65" s="21" t="s">
        <v>144</v>
      </c>
      <c r="D65" s="22" t="s">
        <v>143</v>
      </c>
      <c r="E65" s="9">
        <f>Source!AU31</f>
        <v>10</v>
      </c>
      <c r="F65" s="24"/>
      <c r="G65" s="23"/>
      <c r="H65" s="9"/>
      <c r="I65" s="9"/>
      <c r="J65" s="24">
        <f>SUM(T59:T64)</f>
        <v>198.22</v>
      </c>
      <c r="K65" s="24"/>
    </row>
    <row r="66" spans="1:32" ht="14.25" x14ac:dyDescent="0.2">
      <c r="A66" s="21"/>
      <c r="B66" s="21"/>
      <c r="C66" s="21" t="s">
        <v>150</v>
      </c>
      <c r="D66" s="22" t="s">
        <v>143</v>
      </c>
      <c r="E66" s="9">
        <f>125</f>
        <v>125</v>
      </c>
      <c r="F66" s="24"/>
      <c r="G66" s="23"/>
      <c r="H66" s="9"/>
      <c r="I66" s="9"/>
      <c r="J66" s="24">
        <f>SUM(V59:V65)</f>
        <v>0.06</v>
      </c>
      <c r="K66" s="24"/>
    </row>
    <row r="67" spans="1:32" ht="14.25" x14ac:dyDescent="0.2">
      <c r="A67" s="21"/>
      <c r="B67" s="21"/>
      <c r="C67" s="21" t="s">
        <v>145</v>
      </c>
      <c r="D67" s="22" t="s">
        <v>146</v>
      </c>
      <c r="E67" s="9">
        <f>Source!AQ31</f>
        <v>0.68</v>
      </c>
      <c r="F67" s="24"/>
      <c r="G67" s="23" t="str">
        <f>Source!DI31</f>
        <v/>
      </c>
      <c r="H67" s="9">
        <f>Source!AV31</f>
        <v>1</v>
      </c>
      <c r="I67" s="9"/>
      <c r="J67" s="24"/>
      <c r="K67" s="24">
        <f>Source!U31</f>
        <v>3.4000000000000004</v>
      </c>
    </row>
    <row r="68" spans="1:32" ht="15" x14ac:dyDescent="0.25">
      <c r="A68" s="27"/>
      <c r="B68" s="27"/>
      <c r="C68" s="27"/>
      <c r="D68" s="27"/>
      <c r="E68" s="27"/>
      <c r="F68" s="27"/>
      <c r="G68" s="27"/>
      <c r="H68" s="27"/>
      <c r="I68" s="59">
        <f>J60+J61+J63+J64+J65+J66</f>
        <v>8587.239999999998</v>
      </c>
      <c r="J68" s="59"/>
      <c r="K68" s="28">
        <f>IF(Source!I31&lt;&gt;0, ROUND(I68/Source!I31, 2), 0)</f>
        <v>1717.45</v>
      </c>
      <c r="P68" s="26">
        <f>I68</f>
        <v>8587.239999999998</v>
      </c>
    </row>
    <row r="69" spans="1:32" ht="28.5" x14ac:dyDescent="0.2">
      <c r="A69" s="21">
        <v>5</v>
      </c>
      <c r="B69" s="21" t="str">
        <f>Source!F32</f>
        <v>1.11-3402-1-3/1</v>
      </c>
      <c r="C69" s="21" t="str">
        <f>Source!G32</f>
        <v>Смена дверных приборов - ручек-скоб</v>
      </c>
      <c r="D69" s="22" t="str">
        <f>Source!H32</f>
        <v>100 шт.</v>
      </c>
      <c r="E69" s="9">
        <f>Source!I32</f>
        <v>0.08</v>
      </c>
      <c r="F69" s="24"/>
      <c r="G69" s="23"/>
      <c r="H69" s="9"/>
      <c r="I69" s="9"/>
      <c r="J69" s="24"/>
      <c r="K69" s="24"/>
      <c r="Q69">
        <f>ROUND((Source!BZ32/100)*ROUND((Source!AF32*Source!AV32)*Source!I32, 2), 2)</f>
        <v>1050.24</v>
      </c>
      <c r="R69">
        <f>Source!X32</f>
        <v>1050.24</v>
      </c>
      <c r="S69">
        <f>ROUND((Source!CA32/100)*ROUND((Source!AF32*Source!AV32)*Source!I32, 2), 2)</f>
        <v>150.03</v>
      </c>
      <c r="T69">
        <f>Source!Y32</f>
        <v>150.03</v>
      </c>
      <c r="U69">
        <f>ROUND((175/100)*ROUND((Source!AE32*Source!AV32)*Source!I32, 2), 2)</f>
        <v>0</v>
      </c>
      <c r="V69">
        <f>ROUND((125/100)*ROUND(Source!CS32*Source!I32, 2), 2)</f>
        <v>0</v>
      </c>
    </row>
    <row r="70" spans="1:32" x14ac:dyDescent="0.2">
      <c r="C70" s="25" t="str">
        <f>"Объем: "&amp;Source!I32&amp;"=8/"&amp;"100"</f>
        <v>Объем: 0,08=8/100</v>
      </c>
    </row>
    <row r="71" spans="1:32" ht="14.25" x14ac:dyDescent="0.2">
      <c r="A71" s="21"/>
      <c r="B71" s="21"/>
      <c r="C71" s="21" t="s">
        <v>141</v>
      </c>
      <c r="D71" s="22"/>
      <c r="E71" s="9"/>
      <c r="F71" s="24">
        <f>Source!AO32</f>
        <v>18754.28</v>
      </c>
      <c r="G71" s="23" t="str">
        <f>Source!DG32</f>
        <v/>
      </c>
      <c r="H71" s="9">
        <f>Source!AV32</f>
        <v>1</v>
      </c>
      <c r="I71" s="9">
        <f>IF(Source!BA32&lt;&gt; 0, Source!BA32, 1)</f>
        <v>1</v>
      </c>
      <c r="J71" s="24">
        <f>Source!S32</f>
        <v>1500.34</v>
      </c>
      <c r="K71" s="24"/>
    </row>
    <row r="72" spans="1:32" ht="14.25" x14ac:dyDescent="0.2">
      <c r="A72" s="21"/>
      <c r="B72" s="21"/>
      <c r="C72" s="21" t="s">
        <v>147</v>
      </c>
      <c r="D72" s="22"/>
      <c r="E72" s="9"/>
      <c r="F72" s="24">
        <f>Source!AL32</f>
        <v>5192.54</v>
      </c>
      <c r="G72" s="23" t="str">
        <f>Source!DD32</f>
        <v/>
      </c>
      <c r="H72" s="9">
        <f>Source!AW32</f>
        <v>1</v>
      </c>
      <c r="I72" s="9">
        <f>IF(Source!BC32&lt;&gt; 0, Source!BC32, 1)</f>
        <v>1</v>
      </c>
      <c r="J72" s="24">
        <f>Source!P32</f>
        <v>415.4</v>
      </c>
      <c r="K72" s="24"/>
    </row>
    <row r="73" spans="1:32" ht="14.25" x14ac:dyDescent="0.2">
      <c r="A73" s="21"/>
      <c r="B73" s="21"/>
      <c r="C73" s="21" t="s">
        <v>142</v>
      </c>
      <c r="D73" s="22" t="s">
        <v>143</v>
      </c>
      <c r="E73" s="9">
        <f>Source!AT32</f>
        <v>70</v>
      </c>
      <c r="F73" s="24"/>
      <c r="G73" s="23"/>
      <c r="H73" s="9"/>
      <c r="I73" s="9"/>
      <c r="J73" s="24">
        <f>SUM(R69:R72)</f>
        <v>1050.24</v>
      </c>
      <c r="K73" s="24"/>
    </row>
    <row r="74" spans="1:32" ht="14.25" x14ac:dyDescent="0.2">
      <c r="A74" s="21"/>
      <c r="B74" s="21"/>
      <c r="C74" s="21" t="s">
        <v>144</v>
      </c>
      <c r="D74" s="22" t="s">
        <v>143</v>
      </c>
      <c r="E74" s="9">
        <f>Source!AU32</f>
        <v>10</v>
      </c>
      <c r="F74" s="24"/>
      <c r="G74" s="23"/>
      <c r="H74" s="9"/>
      <c r="I74" s="9"/>
      <c r="J74" s="24">
        <f>SUM(T69:T73)</f>
        <v>150.03</v>
      </c>
      <c r="K74" s="24"/>
    </row>
    <row r="75" spans="1:32" ht="14.25" x14ac:dyDescent="0.2">
      <c r="A75" s="21"/>
      <c r="B75" s="21"/>
      <c r="C75" s="21" t="s">
        <v>145</v>
      </c>
      <c r="D75" s="22" t="s">
        <v>146</v>
      </c>
      <c r="E75" s="9">
        <f>Source!AQ32</f>
        <v>27.3</v>
      </c>
      <c r="F75" s="24"/>
      <c r="G75" s="23" t="str">
        <f>Source!DI32</f>
        <v/>
      </c>
      <c r="H75" s="9">
        <f>Source!AV32</f>
        <v>1</v>
      </c>
      <c r="I75" s="9"/>
      <c r="J75" s="24"/>
      <c r="K75" s="24">
        <f>Source!U32</f>
        <v>2.1840000000000002</v>
      </c>
    </row>
    <row r="76" spans="1:32" ht="15" x14ac:dyDescent="0.25">
      <c r="A76" s="27"/>
      <c r="B76" s="27"/>
      <c r="C76" s="27"/>
      <c r="D76" s="27"/>
      <c r="E76" s="27"/>
      <c r="F76" s="27"/>
      <c r="G76" s="27"/>
      <c r="H76" s="27"/>
      <c r="I76" s="59">
        <f>J71+J72+J73+J74</f>
        <v>3116.0099999999998</v>
      </c>
      <c r="J76" s="59"/>
      <c r="K76" s="28">
        <f>IF(Source!I32&lt;&gt;0, ROUND(I76/Source!I32, 2), 0)</f>
        <v>38950.129999999997</v>
      </c>
      <c r="P76" s="26">
        <f>I76</f>
        <v>3116.0099999999998</v>
      </c>
    </row>
    <row r="78" spans="1:32" ht="30" x14ac:dyDescent="0.25">
      <c r="A78" s="60" t="str">
        <f>CONCATENATE("Итого по разделу: ",IF(Source!G34&lt;&gt;"Новый раздел", Source!G34, ""))</f>
        <v>Итого по разделу: Ремонт входной группы трудовой инспекции по адресу Домодедовская ул., д. 24, корп. 3</v>
      </c>
      <c r="B78" s="60"/>
      <c r="C78" s="60"/>
      <c r="D78" s="60"/>
      <c r="E78" s="60"/>
      <c r="F78" s="60"/>
      <c r="G78" s="60"/>
      <c r="H78" s="60"/>
      <c r="I78" s="61">
        <f>SUM(P35:P77)</f>
        <v>268888.50999999995</v>
      </c>
      <c r="J78" s="62"/>
      <c r="K78" s="30"/>
      <c r="AF78" s="31" t="str">
        <f>CONCATENATE("Итого по разделу: ",IF(Source!G34&lt;&gt;"Новый раздел", Source!G34, ""))</f>
        <v>Итого по разделу: Ремонт входной группы трудовой инспекции по адресу Домодедовская ул., д. 24, корп. 3</v>
      </c>
    </row>
    <row r="80" spans="1:32" ht="14.25" x14ac:dyDescent="0.2">
      <c r="C80" s="54" t="str">
        <f>Source!H63</f>
        <v>НДС 22%</v>
      </c>
      <c r="D80" s="54"/>
      <c r="E80" s="54"/>
      <c r="F80" s="54"/>
      <c r="G80" s="54"/>
      <c r="H80" s="54"/>
      <c r="I80" s="55">
        <f>IF(Source!F63=0, "", Source!F63)</f>
        <v>59155.47</v>
      </c>
      <c r="J80" s="55"/>
    </row>
    <row r="81" spans="1:22" ht="14.25" x14ac:dyDescent="0.2">
      <c r="C81" s="54" t="str">
        <f>Source!H64</f>
        <v>Итого с НДС</v>
      </c>
      <c r="D81" s="54"/>
      <c r="E81" s="54"/>
      <c r="F81" s="54"/>
      <c r="G81" s="54"/>
      <c r="H81" s="54"/>
      <c r="I81" s="55">
        <f>IF(Source!F64=0, "", Source!F64)</f>
        <v>322666.21000000002</v>
      </c>
      <c r="J81" s="55"/>
    </row>
    <row r="83" spans="1:22" ht="16.5" x14ac:dyDescent="0.25">
      <c r="A83" s="56" t="str">
        <f>CONCATENATE("Раздел: ",IF(Source!G66&lt;&gt;"Новый раздел", Source!G66, ""))</f>
        <v>Раздел: Ремонт кабинета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</row>
    <row r="84" spans="1:22" ht="85.5" x14ac:dyDescent="0.2">
      <c r="A84" s="21">
        <v>6</v>
      </c>
      <c r="B84" s="21" t="str">
        <f>Source!F70</f>
        <v>1.13-5302-5-19/1</v>
      </c>
      <c r="C84" s="21" t="str">
        <f>Source!G70</f>
        <v>Высококачественная поливинилацетатная окраска с расчисткой преждеокрашенных оштукатуренных поверхностей стен, пилястр, откосов, колонн с расчисткой до 30%</v>
      </c>
      <c r="D84" s="22" t="str">
        <f>Source!H70</f>
        <v>10 м2</v>
      </c>
      <c r="E84" s="9">
        <f>Source!I70</f>
        <v>4.3499999999999996</v>
      </c>
      <c r="F84" s="24"/>
      <c r="G84" s="23"/>
      <c r="H84" s="9"/>
      <c r="I84" s="9"/>
      <c r="J84" s="24"/>
      <c r="K84" s="24"/>
      <c r="Q84">
        <f>ROUND((Source!BZ70/100)*ROUND((Source!AF70*Source!AV70)*Source!I70, 2), 2)</f>
        <v>20741.900000000001</v>
      </c>
      <c r="R84">
        <f>Source!X70</f>
        <v>20741.900000000001</v>
      </c>
      <c r="S84">
        <f>ROUND((Source!CA70/100)*ROUND((Source!AF70*Source!AV70)*Source!I70, 2), 2)</f>
        <v>2963.13</v>
      </c>
      <c r="T84">
        <f>Source!Y70</f>
        <v>2963.13</v>
      </c>
      <c r="U84">
        <f>ROUND((175/100)*ROUND((Source!AE70*Source!AV70)*Source!I70, 2), 2)</f>
        <v>0</v>
      </c>
      <c r="V84">
        <f>ROUND((125/100)*ROUND(Source!CS70*Source!I70, 2), 2)</f>
        <v>0</v>
      </c>
    </row>
    <row r="85" spans="1:22" x14ac:dyDescent="0.2">
      <c r="C85" s="25" t="str">
        <f>"Объем: "&amp;Source!I70&amp;"=43,5/"&amp;"10"</f>
        <v>Объем: 4,35=43,5/10</v>
      </c>
    </row>
    <row r="86" spans="1:22" ht="14.25" x14ac:dyDescent="0.2">
      <c r="A86" s="21"/>
      <c r="B86" s="21"/>
      <c r="C86" s="21" t="s">
        <v>141</v>
      </c>
      <c r="D86" s="22"/>
      <c r="E86" s="9"/>
      <c r="F86" s="24">
        <f>Source!AO70</f>
        <v>6811.79</v>
      </c>
      <c r="G86" s="23" t="str">
        <f>Source!DG70</f>
        <v/>
      </c>
      <c r="H86" s="9">
        <f>Source!AV70</f>
        <v>1</v>
      </c>
      <c r="I86" s="9">
        <f>IF(Source!BA70&lt;&gt; 0, Source!BA70, 1)</f>
        <v>1</v>
      </c>
      <c r="J86" s="24">
        <f>Source!S70</f>
        <v>29631.29</v>
      </c>
      <c r="K86" s="24"/>
    </row>
    <row r="87" spans="1:22" ht="14.25" x14ac:dyDescent="0.2">
      <c r="A87" s="21"/>
      <c r="B87" s="21"/>
      <c r="C87" s="21" t="s">
        <v>147</v>
      </c>
      <c r="D87" s="22"/>
      <c r="E87" s="9"/>
      <c r="F87" s="24">
        <f>Source!AL70</f>
        <v>645.72</v>
      </c>
      <c r="G87" s="23" t="str">
        <f>Source!DD70</f>
        <v/>
      </c>
      <c r="H87" s="9">
        <f>Source!AW70</f>
        <v>1</v>
      </c>
      <c r="I87" s="9">
        <f>IF(Source!BC70&lt;&gt; 0, Source!BC70, 1)</f>
        <v>1</v>
      </c>
      <c r="J87" s="24">
        <f>Source!P70</f>
        <v>2808.88</v>
      </c>
      <c r="K87" s="24"/>
    </row>
    <row r="88" spans="1:22" ht="14.25" x14ac:dyDescent="0.2">
      <c r="A88" s="21"/>
      <c r="B88" s="21"/>
      <c r="C88" s="21" t="s">
        <v>142</v>
      </c>
      <c r="D88" s="22" t="s">
        <v>143</v>
      </c>
      <c r="E88" s="9">
        <f>Source!AT70</f>
        <v>70</v>
      </c>
      <c r="F88" s="24"/>
      <c r="G88" s="23"/>
      <c r="H88" s="9"/>
      <c r="I88" s="9"/>
      <c r="J88" s="24">
        <f>SUM(R84:R87)</f>
        <v>20741.900000000001</v>
      </c>
      <c r="K88" s="24"/>
    </row>
    <row r="89" spans="1:22" ht="14.25" x14ac:dyDescent="0.2">
      <c r="A89" s="21"/>
      <c r="B89" s="21"/>
      <c r="C89" s="21" t="s">
        <v>144</v>
      </c>
      <c r="D89" s="22" t="s">
        <v>143</v>
      </c>
      <c r="E89" s="9">
        <f>Source!AU70</f>
        <v>10</v>
      </c>
      <c r="F89" s="24"/>
      <c r="G89" s="23"/>
      <c r="H89" s="9"/>
      <c r="I89" s="9"/>
      <c r="J89" s="24">
        <f>SUM(T84:T88)</f>
        <v>2963.13</v>
      </c>
      <c r="K89" s="24"/>
    </row>
    <row r="90" spans="1:22" ht="14.25" x14ac:dyDescent="0.2">
      <c r="A90" s="21"/>
      <c r="B90" s="21"/>
      <c r="C90" s="21" t="s">
        <v>145</v>
      </c>
      <c r="D90" s="22" t="s">
        <v>146</v>
      </c>
      <c r="E90" s="9">
        <f>Source!AQ70</f>
        <v>8.9</v>
      </c>
      <c r="F90" s="24"/>
      <c r="G90" s="23" t="str">
        <f>Source!DI70</f>
        <v/>
      </c>
      <c r="H90" s="9">
        <f>Source!AV70</f>
        <v>1</v>
      </c>
      <c r="I90" s="9"/>
      <c r="J90" s="24"/>
      <c r="K90" s="24">
        <f>Source!U70</f>
        <v>38.714999999999996</v>
      </c>
    </row>
    <row r="91" spans="1:22" ht="15" x14ac:dyDescent="0.25">
      <c r="A91" s="27"/>
      <c r="B91" s="27"/>
      <c r="C91" s="27"/>
      <c r="D91" s="27"/>
      <c r="E91" s="27"/>
      <c r="F91" s="27"/>
      <c r="G91" s="27"/>
      <c r="H91" s="27"/>
      <c r="I91" s="59">
        <f>J86+J87+J88+J89</f>
        <v>56145.200000000004</v>
      </c>
      <c r="J91" s="59"/>
      <c r="K91" s="28">
        <f>IF(Source!I70&lt;&gt;0, ROUND(I91/Source!I70, 2), 0)</f>
        <v>12906.94</v>
      </c>
      <c r="P91" s="26">
        <f>I91</f>
        <v>56145.200000000004</v>
      </c>
    </row>
    <row r="93" spans="1:22" ht="15" x14ac:dyDescent="0.25">
      <c r="A93" s="60" t="str">
        <f>CONCATENATE("Итого по разделу: ",IF(Source!G72&lt;&gt;"Новый раздел", Source!G72, ""))</f>
        <v>Итого по разделу: Ремонт кабинета</v>
      </c>
      <c r="B93" s="60"/>
      <c r="C93" s="60"/>
      <c r="D93" s="60"/>
      <c r="E93" s="60"/>
      <c r="F93" s="60"/>
      <c r="G93" s="60"/>
      <c r="H93" s="60"/>
      <c r="I93" s="61">
        <f>SUM(P83:P92)</f>
        <v>56145.200000000004</v>
      </c>
      <c r="J93" s="62"/>
      <c r="K93" s="30"/>
    </row>
    <row r="95" spans="1:22" ht="14.25" x14ac:dyDescent="0.2">
      <c r="C95" s="54" t="str">
        <f>Source!H101</f>
        <v>НДС 22%</v>
      </c>
      <c r="D95" s="54"/>
      <c r="E95" s="54"/>
      <c r="F95" s="54"/>
      <c r="G95" s="54"/>
      <c r="H95" s="54"/>
      <c r="I95" s="55">
        <f>IF(Source!F101=0, "", Source!F101)</f>
        <v>12351.94</v>
      </c>
      <c r="J95" s="55"/>
    </row>
    <row r="96" spans="1:22" ht="14.25" x14ac:dyDescent="0.2">
      <c r="C96" s="54" t="str">
        <f>Source!H102</f>
        <v>Итого с НДС</v>
      </c>
      <c r="D96" s="54"/>
      <c r="E96" s="54"/>
      <c r="F96" s="54"/>
      <c r="G96" s="54"/>
      <c r="H96" s="54"/>
      <c r="I96" s="55">
        <f>IF(Source!F102=0, "", Source!F102)</f>
        <v>68497.14</v>
      </c>
      <c r="J96" s="55"/>
    </row>
    <row r="99" spans="1:11" ht="15" x14ac:dyDescent="0.25">
      <c r="A99" s="60" t="str">
        <f>CONCATENATE("Итого по смете: ",IF(Source!G136&lt;&gt;"Новый объект", Source!G136, ""))</f>
        <v>Итого по смете: Ремонт входной группы трудовой инспекции</v>
      </c>
      <c r="B99" s="60"/>
      <c r="C99" s="60"/>
      <c r="D99" s="60"/>
      <c r="E99" s="60"/>
      <c r="F99" s="60"/>
      <c r="G99" s="60"/>
      <c r="H99" s="60"/>
      <c r="I99" s="61">
        <f>SUM(P1:P98)</f>
        <v>325033.70999999996</v>
      </c>
      <c r="J99" s="62"/>
      <c r="K99" s="30"/>
    </row>
    <row r="100" spans="1:11" ht="14.25" x14ac:dyDescent="0.2">
      <c r="C100" s="54" t="str">
        <f>Source!H165</f>
        <v>НДС 22%</v>
      </c>
      <c r="D100" s="54"/>
      <c r="E100" s="54"/>
      <c r="F100" s="54"/>
      <c r="G100" s="54"/>
      <c r="H100" s="54"/>
      <c r="I100" s="55">
        <f>IF(Source!F165=0, "", Source!F165)</f>
        <v>71507.42</v>
      </c>
      <c r="J100" s="55"/>
    </row>
    <row r="101" spans="1:11" ht="14.25" x14ac:dyDescent="0.2">
      <c r="C101" s="54" t="str">
        <f>Source!H166</f>
        <v>Итого с НДС</v>
      </c>
      <c r="D101" s="54"/>
      <c r="E101" s="54"/>
      <c r="F101" s="54"/>
      <c r="G101" s="54"/>
      <c r="H101" s="54"/>
      <c r="I101" s="55">
        <f>IF(Source!F166=0, "", Source!F166)</f>
        <v>390040.45</v>
      </c>
      <c r="J101" s="55"/>
    </row>
    <row r="104" spans="1:11" ht="14.25" x14ac:dyDescent="0.2">
      <c r="A104" s="63" t="s">
        <v>151</v>
      </c>
      <c r="B104" s="63"/>
      <c r="C104" s="32" t="str">
        <f>IF(Source!AC12&lt;&gt;"", Source!AC12," ")</f>
        <v xml:space="preserve"> </v>
      </c>
      <c r="D104" s="32"/>
      <c r="E104" s="32"/>
      <c r="F104" s="32"/>
      <c r="G104" s="32"/>
      <c r="H104" s="10" t="str">
        <f>IF(Source!AB12&lt;&gt;"", Source!AB12," ")</f>
        <v xml:space="preserve"> </v>
      </c>
      <c r="I104" s="10"/>
      <c r="J104" s="10"/>
      <c r="K104" s="10"/>
    </row>
    <row r="105" spans="1:11" ht="14.25" x14ac:dyDescent="0.2">
      <c r="A105" s="10"/>
      <c r="B105" s="10"/>
      <c r="C105" s="51" t="s">
        <v>152</v>
      </c>
      <c r="D105" s="51"/>
      <c r="E105" s="51"/>
      <c r="F105" s="51"/>
      <c r="G105" s="51"/>
      <c r="H105" s="10"/>
      <c r="I105" s="10"/>
      <c r="J105" s="10"/>
      <c r="K105" s="10"/>
    </row>
    <row r="106" spans="1:11" ht="14.25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 ht="14.25" x14ac:dyDescent="0.2">
      <c r="A107" s="63" t="s">
        <v>153</v>
      </c>
      <c r="B107" s="63"/>
      <c r="C107" s="32" t="str">
        <f>IF(Source!AE12&lt;&gt;"", Source!AE12," ")</f>
        <v xml:space="preserve"> </v>
      </c>
      <c r="D107" s="32"/>
      <c r="E107" s="32"/>
      <c r="F107" s="32"/>
      <c r="G107" s="32"/>
      <c r="H107" s="10" t="str">
        <f>IF(Source!AD12&lt;&gt;"", Source!AD12," ")</f>
        <v xml:space="preserve"> </v>
      </c>
      <c r="I107" s="10"/>
      <c r="J107" s="10"/>
      <c r="K107" s="10"/>
    </row>
    <row r="108" spans="1:11" ht="14.25" x14ac:dyDescent="0.2">
      <c r="A108" s="10"/>
      <c r="B108" s="10"/>
      <c r="C108" s="51" t="s">
        <v>152</v>
      </c>
      <c r="D108" s="51"/>
      <c r="E108" s="51"/>
      <c r="F108" s="51"/>
      <c r="G108" s="51"/>
      <c r="H108" s="10"/>
      <c r="I108" s="10"/>
      <c r="J108" s="10"/>
      <c r="K108" s="10"/>
    </row>
  </sheetData>
  <mergeCells count="69">
    <mergeCell ref="C108:G108"/>
    <mergeCell ref="I99:J99"/>
    <mergeCell ref="A99:H99"/>
    <mergeCell ref="C100:H100"/>
    <mergeCell ref="I100:J100"/>
    <mergeCell ref="C101:H101"/>
    <mergeCell ref="I101:J101"/>
    <mergeCell ref="C95:H95"/>
    <mergeCell ref="I95:J95"/>
    <mergeCell ref="A104:B104"/>
    <mergeCell ref="C105:G105"/>
    <mergeCell ref="A107:B107"/>
    <mergeCell ref="I50:J50"/>
    <mergeCell ref="I58:J58"/>
    <mergeCell ref="I68:J68"/>
    <mergeCell ref="I76:J76"/>
    <mergeCell ref="C96:H96"/>
    <mergeCell ref="I96:J96"/>
    <mergeCell ref="A78:H78"/>
    <mergeCell ref="C80:H80"/>
    <mergeCell ref="I80:J80"/>
    <mergeCell ref="C81:H81"/>
    <mergeCell ref="I81:J81"/>
    <mergeCell ref="A83:K83"/>
    <mergeCell ref="I78:J78"/>
    <mergeCell ref="I91:J91"/>
    <mergeCell ref="I93:J93"/>
    <mergeCell ref="A93:H93"/>
    <mergeCell ref="H28:H30"/>
    <mergeCell ref="I28:I30"/>
    <mergeCell ref="J28:J30"/>
    <mergeCell ref="A33:K33"/>
    <mergeCell ref="I42:J42"/>
    <mergeCell ref="F23:H23"/>
    <mergeCell ref="I23:J23"/>
    <mergeCell ref="F24:H24"/>
    <mergeCell ref="I24:J24"/>
    <mergeCell ref="A35:K35"/>
    <mergeCell ref="F25:H25"/>
    <mergeCell ref="I25:J25"/>
    <mergeCell ref="F26:H26"/>
    <mergeCell ref="I26:J26"/>
    <mergeCell ref="A28:A30"/>
    <mergeCell ref="B28:B30"/>
    <mergeCell ref="C28:C30"/>
    <mergeCell ref="D28:D30"/>
    <mergeCell ref="E28:E30"/>
    <mergeCell ref="F28:F30"/>
    <mergeCell ref="G28:G30"/>
    <mergeCell ref="A17:K17"/>
    <mergeCell ref="A19:K19"/>
    <mergeCell ref="F21:H21"/>
    <mergeCell ref="I21:J21"/>
    <mergeCell ref="F22:H22"/>
    <mergeCell ref="I22:J22"/>
    <mergeCell ref="J2:K2"/>
    <mergeCell ref="A10:K10"/>
    <mergeCell ref="A11:K11"/>
    <mergeCell ref="A14:K14"/>
    <mergeCell ref="A16:K16"/>
    <mergeCell ref="A13:K13"/>
    <mergeCell ref="B3:E3"/>
    <mergeCell ref="G3:K3"/>
    <mergeCell ref="B4:E4"/>
    <mergeCell ref="G4:K4"/>
    <mergeCell ref="B6:E6"/>
    <mergeCell ref="G6:K6"/>
    <mergeCell ref="B7:E7"/>
    <mergeCell ref="G7:K7"/>
  </mergeCells>
  <pageMargins left="0.4" right="0.2" top="0.2" bottom="0.4" header="0.2" footer="0.2"/>
  <pageSetup paperSize="9" scale="60" fitToHeight="0" orientation="portrait" verticalDpi="0" r:id="rId1"/>
  <headerFooter>
    <oddHeader>&amp;L&amp;8</oddHeader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2.75" x14ac:dyDescent="0.2"/>
  <cols>
    <col min="1" max="256" width="9.1406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59090</v>
      </c>
      <c r="M1">
        <v>10</v>
      </c>
      <c r="N1">
        <v>12</v>
      </c>
      <c r="O1">
        <v>1</v>
      </c>
      <c r="P1">
        <v>0</v>
      </c>
      <c r="Q1">
        <v>5</v>
      </c>
    </row>
    <row r="12" spans="1:103" x14ac:dyDescent="0.2">
      <c r="F12" t="str">
        <f>Source!F12</f>
        <v>Новый объект</v>
      </c>
      <c r="G12" t="str">
        <f>Source!G12</f>
        <v>Ремонт входной группы трудовой инспекции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6"/>
  <sheetViews>
    <sheetView topLeftCell="A78" zoomScaleNormal="100" workbookViewId="0">
      <selection activeCell="H75" sqref="H75"/>
    </sheetView>
  </sheetViews>
  <sheetFormatPr defaultRowHeight="12.75" x14ac:dyDescent="0.2"/>
  <cols>
    <col min="1" max="1" width="5.7109375" customWidth="1"/>
    <col min="2" max="2" width="11.7109375" customWidth="1"/>
    <col min="3" max="3" width="40.7109375" customWidth="1"/>
    <col min="4" max="6" width="11.7109375" customWidth="1"/>
    <col min="7" max="11" width="12.7109375" customWidth="1"/>
    <col min="15" max="31" width="0" hidden="1" customWidth="1"/>
    <col min="32" max="32" width="116.7109375" hidden="1" customWidth="1"/>
    <col min="33" max="36" width="0" hidden="1" customWidth="1"/>
  </cols>
  <sheetData>
    <row r="1" spans="1:11" x14ac:dyDescent="0.2">
      <c r="A1" s="8" t="str">
        <f>CONCATENATE(Source!B1, "     СН-2012 (© ОАО МЦЦС 'Мосстройцены', ", "2026", ")")</f>
        <v>Smeta.RU  (495) 974-1589     СН-2012 (© ОАО МЦЦС 'Мосстройцены', 2026)</v>
      </c>
    </row>
    <row r="2" spans="1:11" ht="14.25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4.25" x14ac:dyDescent="0.2">
      <c r="A3" s="47" t="s">
        <v>154</v>
      </c>
      <c r="B3" s="47"/>
      <c r="C3" s="14" t="str">
        <f>IF(Source!AJ12&lt;&gt;"", Source!AJ12," ")</f>
        <v xml:space="preserve"> </v>
      </c>
      <c r="D3" s="10"/>
      <c r="E3" s="10"/>
      <c r="F3" s="10"/>
      <c r="G3" s="10"/>
      <c r="H3" s="10"/>
      <c r="I3" s="10"/>
      <c r="J3" s="10"/>
      <c r="K3" s="10"/>
    </row>
    <row r="4" spans="1:11" ht="14.25" x14ac:dyDescent="0.2">
      <c r="A4" s="14"/>
      <c r="B4" s="14"/>
      <c r="C4" s="10"/>
      <c r="D4" s="10"/>
      <c r="E4" s="10"/>
      <c r="F4" s="10"/>
      <c r="G4" s="10"/>
      <c r="H4" s="10"/>
      <c r="I4" s="10"/>
      <c r="J4" s="10"/>
      <c r="K4" s="10"/>
    </row>
    <row r="5" spans="1:11" ht="14.25" x14ac:dyDescent="0.2">
      <c r="A5" s="47" t="s">
        <v>155</v>
      </c>
      <c r="B5" s="47"/>
      <c r="C5" s="14" t="str">
        <f>IF(Source!AN12&lt;&gt;"", Source!AN12," ")</f>
        <v xml:space="preserve"> </v>
      </c>
      <c r="D5" s="10"/>
      <c r="E5" s="10"/>
      <c r="F5" s="10"/>
      <c r="G5" s="10"/>
      <c r="H5" s="10"/>
      <c r="I5" s="10"/>
      <c r="J5" s="10"/>
      <c r="K5" s="10"/>
    </row>
    <row r="6" spans="1:11" ht="14.2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18" x14ac:dyDescent="0.25">
      <c r="A7" s="65" t="s">
        <v>156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ht="14.25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4.25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5.75" x14ac:dyDescent="0.25">
      <c r="A10" s="47" t="s">
        <v>157</v>
      </c>
      <c r="B10" s="47"/>
      <c r="C10" s="66" t="str">
        <f>IF(Source!F12&lt;&gt;"Новый объект", Source!F12, "")</f>
        <v/>
      </c>
      <c r="D10" s="66"/>
      <c r="E10" s="66"/>
      <c r="F10" s="66"/>
      <c r="G10" s="66"/>
      <c r="H10" s="66"/>
      <c r="I10" s="66"/>
      <c r="J10" s="66"/>
      <c r="K10" s="66"/>
    </row>
    <row r="11" spans="1:11" ht="14.25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8" x14ac:dyDescent="0.25">
      <c r="A12" s="47" t="s">
        <v>158</v>
      </c>
      <c r="B12" s="47"/>
      <c r="C12" s="64" t="str">
        <f>Source!G12</f>
        <v>Ремонт входной группы трудовой инспекции</v>
      </c>
      <c r="D12" s="64"/>
      <c r="E12" s="64"/>
      <c r="F12" s="64"/>
      <c r="G12" s="64"/>
      <c r="H12" s="64"/>
      <c r="I12" s="64"/>
      <c r="J12" s="64"/>
      <c r="K12" s="64"/>
    </row>
    <row r="13" spans="1:11" ht="14.25" x14ac:dyDescent="0.2">
      <c r="A13" s="10"/>
      <c r="B13" s="10"/>
      <c r="C13" s="67" t="s">
        <v>119</v>
      </c>
      <c r="D13" s="67"/>
      <c r="E13" s="67"/>
      <c r="F13" s="67"/>
      <c r="G13" s="67"/>
      <c r="H13" s="67"/>
      <c r="I13" s="67"/>
      <c r="J13" s="67"/>
      <c r="K13" s="67"/>
    </row>
    <row r="14" spans="1:11" ht="14.25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14.25" x14ac:dyDescent="0.2">
      <c r="A15" s="10" t="s">
        <v>140</v>
      </c>
      <c r="B15" s="10"/>
      <c r="C15" s="10"/>
      <c r="D15" s="17"/>
      <c r="E15" s="18"/>
      <c r="F15" s="10"/>
      <c r="G15" s="10"/>
      <c r="H15" s="10"/>
      <c r="I15" s="10"/>
      <c r="J15" s="10"/>
      <c r="K15" s="10"/>
    </row>
    <row r="16" spans="1:11" ht="14.25" x14ac:dyDescent="0.2">
      <c r="A16" s="57" t="s">
        <v>127</v>
      </c>
      <c r="B16" s="57" t="s">
        <v>159</v>
      </c>
      <c r="C16" s="57" t="s">
        <v>129</v>
      </c>
      <c r="D16" s="57" t="s">
        <v>130</v>
      </c>
      <c r="E16" s="57" t="s">
        <v>131</v>
      </c>
      <c r="F16" s="57" t="s">
        <v>132</v>
      </c>
      <c r="G16" s="57" t="s">
        <v>133</v>
      </c>
      <c r="H16" s="57" t="s">
        <v>134</v>
      </c>
      <c r="I16" s="57" t="s">
        <v>135</v>
      </c>
      <c r="J16" s="57" t="s">
        <v>136</v>
      </c>
      <c r="K16" s="19" t="s">
        <v>137</v>
      </c>
    </row>
    <row r="17" spans="1:22" ht="28.5" x14ac:dyDescent="0.2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20" t="s">
        <v>160</v>
      </c>
    </row>
    <row r="18" spans="1:22" ht="28.5" x14ac:dyDescent="0.2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20" t="s">
        <v>161</v>
      </c>
    </row>
    <row r="19" spans="1:22" ht="14.25" x14ac:dyDescent="0.2">
      <c r="A19" s="20">
        <v>1</v>
      </c>
      <c r="B19" s="20">
        <v>2</v>
      </c>
      <c r="C19" s="20">
        <v>3</v>
      </c>
      <c r="D19" s="20">
        <v>4</v>
      </c>
      <c r="E19" s="20">
        <v>5</v>
      </c>
      <c r="F19" s="20">
        <v>6</v>
      </c>
      <c r="G19" s="20">
        <v>7</v>
      </c>
      <c r="H19" s="20">
        <v>8</v>
      </c>
      <c r="I19" s="20">
        <v>9</v>
      </c>
      <c r="J19" s="20">
        <v>10</v>
      </c>
      <c r="K19" s="20">
        <v>11</v>
      </c>
    </row>
    <row r="21" spans="1:22" ht="16.5" x14ac:dyDescent="0.25">
      <c r="A21" s="56" t="str">
        <f>CONCATENATE("Локальная смета: ",IF(Source!G20&lt;&gt;"Новая локальная смета", Source!G20, ""))</f>
        <v xml:space="preserve">Локальная смета: 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</row>
    <row r="23" spans="1:22" ht="16.5" x14ac:dyDescent="0.25">
      <c r="A23" s="56" t="str">
        <f>CONCATENATE("Раздел: ",IF(Source!G24&lt;&gt;"Новый раздел", Source!G24, ""))</f>
        <v>Раздел: Ремонт входной группы трудовой инспекции по адресу Домодедовская ул., д. 24, корп. 3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</row>
    <row r="24" spans="1:22" ht="28.5" x14ac:dyDescent="0.2">
      <c r="A24" s="21">
        <v>1</v>
      </c>
      <c r="B24" s="21" t="str">
        <f>Source!F28</f>
        <v>1.20-3104-1-4/1</v>
      </c>
      <c r="C24" s="21" t="str">
        <f>Source!G28</f>
        <v>Демонтаж осветительных приборов - светильник для люминесцентных ламп</v>
      </c>
      <c r="D24" s="22" t="str">
        <f>Source!H28</f>
        <v>100 шт.</v>
      </c>
      <c r="E24" s="9">
        <f>Source!I28</f>
        <v>0.05</v>
      </c>
      <c r="F24" s="24"/>
      <c r="G24" s="23"/>
      <c r="H24" s="9"/>
      <c r="I24" s="9"/>
      <c r="J24" s="24"/>
      <c r="K24" s="24"/>
      <c r="Q24">
        <f>ROUND((Source!BZ28/100)*ROUND((Source!AF28*Source!AV28)*Source!I28, 2), 2)</f>
        <v>304.7</v>
      </c>
      <c r="R24">
        <f>Source!X28</f>
        <v>304.7</v>
      </c>
      <c r="S24">
        <f>ROUND((Source!CA28/100)*ROUND((Source!AF28*Source!AV28)*Source!I28, 2), 2)</f>
        <v>43.53</v>
      </c>
      <c r="T24">
        <f>Source!Y28</f>
        <v>43.53</v>
      </c>
      <c r="U24">
        <f>ROUND((175/100)*ROUND((Source!AE28*Source!AV28)*Source!I28, 2), 2)</f>
        <v>0</v>
      </c>
      <c r="V24">
        <f>ROUND((125/100)*ROUND(Source!CS28*Source!I28, 2), 2)</f>
        <v>0</v>
      </c>
    </row>
    <row r="25" spans="1:22" x14ac:dyDescent="0.2">
      <c r="C25" s="25" t="str">
        <f>"Объем: "&amp;Source!I28&amp;"=5/"&amp;"100"</f>
        <v>Объем: 0,05=5/100</v>
      </c>
    </row>
    <row r="26" spans="1:22" ht="14.25" x14ac:dyDescent="0.2">
      <c r="A26" s="21"/>
      <c r="B26" s="21"/>
      <c r="C26" s="21" t="s">
        <v>141</v>
      </c>
      <c r="D26" s="22"/>
      <c r="E26" s="9"/>
      <c r="F26" s="24">
        <f>Source!AO28</f>
        <v>8705.81</v>
      </c>
      <c r="G26" s="23" t="str">
        <f>Source!DG28</f>
        <v/>
      </c>
      <c r="H26" s="9">
        <f>Source!AV28</f>
        <v>1</v>
      </c>
      <c r="I26" s="9">
        <f>IF(Source!BA28&lt;&gt; 0, Source!BA28, 1)</f>
        <v>1</v>
      </c>
      <c r="J26" s="24">
        <f>Source!S28</f>
        <v>435.29</v>
      </c>
      <c r="K26" s="24"/>
    </row>
    <row r="27" spans="1:22" ht="14.25" x14ac:dyDescent="0.2">
      <c r="A27" s="21"/>
      <c r="B27" s="21"/>
      <c r="C27" s="21" t="s">
        <v>142</v>
      </c>
      <c r="D27" s="22" t="s">
        <v>143</v>
      </c>
      <c r="E27" s="9">
        <f>Source!AT28</f>
        <v>70</v>
      </c>
      <c r="F27" s="24"/>
      <c r="G27" s="23"/>
      <c r="H27" s="9"/>
      <c r="I27" s="9"/>
      <c r="J27" s="24">
        <f>SUM(R24:R26)</f>
        <v>304.7</v>
      </c>
      <c r="K27" s="24"/>
    </row>
    <row r="28" spans="1:22" ht="14.25" x14ac:dyDescent="0.2">
      <c r="A28" s="21"/>
      <c r="B28" s="21"/>
      <c r="C28" s="21" t="s">
        <v>162</v>
      </c>
      <c r="D28" s="22" t="s">
        <v>143</v>
      </c>
      <c r="E28" s="9">
        <f>Source!AU28</f>
        <v>10</v>
      </c>
      <c r="F28" s="24"/>
      <c r="G28" s="23"/>
      <c r="H28" s="9"/>
      <c r="I28" s="9"/>
      <c r="J28" s="24">
        <f>SUM(T24:T27)</f>
        <v>43.53</v>
      </c>
      <c r="K28" s="24"/>
    </row>
    <row r="29" spans="1:22" ht="14.25" x14ac:dyDescent="0.2">
      <c r="A29" s="21"/>
      <c r="B29" s="21"/>
      <c r="C29" s="21" t="s">
        <v>145</v>
      </c>
      <c r="D29" s="22" t="s">
        <v>146</v>
      </c>
      <c r="E29" s="9">
        <f>Source!AQ28</f>
        <v>17.89</v>
      </c>
      <c r="F29" s="24"/>
      <c r="G29" s="23" t="str">
        <f>Source!DI28</f>
        <v/>
      </c>
      <c r="H29" s="9">
        <f>Source!AV28</f>
        <v>1</v>
      </c>
      <c r="I29" s="9"/>
      <c r="J29" s="24"/>
      <c r="K29" s="24">
        <f>Source!U28</f>
        <v>0.89450000000000007</v>
      </c>
    </row>
    <row r="30" spans="1:22" ht="15" x14ac:dyDescent="0.25">
      <c r="A30" s="27"/>
      <c r="B30" s="27"/>
      <c r="C30" s="27"/>
      <c r="D30" s="27"/>
      <c r="E30" s="27"/>
      <c r="F30" s="27"/>
      <c r="G30" s="27"/>
      <c r="H30" s="27"/>
      <c r="I30" s="59">
        <f>J26+J27+J28</f>
        <v>783.52</v>
      </c>
      <c r="J30" s="59"/>
      <c r="K30" s="28">
        <f>IF(Source!I28&lt;&gt;0, ROUND(I30/Source!I28, 2), 0)</f>
        <v>15670.4</v>
      </c>
      <c r="P30" s="26">
        <f>I30</f>
        <v>783.52</v>
      </c>
    </row>
    <row r="31" spans="1:22" ht="28.5" x14ac:dyDescent="0.2">
      <c r="A31" s="21">
        <v>2</v>
      </c>
      <c r="B31" s="21" t="str">
        <f>Source!F29</f>
        <v>1.7-5103-1-1/1</v>
      </c>
      <c r="C31" s="21" t="str">
        <f>Source!G29</f>
        <v>Расчистка и окраска металлических конструкций</v>
      </c>
      <c r="D31" s="22" t="str">
        <f>Source!H29</f>
        <v>10 м2</v>
      </c>
      <c r="E31" s="9">
        <f>Source!I29</f>
        <v>9.1</v>
      </c>
      <c r="F31" s="24"/>
      <c r="G31" s="23"/>
      <c r="H31" s="9"/>
      <c r="I31" s="9"/>
      <c r="J31" s="24"/>
      <c r="K31" s="24"/>
      <c r="Q31">
        <f>ROUND((Source!BZ29/100)*ROUND((Source!AF29*Source!AV29)*Source!I29, 2), 2)</f>
        <v>45900.25</v>
      </c>
      <c r="R31">
        <f>Source!X29</f>
        <v>45900.25</v>
      </c>
      <c r="S31">
        <f>ROUND((Source!CA29/100)*ROUND((Source!AF29*Source!AV29)*Source!I29, 2), 2)</f>
        <v>6557.18</v>
      </c>
      <c r="T31">
        <f>Source!Y29</f>
        <v>6557.18</v>
      </c>
      <c r="U31">
        <f>ROUND((175/100)*ROUND((Source!AE29*Source!AV29)*Source!I29, 2), 2)</f>
        <v>0</v>
      </c>
      <c r="V31">
        <f>ROUND((125/100)*ROUND(Source!CS29*Source!I29, 2), 2)</f>
        <v>0</v>
      </c>
    </row>
    <row r="32" spans="1:22" x14ac:dyDescent="0.2">
      <c r="C32" s="25" t="str">
        <f>"Объем: "&amp;Source!I29&amp;"=91/"&amp;"10"</f>
        <v>Объем: 9,1=91/10</v>
      </c>
    </row>
    <row r="33" spans="1:22" ht="14.25" x14ac:dyDescent="0.2">
      <c r="A33" s="21"/>
      <c r="B33" s="21"/>
      <c r="C33" s="21" t="s">
        <v>141</v>
      </c>
      <c r="D33" s="22"/>
      <c r="E33" s="9"/>
      <c r="F33" s="24">
        <f>Source!AO29</f>
        <v>7205.69</v>
      </c>
      <c r="G33" s="23" t="str">
        <f>Source!DG29</f>
        <v/>
      </c>
      <c r="H33" s="9">
        <f>Source!AV29</f>
        <v>1</v>
      </c>
      <c r="I33" s="9">
        <f>IF(Source!BA29&lt;&gt; 0, Source!BA29, 1)</f>
        <v>1</v>
      </c>
      <c r="J33" s="24">
        <f>Source!S29</f>
        <v>65571.78</v>
      </c>
      <c r="K33" s="24"/>
    </row>
    <row r="34" spans="1:22" ht="14.25" x14ac:dyDescent="0.2">
      <c r="A34" s="21"/>
      <c r="B34" s="21"/>
      <c r="C34" s="21" t="s">
        <v>147</v>
      </c>
      <c r="D34" s="22"/>
      <c r="E34" s="9"/>
      <c r="F34" s="24">
        <f>Source!AL29</f>
        <v>3773.91</v>
      </c>
      <c r="G34" s="23" t="str">
        <f>Source!DD29</f>
        <v/>
      </c>
      <c r="H34" s="9">
        <f>Source!AW29</f>
        <v>1</v>
      </c>
      <c r="I34" s="9">
        <f>IF(Source!BC29&lt;&gt; 0, Source!BC29, 1)</f>
        <v>1</v>
      </c>
      <c r="J34" s="24">
        <f>Source!P29</f>
        <v>34342.58</v>
      </c>
      <c r="K34" s="24"/>
    </row>
    <row r="35" spans="1:22" ht="14.25" x14ac:dyDescent="0.2">
      <c r="A35" s="21"/>
      <c r="B35" s="21"/>
      <c r="C35" s="21" t="s">
        <v>142</v>
      </c>
      <c r="D35" s="22" t="s">
        <v>143</v>
      </c>
      <c r="E35" s="9">
        <f>Source!AT29</f>
        <v>70</v>
      </c>
      <c r="F35" s="24"/>
      <c r="G35" s="23"/>
      <c r="H35" s="9"/>
      <c r="I35" s="9"/>
      <c r="J35" s="24">
        <f>SUM(R31:R34)</f>
        <v>45900.25</v>
      </c>
      <c r="K35" s="24"/>
    </row>
    <row r="36" spans="1:22" ht="14.25" x14ac:dyDescent="0.2">
      <c r="A36" s="21"/>
      <c r="B36" s="21"/>
      <c r="C36" s="21" t="s">
        <v>162</v>
      </c>
      <c r="D36" s="22" t="s">
        <v>143</v>
      </c>
      <c r="E36" s="9">
        <f>Source!AU29</f>
        <v>10</v>
      </c>
      <c r="F36" s="24"/>
      <c r="G36" s="23"/>
      <c r="H36" s="9"/>
      <c r="I36" s="9"/>
      <c r="J36" s="24">
        <f>SUM(T31:T35)</f>
        <v>6557.18</v>
      </c>
      <c r="K36" s="24"/>
    </row>
    <row r="37" spans="1:22" ht="14.25" x14ac:dyDescent="0.2">
      <c r="A37" s="21"/>
      <c r="B37" s="21"/>
      <c r="C37" s="21" t="s">
        <v>145</v>
      </c>
      <c r="D37" s="22" t="s">
        <v>146</v>
      </c>
      <c r="E37" s="9">
        <f>Source!AQ29</f>
        <v>10.82</v>
      </c>
      <c r="F37" s="24"/>
      <c r="G37" s="23" t="str">
        <f>Source!DI29</f>
        <v/>
      </c>
      <c r="H37" s="9">
        <f>Source!AV29</f>
        <v>1</v>
      </c>
      <c r="I37" s="9"/>
      <c r="J37" s="24"/>
      <c r="K37" s="24">
        <f>Source!U29</f>
        <v>98.462000000000003</v>
      </c>
    </row>
    <row r="38" spans="1:22" ht="15" x14ac:dyDescent="0.25">
      <c r="A38" s="27"/>
      <c r="B38" s="27"/>
      <c r="C38" s="27"/>
      <c r="D38" s="27"/>
      <c r="E38" s="27"/>
      <c r="F38" s="27"/>
      <c r="G38" s="27"/>
      <c r="H38" s="27"/>
      <c r="I38" s="59">
        <f>J33+J34+J35+J36</f>
        <v>152371.78999999998</v>
      </c>
      <c r="J38" s="59"/>
      <c r="K38" s="28">
        <f>IF(Source!I29&lt;&gt;0, ROUND(I38/Source!I29, 2), 0)</f>
        <v>16744.150000000001</v>
      </c>
      <c r="P38" s="26">
        <f>I38</f>
        <v>152371.78999999998</v>
      </c>
    </row>
    <row r="39" spans="1:22" ht="85.5" x14ac:dyDescent="0.2">
      <c r="A39" s="21">
        <v>3</v>
      </c>
      <c r="B39" s="21" t="str">
        <f>Source!F30</f>
        <v>1.13-5302-5-19/1</v>
      </c>
      <c r="C39" s="21" t="str">
        <f>Source!G30</f>
        <v>Высококачественная поливинилацетатная окраска с расчисткой преждеокрашенных оштукатуренных поверхностей стен, пилястр, откосов, колонн с расчисткой до 30%</v>
      </c>
      <c r="D39" s="22" t="str">
        <f>Source!H30</f>
        <v>10 м2</v>
      </c>
      <c r="E39" s="9">
        <f>Source!I30</f>
        <v>8.06</v>
      </c>
      <c r="F39" s="24"/>
      <c r="G39" s="23"/>
      <c r="H39" s="9"/>
      <c r="I39" s="9"/>
      <c r="J39" s="24"/>
      <c r="K39" s="24"/>
      <c r="Q39">
        <f>ROUND((Source!BZ30/100)*ROUND((Source!AF30*Source!AV30)*Source!I30, 2), 2)</f>
        <v>38432.120000000003</v>
      </c>
      <c r="R39">
        <f>Source!X30</f>
        <v>38432.120000000003</v>
      </c>
      <c r="S39">
        <f>ROUND((Source!CA30/100)*ROUND((Source!AF30*Source!AV30)*Source!I30, 2), 2)</f>
        <v>5490.3</v>
      </c>
      <c r="T39">
        <f>Source!Y30</f>
        <v>5490.3</v>
      </c>
      <c r="U39">
        <f>ROUND((175/100)*ROUND((Source!AE30*Source!AV30)*Source!I30, 2), 2)</f>
        <v>0</v>
      </c>
      <c r="V39">
        <f>ROUND((125/100)*ROUND(Source!CS30*Source!I30, 2), 2)</f>
        <v>0</v>
      </c>
    </row>
    <row r="40" spans="1:22" x14ac:dyDescent="0.2">
      <c r="C40" s="25" t="str">
        <f>"Объем: "&amp;Source!I30&amp;"=80,6/"&amp;"10"</f>
        <v>Объем: 8,06=80,6/10</v>
      </c>
    </row>
    <row r="41" spans="1:22" ht="14.25" x14ac:dyDescent="0.2">
      <c r="A41" s="21"/>
      <c r="B41" s="21"/>
      <c r="C41" s="21" t="s">
        <v>141</v>
      </c>
      <c r="D41" s="22"/>
      <c r="E41" s="9"/>
      <c r="F41" s="24">
        <f>Source!AO30</f>
        <v>6811.79</v>
      </c>
      <c r="G41" s="23" t="str">
        <f>Source!DG30</f>
        <v/>
      </c>
      <c r="H41" s="9">
        <f>Source!AV30</f>
        <v>1</v>
      </c>
      <c r="I41" s="9">
        <f>IF(Source!BA30&lt;&gt; 0, Source!BA30, 1)</f>
        <v>1</v>
      </c>
      <c r="J41" s="24">
        <f>Source!S30</f>
        <v>54903.03</v>
      </c>
      <c r="K41" s="24"/>
    </row>
    <row r="42" spans="1:22" ht="14.25" x14ac:dyDescent="0.2">
      <c r="A42" s="21"/>
      <c r="B42" s="21"/>
      <c r="C42" s="21" t="s">
        <v>147</v>
      </c>
      <c r="D42" s="22"/>
      <c r="E42" s="9"/>
      <c r="F42" s="24">
        <f>Source!AL30</f>
        <v>645.72</v>
      </c>
      <c r="G42" s="23" t="str">
        <f>Source!DD30</f>
        <v/>
      </c>
      <c r="H42" s="9">
        <f>Source!AW30</f>
        <v>1</v>
      </c>
      <c r="I42" s="9">
        <f>IF(Source!BC30&lt;&gt; 0, Source!BC30, 1)</f>
        <v>1</v>
      </c>
      <c r="J42" s="24">
        <f>Source!P30</f>
        <v>5204.5</v>
      </c>
      <c r="K42" s="24"/>
    </row>
    <row r="43" spans="1:22" ht="14.25" x14ac:dyDescent="0.2">
      <c r="A43" s="21"/>
      <c r="B43" s="21"/>
      <c r="C43" s="21" t="s">
        <v>142</v>
      </c>
      <c r="D43" s="22" t="s">
        <v>143</v>
      </c>
      <c r="E43" s="9">
        <f>Source!AT30</f>
        <v>70</v>
      </c>
      <c r="F43" s="24"/>
      <c r="G43" s="23"/>
      <c r="H43" s="9"/>
      <c r="I43" s="9"/>
      <c r="J43" s="24">
        <f>SUM(R39:R42)</f>
        <v>38432.120000000003</v>
      </c>
      <c r="K43" s="24"/>
    </row>
    <row r="44" spans="1:22" ht="14.25" x14ac:dyDescent="0.2">
      <c r="A44" s="21"/>
      <c r="B44" s="21"/>
      <c r="C44" s="21" t="s">
        <v>162</v>
      </c>
      <c r="D44" s="22" t="s">
        <v>143</v>
      </c>
      <c r="E44" s="9">
        <f>Source!AU30</f>
        <v>10</v>
      </c>
      <c r="F44" s="24"/>
      <c r="G44" s="23"/>
      <c r="H44" s="9"/>
      <c r="I44" s="9"/>
      <c r="J44" s="24">
        <f>SUM(T39:T43)</f>
        <v>5490.3</v>
      </c>
      <c r="K44" s="24"/>
    </row>
    <row r="45" spans="1:22" ht="14.25" x14ac:dyDescent="0.2">
      <c r="A45" s="21"/>
      <c r="B45" s="21"/>
      <c r="C45" s="21" t="s">
        <v>145</v>
      </c>
      <c r="D45" s="22" t="s">
        <v>146</v>
      </c>
      <c r="E45" s="9">
        <f>Source!AQ30</f>
        <v>8.9</v>
      </c>
      <c r="F45" s="24"/>
      <c r="G45" s="23" t="str">
        <f>Source!DI30</f>
        <v/>
      </c>
      <c r="H45" s="9">
        <f>Source!AV30</f>
        <v>1</v>
      </c>
      <c r="I45" s="9"/>
      <c r="J45" s="24"/>
      <c r="K45" s="24">
        <f>Source!U30</f>
        <v>71.734000000000009</v>
      </c>
    </row>
    <row r="46" spans="1:22" ht="15" x14ac:dyDescent="0.25">
      <c r="A46" s="27"/>
      <c r="B46" s="27"/>
      <c r="C46" s="27"/>
      <c r="D46" s="27"/>
      <c r="E46" s="27"/>
      <c r="F46" s="27"/>
      <c r="G46" s="27"/>
      <c r="H46" s="27"/>
      <c r="I46" s="59">
        <f>J41+J42+J43+J44</f>
        <v>104029.95</v>
      </c>
      <c r="J46" s="59"/>
      <c r="K46" s="28">
        <f>IF(Source!I30&lt;&gt;0, ROUND(I46/Source!I30, 2), 0)</f>
        <v>12906.94</v>
      </c>
      <c r="P46" s="26">
        <f>I46</f>
        <v>104029.95</v>
      </c>
    </row>
    <row r="47" spans="1:22" ht="99.75" x14ac:dyDescent="0.2">
      <c r="A47" s="21">
        <v>4</v>
      </c>
      <c r="B47" s="21" t="str">
        <f>Source!F31</f>
        <v>1.20-3103-22-1/1</v>
      </c>
      <c r="C47" s="21" t="str">
        <f>Source!G31</f>
        <v>Установка светильника светодиодного линейного с креплением на монтажные скобы, со встроенным драйвером, длиной до 1500 мм, на бетонный (железобетонный) потолок / светильник размером 1200х75х25 мм в комплекте с монтажными скобами /</v>
      </c>
      <c r="D47" s="22" t="str">
        <f>Source!H31</f>
        <v>шт.</v>
      </c>
      <c r="E47" s="9">
        <f>Source!I31</f>
        <v>5</v>
      </c>
      <c r="F47" s="24"/>
      <c r="G47" s="23"/>
      <c r="H47" s="9"/>
      <c r="I47" s="9"/>
      <c r="J47" s="24"/>
      <c r="K47" s="24"/>
      <c r="Q47">
        <f>ROUND((Source!BZ31/100)*ROUND((Source!AF31*Source!AV31)*Source!I31, 2), 2)</f>
        <v>1387.51</v>
      </c>
      <c r="R47">
        <f>Source!X31</f>
        <v>1387.51</v>
      </c>
      <c r="S47">
        <f>ROUND((Source!CA31/100)*ROUND((Source!AF31*Source!AV31)*Source!I31, 2), 2)</f>
        <v>198.22</v>
      </c>
      <c r="T47">
        <f>Source!Y31</f>
        <v>198.22</v>
      </c>
      <c r="U47">
        <f>ROUND((175/100)*ROUND((Source!AE31*Source!AV31)*Source!I31, 2), 2)</f>
        <v>0.09</v>
      </c>
      <c r="V47">
        <f>ROUND((125/100)*ROUND(Source!CS31*Source!I31, 2), 2)</f>
        <v>0.06</v>
      </c>
    </row>
    <row r="48" spans="1:22" ht="14.25" x14ac:dyDescent="0.2">
      <c r="A48" s="21"/>
      <c r="B48" s="21"/>
      <c r="C48" s="21" t="s">
        <v>141</v>
      </c>
      <c r="D48" s="22"/>
      <c r="E48" s="9"/>
      <c r="F48" s="24">
        <f>Source!AO31</f>
        <v>396.43</v>
      </c>
      <c r="G48" s="23" t="str">
        <f>Source!DG31</f>
        <v/>
      </c>
      <c r="H48" s="9">
        <f>Source!AV31</f>
        <v>1</v>
      </c>
      <c r="I48" s="9">
        <f>IF(Source!BA31&lt;&gt; 0, Source!BA31, 1)</f>
        <v>1</v>
      </c>
      <c r="J48" s="24">
        <f>Source!S31</f>
        <v>1982.15</v>
      </c>
      <c r="K48" s="24"/>
    </row>
    <row r="49" spans="1:22" ht="14.25" x14ac:dyDescent="0.2">
      <c r="A49" s="21"/>
      <c r="B49" s="21"/>
      <c r="C49" s="21" t="s">
        <v>148</v>
      </c>
      <c r="D49" s="22"/>
      <c r="E49" s="9"/>
      <c r="F49" s="24">
        <f>Source!AM31</f>
        <v>2.16</v>
      </c>
      <c r="G49" s="23" t="str">
        <f>Source!DE31</f>
        <v/>
      </c>
      <c r="H49" s="9">
        <f>Source!AV31</f>
        <v>1</v>
      </c>
      <c r="I49" s="9">
        <f>IF(Source!BB31&lt;&gt; 0, Source!BB31, 1)</f>
        <v>1</v>
      </c>
      <c r="J49" s="24">
        <f>Source!Q31</f>
        <v>10.8</v>
      </c>
      <c r="K49" s="24"/>
    </row>
    <row r="50" spans="1:22" ht="14.25" x14ac:dyDescent="0.2">
      <c r="A50" s="21"/>
      <c r="B50" s="21"/>
      <c r="C50" s="21" t="s">
        <v>149</v>
      </c>
      <c r="D50" s="22"/>
      <c r="E50" s="9"/>
      <c r="F50" s="24">
        <f>Source!AN31</f>
        <v>0.01</v>
      </c>
      <c r="G50" s="23" t="str">
        <f>Source!DF31</f>
        <v/>
      </c>
      <c r="H50" s="9">
        <f>Source!AV31</f>
        <v>1</v>
      </c>
      <c r="I50" s="9">
        <f>IF(Source!BS31&lt;&gt; 0, Source!BS31, 1)</f>
        <v>1</v>
      </c>
      <c r="J50" s="29">
        <f>Source!R31</f>
        <v>0.05</v>
      </c>
      <c r="K50" s="24"/>
    </row>
    <row r="51" spans="1:22" ht="14.25" x14ac:dyDescent="0.2">
      <c r="A51" s="21"/>
      <c r="B51" s="21"/>
      <c r="C51" s="21" t="s">
        <v>147</v>
      </c>
      <c r="D51" s="22"/>
      <c r="E51" s="9"/>
      <c r="F51" s="24">
        <f>Source!AL31</f>
        <v>1001.7</v>
      </c>
      <c r="G51" s="23" t="str">
        <f>Source!DD31</f>
        <v/>
      </c>
      <c r="H51" s="9">
        <f>Source!AW31</f>
        <v>1</v>
      </c>
      <c r="I51" s="9">
        <f>IF(Source!BC31&lt;&gt; 0, Source!BC31, 1)</f>
        <v>1</v>
      </c>
      <c r="J51" s="24">
        <f>Source!P31</f>
        <v>5008.5</v>
      </c>
      <c r="K51" s="24"/>
    </row>
    <row r="52" spans="1:22" ht="14.25" x14ac:dyDescent="0.2">
      <c r="A52" s="21"/>
      <c r="B52" s="21"/>
      <c r="C52" s="21" t="s">
        <v>142</v>
      </c>
      <c r="D52" s="22" t="s">
        <v>143</v>
      </c>
      <c r="E52" s="9">
        <f>Source!AT31</f>
        <v>70</v>
      </c>
      <c r="F52" s="24"/>
      <c r="G52" s="23"/>
      <c r="H52" s="9"/>
      <c r="I52" s="9"/>
      <c r="J52" s="24">
        <f>SUM(R47:R51)</f>
        <v>1387.51</v>
      </c>
      <c r="K52" s="24"/>
    </row>
    <row r="53" spans="1:22" ht="14.25" x14ac:dyDescent="0.2">
      <c r="A53" s="21"/>
      <c r="B53" s="21"/>
      <c r="C53" s="21" t="s">
        <v>162</v>
      </c>
      <c r="D53" s="22" t="s">
        <v>143</v>
      </c>
      <c r="E53" s="9">
        <f>Source!AU31</f>
        <v>10</v>
      </c>
      <c r="F53" s="24"/>
      <c r="G53" s="23"/>
      <c r="H53" s="9"/>
      <c r="I53" s="9"/>
      <c r="J53" s="24">
        <f>SUM(T47:T52)</f>
        <v>198.22</v>
      </c>
      <c r="K53" s="24"/>
    </row>
    <row r="54" spans="1:22" ht="14.25" x14ac:dyDescent="0.2">
      <c r="A54" s="21"/>
      <c r="B54" s="21"/>
      <c r="C54" s="21" t="s">
        <v>163</v>
      </c>
      <c r="D54" s="22" t="s">
        <v>143</v>
      </c>
      <c r="E54" s="9">
        <f>125</f>
        <v>125</v>
      </c>
      <c r="F54" s="24"/>
      <c r="G54" s="23"/>
      <c r="H54" s="9"/>
      <c r="I54" s="9"/>
      <c r="J54" s="24">
        <f>SUM(V47:V53)</f>
        <v>0.06</v>
      </c>
      <c r="K54" s="24"/>
    </row>
    <row r="55" spans="1:22" ht="14.25" x14ac:dyDescent="0.2">
      <c r="A55" s="21"/>
      <c r="B55" s="21"/>
      <c r="C55" s="21" t="s">
        <v>145</v>
      </c>
      <c r="D55" s="22" t="s">
        <v>146</v>
      </c>
      <c r="E55" s="9">
        <f>Source!AQ31</f>
        <v>0.68</v>
      </c>
      <c r="F55" s="24"/>
      <c r="G55" s="23" t="str">
        <f>Source!DI31</f>
        <v/>
      </c>
      <c r="H55" s="9">
        <f>Source!AV31</f>
        <v>1</v>
      </c>
      <c r="I55" s="9"/>
      <c r="J55" s="24"/>
      <c r="K55" s="24">
        <f>Source!U31</f>
        <v>3.4000000000000004</v>
      </c>
    </row>
    <row r="56" spans="1:22" ht="15" x14ac:dyDescent="0.25">
      <c r="A56" s="27"/>
      <c r="B56" s="27"/>
      <c r="C56" s="27"/>
      <c r="D56" s="27"/>
      <c r="E56" s="27"/>
      <c r="F56" s="27"/>
      <c r="G56" s="27"/>
      <c r="H56" s="27"/>
      <c r="I56" s="59">
        <f>J48+J49+J51+J52+J53+J54</f>
        <v>8587.239999999998</v>
      </c>
      <c r="J56" s="59"/>
      <c r="K56" s="28">
        <f>IF(Source!I31&lt;&gt;0, ROUND(I56/Source!I31, 2), 0)</f>
        <v>1717.45</v>
      </c>
      <c r="P56" s="26">
        <f>I56</f>
        <v>8587.239999999998</v>
      </c>
    </row>
    <row r="57" spans="1:22" ht="28.5" x14ac:dyDescent="0.2">
      <c r="A57" s="21">
        <v>5</v>
      </c>
      <c r="B57" s="21" t="str">
        <f>Source!F32</f>
        <v>1.11-3402-1-3/1</v>
      </c>
      <c r="C57" s="21" t="str">
        <f>Source!G32</f>
        <v>Смена дверных приборов - ручек-скоб</v>
      </c>
      <c r="D57" s="22" t="str">
        <f>Source!H32</f>
        <v>100 шт.</v>
      </c>
      <c r="E57" s="9">
        <f>Source!I32</f>
        <v>0.08</v>
      </c>
      <c r="F57" s="24"/>
      <c r="G57" s="23"/>
      <c r="H57" s="9"/>
      <c r="I57" s="9"/>
      <c r="J57" s="24"/>
      <c r="K57" s="24"/>
      <c r="Q57">
        <f>ROUND((Source!BZ32/100)*ROUND((Source!AF32*Source!AV32)*Source!I32, 2), 2)</f>
        <v>1050.24</v>
      </c>
      <c r="R57">
        <f>Source!X32</f>
        <v>1050.24</v>
      </c>
      <c r="S57">
        <f>ROUND((Source!CA32/100)*ROUND((Source!AF32*Source!AV32)*Source!I32, 2), 2)</f>
        <v>150.03</v>
      </c>
      <c r="T57">
        <f>Source!Y32</f>
        <v>150.03</v>
      </c>
      <c r="U57">
        <f>ROUND((175/100)*ROUND((Source!AE32*Source!AV32)*Source!I32, 2), 2)</f>
        <v>0</v>
      </c>
      <c r="V57">
        <f>ROUND((125/100)*ROUND(Source!CS32*Source!I32, 2), 2)</f>
        <v>0</v>
      </c>
    </row>
    <row r="58" spans="1:22" x14ac:dyDescent="0.2">
      <c r="C58" s="25" t="str">
        <f>"Объем: "&amp;Source!I32&amp;"=8/"&amp;"100"</f>
        <v>Объем: 0,08=8/100</v>
      </c>
    </row>
    <row r="59" spans="1:22" ht="14.25" x14ac:dyDescent="0.2">
      <c r="A59" s="21"/>
      <c r="B59" s="21"/>
      <c r="C59" s="21" t="s">
        <v>141</v>
      </c>
      <c r="D59" s="22"/>
      <c r="E59" s="9"/>
      <c r="F59" s="24">
        <f>Source!AO32</f>
        <v>18754.28</v>
      </c>
      <c r="G59" s="23" t="str">
        <f>Source!DG32</f>
        <v/>
      </c>
      <c r="H59" s="9">
        <f>Source!AV32</f>
        <v>1</v>
      </c>
      <c r="I59" s="9">
        <f>IF(Source!BA32&lt;&gt; 0, Source!BA32, 1)</f>
        <v>1</v>
      </c>
      <c r="J59" s="24">
        <f>Source!S32</f>
        <v>1500.34</v>
      </c>
      <c r="K59" s="24"/>
    </row>
    <row r="60" spans="1:22" ht="14.25" x14ac:dyDescent="0.2">
      <c r="A60" s="21"/>
      <c r="B60" s="21"/>
      <c r="C60" s="21" t="s">
        <v>147</v>
      </c>
      <c r="D60" s="22"/>
      <c r="E60" s="9"/>
      <c r="F60" s="24">
        <f>Source!AL32</f>
        <v>5192.54</v>
      </c>
      <c r="G60" s="23" t="str">
        <f>Source!DD32</f>
        <v/>
      </c>
      <c r="H60" s="9">
        <f>Source!AW32</f>
        <v>1</v>
      </c>
      <c r="I60" s="9">
        <f>IF(Source!BC32&lt;&gt; 0, Source!BC32, 1)</f>
        <v>1</v>
      </c>
      <c r="J60" s="24">
        <f>Source!P32</f>
        <v>415.4</v>
      </c>
      <c r="K60" s="24"/>
    </row>
    <row r="61" spans="1:22" ht="14.25" x14ac:dyDescent="0.2">
      <c r="A61" s="21"/>
      <c r="B61" s="21"/>
      <c r="C61" s="21" t="s">
        <v>142</v>
      </c>
      <c r="D61" s="22" t="s">
        <v>143</v>
      </c>
      <c r="E61" s="9">
        <f>Source!AT32</f>
        <v>70</v>
      </c>
      <c r="F61" s="24"/>
      <c r="G61" s="23"/>
      <c r="H61" s="9"/>
      <c r="I61" s="9"/>
      <c r="J61" s="24">
        <f>SUM(R57:R60)</f>
        <v>1050.24</v>
      </c>
      <c r="K61" s="24"/>
    </row>
    <row r="62" spans="1:22" ht="14.25" x14ac:dyDescent="0.2">
      <c r="A62" s="21"/>
      <c r="B62" s="21"/>
      <c r="C62" s="21" t="s">
        <v>162</v>
      </c>
      <c r="D62" s="22" t="s">
        <v>143</v>
      </c>
      <c r="E62" s="9">
        <f>Source!AU32</f>
        <v>10</v>
      </c>
      <c r="F62" s="24"/>
      <c r="G62" s="23"/>
      <c r="H62" s="9"/>
      <c r="I62" s="9"/>
      <c r="J62" s="24">
        <f>SUM(T57:T61)</f>
        <v>150.03</v>
      </c>
      <c r="K62" s="24"/>
    </row>
    <row r="63" spans="1:22" ht="14.25" x14ac:dyDescent="0.2">
      <c r="A63" s="21"/>
      <c r="B63" s="21"/>
      <c r="C63" s="21" t="s">
        <v>145</v>
      </c>
      <c r="D63" s="22" t="s">
        <v>146</v>
      </c>
      <c r="E63" s="9">
        <f>Source!AQ32</f>
        <v>27.3</v>
      </c>
      <c r="F63" s="24"/>
      <c r="G63" s="23" t="str">
        <f>Source!DI32</f>
        <v/>
      </c>
      <c r="H63" s="9">
        <f>Source!AV32</f>
        <v>1</v>
      </c>
      <c r="I63" s="9"/>
      <c r="J63" s="24"/>
      <c r="K63" s="24">
        <f>Source!U32</f>
        <v>2.1840000000000002</v>
      </c>
    </row>
    <row r="64" spans="1:22" ht="15" x14ac:dyDescent="0.25">
      <c r="A64" s="27"/>
      <c r="B64" s="27"/>
      <c r="C64" s="27"/>
      <c r="D64" s="27"/>
      <c r="E64" s="27"/>
      <c r="F64" s="27"/>
      <c r="G64" s="27"/>
      <c r="H64" s="27"/>
      <c r="I64" s="59">
        <f>J59+J60+J61+J62</f>
        <v>3116.0099999999998</v>
      </c>
      <c r="J64" s="59"/>
      <c r="K64" s="28">
        <f>IF(Source!I32&lt;&gt;0, ROUND(I64/Source!I32, 2), 0)</f>
        <v>38950.129999999997</v>
      </c>
      <c r="P64" s="26">
        <f>I64</f>
        <v>3116.0099999999998</v>
      </c>
    </row>
    <row r="66" spans="1:32" ht="30" x14ac:dyDescent="0.25">
      <c r="A66" s="60" t="str">
        <f>CONCATENATE("Итого по разделу: ",IF(Source!G34&lt;&gt;"Новый раздел", Source!G34, ""))</f>
        <v>Итого по разделу: Ремонт входной группы трудовой инспекции по адресу Домодедовская ул., д. 24, корп. 3</v>
      </c>
      <c r="B66" s="60"/>
      <c r="C66" s="60"/>
      <c r="D66" s="60"/>
      <c r="E66" s="60"/>
      <c r="F66" s="60"/>
      <c r="G66" s="60"/>
      <c r="H66" s="60"/>
      <c r="I66" s="61">
        <f>SUM(P23:P65)</f>
        <v>268888.50999999995</v>
      </c>
      <c r="J66" s="62"/>
      <c r="K66" s="30"/>
      <c r="AF66" s="31" t="str">
        <f>CONCATENATE("Итого по разделу: ",IF(Source!G34&lt;&gt;"Новый раздел", Source!G34, ""))</f>
        <v>Итого по разделу: Ремонт входной группы трудовой инспекции по адресу Домодедовская ул., д. 24, корп. 3</v>
      </c>
    </row>
    <row r="68" spans="1:32" ht="14.25" x14ac:dyDescent="0.2">
      <c r="C68" s="54" t="str">
        <f>Source!H63</f>
        <v>НДС 22%</v>
      </c>
      <c r="D68" s="54"/>
      <c r="E68" s="54"/>
      <c r="F68" s="54"/>
      <c r="G68" s="54"/>
      <c r="H68" s="54"/>
      <c r="I68" s="55">
        <f>IF(Source!F63=0, "", Source!F63)</f>
        <v>59155.47</v>
      </c>
      <c r="J68" s="55"/>
    </row>
    <row r="69" spans="1:32" ht="14.25" x14ac:dyDescent="0.2">
      <c r="C69" s="54" t="str">
        <f>Source!H64</f>
        <v>Итого с НДС</v>
      </c>
      <c r="D69" s="54"/>
      <c r="E69" s="54"/>
      <c r="F69" s="54"/>
      <c r="G69" s="54"/>
      <c r="H69" s="54"/>
      <c r="I69" s="55">
        <f>IF(Source!F64=0, "", Source!F64)</f>
        <v>322666.21000000002</v>
      </c>
      <c r="J69" s="55"/>
    </row>
    <row r="71" spans="1:32" ht="16.5" x14ac:dyDescent="0.25">
      <c r="A71" s="56" t="str">
        <f>CONCATENATE("Раздел: ",IF(Source!G66&lt;&gt;"Новый раздел", Source!G66, ""))</f>
        <v>Раздел: Ремонт кабинета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</row>
    <row r="72" spans="1:32" ht="85.5" x14ac:dyDescent="0.2">
      <c r="A72" s="21">
        <v>6</v>
      </c>
      <c r="B72" s="21" t="str">
        <f>Source!F70</f>
        <v>1.13-5302-5-19/1</v>
      </c>
      <c r="C72" s="21" t="str">
        <f>Source!G70</f>
        <v>Высококачественная поливинилацетатная окраска с расчисткой преждеокрашенных оштукатуренных поверхностей стен, пилястр, откосов, колонн с расчисткой до 30%</v>
      </c>
      <c r="D72" s="22" t="str">
        <f>Source!H70</f>
        <v>10 м2</v>
      </c>
      <c r="E72" s="9">
        <f>Source!I70</f>
        <v>4.3499999999999996</v>
      </c>
      <c r="F72" s="24"/>
      <c r="G72" s="23"/>
      <c r="H72" s="9"/>
      <c r="I72" s="9"/>
      <c r="J72" s="24"/>
      <c r="K72" s="24"/>
      <c r="Q72">
        <f>ROUND((Source!BZ70/100)*ROUND((Source!AF70*Source!AV70)*Source!I70, 2), 2)</f>
        <v>20741.900000000001</v>
      </c>
      <c r="R72">
        <f>Source!X70</f>
        <v>20741.900000000001</v>
      </c>
      <c r="S72">
        <f>ROUND((Source!CA70/100)*ROUND((Source!AF70*Source!AV70)*Source!I70, 2), 2)</f>
        <v>2963.13</v>
      </c>
      <c r="T72">
        <f>Source!Y70</f>
        <v>2963.13</v>
      </c>
      <c r="U72">
        <f>ROUND((175/100)*ROUND((Source!AE70*Source!AV70)*Source!I70, 2), 2)</f>
        <v>0</v>
      </c>
      <c r="V72">
        <f>ROUND((125/100)*ROUND(Source!CS70*Source!I70, 2), 2)</f>
        <v>0</v>
      </c>
    </row>
    <row r="73" spans="1:32" x14ac:dyDescent="0.2">
      <c r="C73" s="25" t="str">
        <f>"Объем: "&amp;Source!I70&amp;"=43,5/"&amp;"10"</f>
        <v>Объем: 4,35=43,5/10</v>
      </c>
    </row>
    <row r="74" spans="1:32" ht="14.25" x14ac:dyDescent="0.2">
      <c r="A74" s="21"/>
      <c r="B74" s="21"/>
      <c r="C74" s="21" t="s">
        <v>141</v>
      </c>
      <c r="D74" s="22"/>
      <c r="E74" s="9"/>
      <c r="F74" s="24">
        <f>Source!AO70</f>
        <v>6811.79</v>
      </c>
      <c r="G74" s="23" t="str">
        <f>Source!DG70</f>
        <v/>
      </c>
      <c r="H74" s="9">
        <f>Source!AV70</f>
        <v>1</v>
      </c>
      <c r="I74" s="9">
        <f>IF(Source!BA70&lt;&gt; 0, Source!BA70, 1)</f>
        <v>1</v>
      </c>
      <c r="J74" s="24">
        <f>Source!S70</f>
        <v>29631.29</v>
      </c>
      <c r="K74" s="24"/>
    </row>
    <row r="75" spans="1:32" ht="14.25" x14ac:dyDescent="0.2">
      <c r="A75" s="21"/>
      <c r="B75" s="21"/>
      <c r="C75" s="21" t="s">
        <v>147</v>
      </c>
      <c r="D75" s="22"/>
      <c r="E75" s="9"/>
      <c r="F75" s="24">
        <f>Source!AL70</f>
        <v>645.72</v>
      </c>
      <c r="G75" s="23" t="str">
        <f>Source!DD70</f>
        <v/>
      </c>
      <c r="H75" s="9">
        <f>Source!AW70</f>
        <v>1</v>
      </c>
      <c r="I75" s="9">
        <f>IF(Source!BC70&lt;&gt; 0, Source!BC70, 1)</f>
        <v>1</v>
      </c>
      <c r="J75" s="24">
        <f>Source!P70</f>
        <v>2808.88</v>
      </c>
      <c r="K75" s="24"/>
    </row>
    <row r="76" spans="1:32" ht="14.25" x14ac:dyDescent="0.2">
      <c r="A76" s="21"/>
      <c r="B76" s="21"/>
      <c r="C76" s="21" t="s">
        <v>142</v>
      </c>
      <c r="D76" s="22" t="s">
        <v>143</v>
      </c>
      <c r="E76" s="9">
        <f>Source!AT70</f>
        <v>70</v>
      </c>
      <c r="F76" s="24"/>
      <c r="G76" s="23"/>
      <c r="H76" s="9"/>
      <c r="I76" s="9"/>
      <c r="J76" s="24">
        <f>SUM(R72:R75)</f>
        <v>20741.900000000001</v>
      </c>
      <c r="K76" s="24"/>
    </row>
    <row r="77" spans="1:32" ht="14.25" x14ac:dyDescent="0.2">
      <c r="A77" s="21"/>
      <c r="B77" s="21"/>
      <c r="C77" s="21" t="s">
        <v>162</v>
      </c>
      <c r="D77" s="22" t="s">
        <v>143</v>
      </c>
      <c r="E77" s="9">
        <f>Source!AU70</f>
        <v>10</v>
      </c>
      <c r="F77" s="24"/>
      <c r="G77" s="23"/>
      <c r="H77" s="9"/>
      <c r="I77" s="9"/>
      <c r="J77" s="24">
        <f>SUM(T72:T76)</f>
        <v>2963.13</v>
      </c>
      <c r="K77" s="24"/>
    </row>
    <row r="78" spans="1:32" ht="14.25" x14ac:dyDescent="0.2">
      <c r="A78" s="21"/>
      <c r="B78" s="21"/>
      <c r="C78" s="21" t="s">
        <v>145</v>
      </c>
      <c r="D78" s="22" t="s">
        <v>146</v>
      </c>
      <c r="E78" s="9">
        <f>Source!AQ70</f>
        <v>8.9</v>
      </c>
      <c r="F78" s="24"/>
      <c r="G78" s="23" t="str">
        <f>Source!DI70</f>
        <v/>
      </c>
      <c r="H78" s="9">
        <f>Source!AV70</f>
        <v>1</v>
      </c>
      <c r="I78" s="9"/>
      <c r="J78" s="24"/>
      <c r="K78" s="24">
        <f>Source!U70</f>
        <v>38.714999999999996</v>
      </c>
    </row>
    <row r="79" spans="1:32" ht="15" x14ac:dyDescent="0.25">
      <c r="A79" s="27"/>
      <c r="B79" s="27"/>
      <c r="C79" s="27"/>
      <c r="D79" s="27"/>
      <c r="E79" s="27"/>
      <c r="F79" s="27"/>
      <c r="G79" s="27"/>
      <c r="H79" s="27"/>
      <c r="I79" s="59">
        <f>J74+J75+J76+J77</f>
        <v>56145.200000000004</v>
      </c>
      <c r="J79" s="59"/>
      <c r="K79" s="28">
        <f>IF(Source!I70&lt;&gt;0, ROUND(I79/Source!I70, 2), 0)</f>
        <v>12906.94</v>
      </c>
      <c r="P79" s="26">
        <f>I79</f>
        <v>56145.200000000004</v>
      </c>
    </row>
    <row r="81" spans="1:11" ht="15" x14ac:dyDescent="0.25">
      <c r="A81" s="60" t="str">
        <f>CONCATENATE("Итого по разделу: ",IF(Source!G72&lt;&gt;"Новый раздел", Source!G72, ""))</f>
        <v>Итого по разделу: Ремонт кабинета</v>
      </c>
      <c r="B81" s="60"/>
      <c r="C81" s="60"/>
      <c r="D81" s="60"/>
      <c r="E81" s="60"/>
      <c r="F81" s="60"/>
      <c r="G81" s="60"/>
      <c r="H81" s="60"/>
      <c r="I81" s="61">
        <f>SUM(P71:P80)</f>
        <v>56145.200000000004</v>
      </c>
      <c r="J81" s="62"/>
      <c r="K81" s="30"/>
    </row>
    <row r="83" spans="1:11" ht="14.25" x14ac:dyDescent="0.2">
      <c r="C83" s="54" t="str">
        <f>Source!H101</f>
        <v>НДС 22%</v>
      </c>
      <c r="D83" s="54"/>
      <c r="E83" s="54"/>
      <c r="F83" s="54"/>
      <c r="G83" s="54"/>
      <c r="H83" s="54"/>
      <c r="I83" s="55">
        <f>IF(Source!F101=0, "", Source!F101)</f>
        <v>12351.94</v>
      </c>
      <c r="J83" s="55"/>
    </row>
    <row r="84" spans="1:11" ht="14.25" x14ac:dyDescent="0.2">
      <c r="C84" s="54" t="str">
        <f>Source!H102</f>
        <v>Итого с НДС</v>
      </c>
      <c r="D84" s="54"/>
      <c r="E84" s="54"/>
      <c r="F84" s="54"/>
      <c r="G84" s="54"/>
      <c r="H84" s="54"/>
      <c r="I84" s="55">
        <f>IF(Source!F102=0, "", Source!F102)</f>
        <v>68497.14</v>
      </c>
      <c r="J84" s="55"/>
    </row>
    <row r="87" spans="1:11" ht="15" x14ac:dyDescent="0.25">
      <c r="A87" s="60" t="str">
        <f>CONCATENATE("Итого по смете: ",IF(Source!G136&lt;&gt;"Новый объект", Source!G136, ""))</f>
        <v>Итого по смете: Ремонт входной группы трудовой инспекции</v>
      </c>
      <c r="B87" s="60"/>
      <c r="C87" s="60"/>
      <c r="D87" s="60"/>
      <c r="E87" s="60"/>
      <c r="F87" s="60"/>
      <c r="G87" s="60"/>
      <c r="H87" s="60"/>
      <c r="I87" s="61">
        <f>SUM(P1:P86)</f>
        <v>325033.70999999996</v>
      </c>
      <c r="J87" s="62"/>
      <c r="K87" s="30"/>
    </row>
    <row r="88" spans="1:11" ht="14.25" x14ac:dyDescent="0.2">
      <c r="C88" s="54" t="str">
        <f>Source!H165</f>
        <v>НДС 22%</v>
      </c>
      <c r="D88" s="54"/>
      <c r="E88" s="54"/>
      <c r="F88" s="54"/>
      <c r="G88" s="54"/>
      <c r="H88" s="54"/>
      <c r="I88" s="55">
        <f>IF(Source!F165=0, "", Source!F165)</f>
        <v>71507.42</v>
      </c>
      <c r="J88" s="55"/>
    </row>
    <row r="89" spans="1:11" ht="14.25" x14ac:dyDescent="0.2">
      <c r="C89" s="54" t="str">
        <f>Source!H166</f>
        <v>Итого с НДС</v>
      </c>
      <c r="D89" s="54"/>
      <c r="E89" s="54"/>
      <c r="F89" s="54"/>
      <c r="G89" s="54"/>
      <c r="H89" s="54"/>
      <c r="I89" s="55">
        <f>IF(Source!F166=0, "", Source!F166)</f>
        <v>390040.45</v>
      </c>
      <c r="J89" s="55"/>
    </row>
    <row r="92" spans="1:11" ht="14.25" x14ac:dyDescent="0.2">
      <c r="A92" s="63" t="s">
        <v>164</v>
      </c>
      <c r="B92" s="63"/>
      <c r="C92" s="32" t="str">
        <f>IF(Source!AM12&lt;&gt;"", Source!AM12," ")</f>
        <v xml:space="preserve"> </v>
      </c>
      <c r="D92" s="32"/>
      <c r="E92" s="32"/>
      <c r="F92" s="32"/>
      <c r="G92" s="32"/>
      <c r="H92" s="10" t="str">
        <f>IF(Source!AL12&lt;&gt;"", Source!AL12," ")</f>
        <v xml:space="preserve"> </v>
      </c>
      <c r="I92" s="10"/>
      <c r="J92" s="10"/>
      <c r="K92" s="10"/>
    </row>
    <row r="93" spans="1:11" ht="14.25" x14ac:dyDescent="0.2">
      <c r="A93" s="10"/>
      <c r="B93" s="10"/>
      <c r="C93" s="51" t="s">
        <v>152</v>
      </c>
      <c r="D93" s="51"/>
      <c r="E93" s="51"/>
      <c r="F93" s="51"/>
      <c r="G93" s="51"/>
      <c r="H93" s="10"/>
      <c r="I93" s="10"/>
      <c r="J93" s="10"/>
      <c r="K93" s="10"/>
    </row>
    <row r="94" spans="1:11" ht="14.25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ht="14.25" x14ac:dyDescent="0.2">
      <c r="A95" s="63" t="s">
        <v>165</v>
      </c>
      <c r="B95" s="63"/>
      <c r="C95" s="32" t="str">
        <f>IF(Source!AI12&lt;&gt;"", Source!AI12," ")</f>
        <v xml:space="preserve"> </v>
      </c>
      <c r="D95" s="32"/>
      <c r="E95" s="32"/>
      <c r="F95" s="32"/>
      <c r="G95" s="32"/>
      <c r="H95" s="10" t="str">
        <f>IF(Source!AH12&lt;&gt;"", Source!AH12," ")</f>
        <v xml:space="preserve"> </v>
      </c>
      <c r="I95" s="10"/>
      <c r="J95" s="10"/>
      <c r="K95" s="10"/>
    </row>
    <row r="96" spans="1:11" ht="14.25" x14ac:dyDescent="0.2">
      <c r="A96" s="10"/>
      <c r="B96" s="10"/>
      <c r="C96" s="51" t="s">
        <v>152</v>
      </c>
      <c r="D96" s="51"/>
      <c r="E96" s="51"/>
      <c r="F96" s="51"/>
      <c r="G96" s="51"/>
      <c r="H96" s="10"/>
      <c r="I96" s="10"/>
      <c r="J96" s="10"/>
      <c r="K96" s="10"/>
    </row>
  </sheetData>
  <mergeCells count="49">
    <mergeCell ref="A95:B95"/>
    <mergeCell ref="C96:G96"/>
    <mergeCell ref="C88:H88"/>
    <mergeCell ref="I88:J88"/>
    <mergeCell ref="C89:H89"/>
    <mergeCell ref="I89:J89"/>
    <mergeCell ref="A92:B92"/>
    <mergeCell ref="C93:G93"/>
    <mergeCell ref="C83:H83"/>
    <mergeCell ref="I83:J83"/>
    <mergeCell ref="C84:H84"/>
    <mergeCell ref="I84:J84"/>
    <mergeCell ref="I87:J87"/>
    <mergeCell ref="A87:H87"/>
    <mergeCell ref="C69:H69"/>
    <mergeCell ref="I69:J69"/>
    <mergeCell ref="A71:K71"/>
    <mergeCell ref="I79:J79"/>
    <mergeCell ref="I81:J81"/>
    <mergeCell ref="A81:H81"/>
    <mergeCell ref="I56:J56"/>
    <mergeCell ref="I64:J64"/>
    <mergeCell ref="I66:J66"/>
    <mergeCell ref="A66:H66"/>
    <mergeCell ref="C68:H68"/>
    <mergeCell ref="I68:J68"/>
    <mergeCell ref="I46:J46"/>
    <mergeCell ref="C13:K13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A21:K21"/>
    <mergeCell ref="A23:K23"/>
    <mergeCell ref="I30:J30"/>
    <mergeCell ref="I38:J38"/>
    <mergeCell ref="A12:B12"/>
    <mergeCell ref="C12:K12"/>
    <mergeCell ref="A3:B3"/>
    <mergeCell ref="A5:B5"/>
    <mergeCell ref="A7:K7"/>
    <mergeCell ref="A10:B10"/>
    <mergeCell ref="C10:K10"/>
  </mergeCells>
  <pageMargins left="0.4" right="0.2" top="0.2" bottom="0.4" header="0.2" footer="0.2"/>
  <pageSetup paperSize="9" scale="60" fitToHeight="0" orientation="portrait" verticalDpi="0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workbookViewId="0"/>
  </sheetViews>
  <sheetFormatPr defaultRowHeight="12.75" x14ac:dyDescent="0.2"/>
  <sheetData>
    <row r="1" spans="1:28" x14ac:dyDescent="0.2">
      <c r="A1" t="s">
        <v>194</v>
      </c>
      <c r="B1" t="s">
        <v>196</v>
      </c>
      <c r="C1" t="s">
        <v>197</v>
      </c>
      <c r="D1" t="s">
        <v>198</v>
      </c>
      <c r="E1" t="s">
        <v>199</v>
      </c>
      <c r="F1" t="s">
        <v>200</v>
      </c>
      <c r="G1" t="s">
        <v>201</v>
      </c>
      <c r="H1" t="s">
        <v>202</v>
      </c>
      <c r="I1" t="s">
        <v>203</v>
      </c>
      <c r="J1" t="s">
        <v>204</v>
      </c>
      <c r="K1" t="s">
        <v>205</v>
      </c>
      <c r="L1" t="s">
        <v>206</v>
      </c>
      <c r="M1" t="s">
        <v>207</v>
      </c>
      <c r="N1" t="s">
        <v>208</v>
      </c>
      <c r="O1" t="s">
        <v>195</v>
      </c>
    </row>
    <row r="2" spans="1:28" x14ac:dyDescent="0.2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0</v>
      </c>
      <c r="I2">
        <v>1</v>
      </c>
      <c r="J2">
        <v>0</v>
      </c>
      <c r="K2">
        <v>1</v>
      </c>
      <c r="L2">
        <v>61825561</v>
      </c>
      <c r="M2">
        <v>0</v>
      </c>
      <c r="N2">
        <v>0</v>
      </c>
      <c r="O2">
        <v>0</v>
      </c>
    </row>
    <row r="4" spans="1:28" x14ac:dyDescent="0.2">
      <c r="A4" t="s">
        <v>166</v>
      </c>
      <c r="B4" t="s">
        <v>167</v>
      </c>
      <c r="C4" t="s">
        <v>168</v>
      </c>
      <c r="D4" t="s">
        <v>169</v>
      </c>
      <c r="E4" t="s">
        <v>170</v>
      </c>
      <c r="F4" t="s">
        <v>171</v>
      </c>
      <c r="G4" t="s">
        <v>172</v>
      </c>
      <c r="H4" t="s">
        <v>173</v>
      </c>
      <c r="I4" t="s">
        <v>174</v>
      </c>
      <c r="J4" t="s">
        <v>175</v>
      </c>
      <c r="K4" t="s">
        <v>176</v>
      </c>
      <c r="L4" t="s">
        <v>177</v>
      </c>
      <c r="M4" t="s">
        <v>178</v>
      </c>
      <c r="N4" t="s">
        <v>179</v>
      </c>
      <c r="O4" t="s">
        <v>180</v>
      </c>
      <c r="P4" t="s">
        <v>181</v>
      </c>
      <c r="Q4" t="s">
        <v>182</v>
      </c>
      <c r="R4" t="s">
        <v>183</v>
      </c>
      <c r="S4" t="s">
        <v>184</v>
      </c>
      <c r="T4" t="s">
        <v>185</v>
      </c>
      <c r="U4" t="s">
        <v>189</v>
      </c>
      <c r="V4" t="s">
        <v>190</v>
      </c>
      <c r="W4" t="s">
        <v>191</v>
      </c>
      <c r="X4" t="s">
        <v>192</v>
      </c>
      <c r="Y4" t="s">
        <v>193</v>
      </c>
      <c r="Z4" t="s">
        <v>186</v>
      </c>
      <c r="AA4" t="s">
        <v>187</v>
      </c>
      <c r="AB4" t="s">
        <v>188</v>
      </c>
    </row>
    <row r="6" spans="1:28" x14ac:dyDescent="0.2">
      <c r="A6">
        <f>Source!A20</f>
        <v>3</v>
      </c>
      <c r="B6">
        <v>20</v>
      </c>
      <c r="G6" t="str">
        <f>Source!G20</f>
        <v>Новая локальная смета</v>
      </c>
    </row>
    <row r="7" spans="1:28" x14ac:dyDescent="0.2">
      <c r="A7">
        <f>Source!A24</f>
        <v>4</v>
      </c>
      <c r="B7">
        <v>24</v>
      </c>
      <c r="G7" t="str">
        <f>Source!G24</f>
        <v>Ремонт входной группы трудовой инспекции по адресу Домодедовская ул., д. 24, корп. 3</v>
      </c>
    </row>
    <row r="8" spans="1:28" x14ac:dyDescent="0.2">
      <c r="A8">
        <v>20</v>
      </c>
      <c r="B8">
        <v>3</v>
      </c>
      <c r="C8">
        <v>3</v>
      </c>
      <c r="D8">
        <v>0</v>
      </c>
      <c r="E8">
        <f>SmtRes!AV3</f>
        <v>0</v>
      </c>
      <c r="F8" t="str">
        <f>SmtRes!I3</f>
        <v>21.8-1-32</v>
      </c>
      <c r="G8" t="str">
        <f>SmtRes!K3</f>
        <v>Ручка-скоба, тип РС, длина 80 мм</v>
      </c>
      <c r="H8" t="str">
        <f>SmtRes!O3</f>
        <v>шт.</v>
      </c>
      <c r="I8">
        <f>SmtRes!Y3*Source!I32</f>
        <v>8</v>
      </c>
      <c r="J8">
        <f>SmtRes!AO3</f>
        <v>1</v>
      </c>
      <c r="K8">
        <f>SmtRes!AE3</f>
        <v>50.49</v>
      </c>
      <c r="L8">
        <f>SmtRes!DB3</f>
        <v>5049</v>
      </c>
      <c r="M8">
        <f>ROUND(ROUND(L8*Source!I32, 6)*1, 2)</f>
        <v>403.92</v>
      </c>
      <c r="N8">
        <f>SmtRes!AA3</f>
        <v>50.49</v>
      </c>
      <c r="O8">
        <f>ROUND(ROUND(L8*Source!I32, 6)*SmtRes!DA3, 2)</f>
        <v>403.92</v>
      </c>
      <c r="P8">
        <f>SmtRes!AG3</f>
        <v>0</v>
      </c>
      <c r="Q8">
        <f>SmtRes!DC3</f>
        <v>0</v>
      </c>
      <c r="R8">
        <f>ROUND(ROUND(Q8*Source!I32, 6)*1, 2)</f>
        <v>0</v>
      </c>
      <c r="S8">
        <f>SmtRes!AC3</f>
        <v>0</v>
      </c>
      <c r="T8">
        <f>ROUND(ROUND(Q8*Source!I32, 6)*SmtRes!AK3, 2)</f>
        <v>0</v>
      </c>
      <c r="U8">
        <v>3</v>
      </c>
      <c r="Z8">
        <f>SmtRes!X3</f>
        <v>1046480869</v>
      </c>
      <c r="AA8">
        <v>-1258495903</v>
      </c>
      <c r="AB8">
        <v>-1258495903</v>
      </c>
    </row>
    <row r="9" spans="1:28" x14ac:dyDescent="0.2">
      <c r="A9">
        <v>20</v>
      </c>
      <c r="B9">
        <v>2</v>
      </c>
      <c r="C9">
        <v>3</v>
      </c>
      <c r="D9">
        <v>0</v>
      </c>
      <c r="E9">
        <f>SmtRes!AV2</f>
        <v>0</v>
      </c>
      <c r="F9" t="str">
        <f>SmtRes!I2</f>
        <v>21.1-11-122</v>
      </c>
      <c r="G9" t="str">
        <f>SmtRes!K2</f>
        <v>Шурупы с потайной головкой, черные, размер 3,5х35 мм</v>
      </c>
      <c r="H9" t="str">
        <f>SmtRes!O2</f>
        <v>т</v>
      </c>
      <c r="I9">
        <f>SmtRes!Y2*Source!I32</f>
        <v>8.0000000000000007E-5</v>
      </c>
      <c r="J9">
        <f>SmtRes!AO2</f>
        <v>1</v>
      </c>
      <c r="K9">
        <f>SmtRes!AE2</f>
        <v>143542.96</v>
      </c>
      <c r="L9">
        <f>SmtRes!DB2</f>
        <v>143.54</v>
      </c>
      <c r="M9">
        <f>ROUND(ROUND(L9*Source!I32, 6)*1, 2)</f>
        <v>11.48</v>
      </c>
      <c r="N9">
        <f>SmtRes!AA2</f>
        <v>143542.96</v>
      </c>
      <c r="O9">
        <f>ROUND(ROUND(L9*Source!I32, 6)*SmtRes!DA2, 2)</f>
        <v>11.48</v>
      </c>
      <c r="P9">
        <f>SmtRes!AG2</f>
        <v>0</v>
      </c>
      <c r="Q9">
        <f>SmtRes!DC2</f>
        <v>0</v>
      </c>
      <c r="R9">
        <f>ROUND(ROUND(Q9*Source!I32, 6)*1, 2)</f>
        <v>0</v>
      </c>
      <c r="S9">
        <f>SmtRes!AC2</f>
        <v>0</v>
      </c>
      <c r="T9">
        <f>ROUND(ROUND(Q9*Source!I32, 6)*SmtRes!AK2, 2)</f>
        <v>0</v>
      </c>
      <c r="U9">
        <v>3</v>
      </c>
      <c r="Z9">
        <f>SmtRes!X2</f>
        <v>934143346</v>
      </c>
      <c r="AA9">
        <v>-418598795</v>
      </c>
      <c r="AB9">
        <v>-418598795</v>
      </c>
    </row>
    <row r="10" spans="1:28" x14ac:dyDescent="0.2">
      <c r="A10">
        <f>Source!A66</f>
        <v>4</v>
      </c>
      <c r="B10">
        <v>66</v>
      </c>
      <c r="G10" t="str">
        <f>Source!G66</f>
        <v>Ремонт кабинета</v>
      </c>
    </row>
    <row r="11" spans="1:28" x14ac:dyDescent="0.2">
      <c r="A11">
        <v>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4"/>
  <sheetViews>
    <sheetView workbookViewId="0"/>
  </sheetViews>
  <sheetFormatPr defaultRowHeight="12.75" x14ac:dyDescent="0.2"/>
  <cols>
    <col min="1" max="1" width="18.7109375" customWidth="1"/>
    <col min="2" max="2" width="40.7109375" customWidth="1"/>
    <col min="3" max="6" width="12.7109375" customWidth="1"/>
    <col min="15" max="15" width="109.7109375" hidden="1" customWidth="1"/>
    <col min="16" max="18" width="0" hidden="1" customWidth="1"/>
  </cols>
  <sheetData>
    <row r="2" spans="1:17" ht="16.5" x14ac:dyDescent="0.2">
      <c r="A2" s="68" t="s">
        <v>209</v>
      </c>
      <c r="B2" s="69"/>
      <c r="C2" s="69"/>
      <c r="D2" s="69"/>
      <c r="E2" s="69"/>
      <c r="F2" s="69"/>
    </row>
    <row r="3" spans="1:17" ht="16.5" x14ac:dyDescent="0.2">
      <c r="A3" s="68" t="str">
        <f>CONCATENATE("Объект: ",IF(Source!G136&lt;&gt;"Новый объект", Source!G136, ""))</f>
        <v>Объект: Ремонт входной группы трудовой инспекции</v>
      </c>
      <c r="B3" s="69"/>
      <c r="C3" s="69"/>
      <c r="D3" s="69"/>
      <c r="E3" s="69"/>
      <c r="F3" s="69"/>
      <c r="O3" s="33" t="s">
        <v>210</v>
      </c>
    </row>
    <row r="4" spans="1:17" x14ac:dyDescent="0.2">
      <c r="A4" s="57" t="s">
        <v>211</v>
      </c>
      <c r="B4" s="57" t="s">
        <v>212</v>
      </c>
      <c r="C4" s="57" t="s">
        <v>130</v>
      </c>
      <c r="D4" s="57" t="s">
        <v>213</v>
      </c>
      <c r="E4" s="71" t="s">
        <v>214</v>
      </c>
      <c r="F4" s="72"/>
    </row>
    <row r="5" spans="1:17" x14ac:dyDescent="0.2">
      <c r="A5" s="58"/>
      <c r="B5" s="58"/>
      <c r="C5" s="58"/>
      <c r="D5" s="58"/>
      <c r="E5" s="73"/>
      <c r="F5" s="74"/>
    </row>
    <row r="6" spans="1:17" ht="14.25" x14ac:dyDescent="0.2">
      <c r="A6" s="70"/>
      <c r="B6" s="70"/>
      <c r="C6" s="70"/>
      <c r="D6" s="70"/>
      <c r="E6" s="20" t="s">
        <v>215</v>
      </c>
      <c r="F6" s="20" t="s">
        <v>216</v>
      </c>
    </row>
    <row r="7" spans="1:17" ht="14.25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</row>
    <row r="8" spans="1:17" ht="16.5" x14ac:dyDescent="0.2">
      <c r="A8" s="68" t="str">
        <f>CONCATENATE("Локальная смета: ",IF(Source!G22&lt;&gt;"Новая локальная смета", Source!G22, ""))</f>
        <v xml:space="preserve">Локальная смета: </v>
      </c>
      <c r="B8" s="69"/>
      <c r="C8" s="69"/>
      <c r="D8" s="69"/>
      <c r="E8" s="69"/>
      <c r="F8" s="69"/>
    </row>
    <row r="9" spans="1:17" ht="33" x14ac:dyDescent="0.2">
      <c r="A9" s="68" t="str">
        <f>CONCATENATE("Раздел: ",IF(Source!G26&lt;&gt;"Новый раздел", Source!G26, ""))</f>
        <v>Раздел: Ремонт входной группы трудовой инспекции по адресу Домодедовская ул., д. 24, корп. 3</v>
      </c>
      <c r="B9" s="69"/>
      <c r="C9" s="69"/>
      <c r="D9" s="69"/>
      <c r="E9" s="69"/>
      <c r="F9" s="69"/>
      <c r="O9" s="33" t="s">
        <v>217</v>
      </c>
    </row>
    <row r="10" spans="1:17" ht="14.25" x14ac:dyDescent="0.2">
      <c r="A10" s="75" t="s">
        <v>218</v>
      </c>
      <c r="B10" s="76"/>
      <c r="C10" s="76"/>
      <c r="D10" s="76"/>
      <c r="E10" s="76"/>
      <c r="F10" s="76"/>
    </row>
    <row r="11" spans="1:17" ht="28.5" x14ac:dyDescent="0.2">
      <c r="A11" s="34" t="s">
        <v>106</v>
      </c>
      <c r="B11" s="35" t="s">
        <v>108</v>
      </c>
      <c r="C11" s="35" t="s">
        <v>109</v>
      </c>
      <c r="D11" s="36">
        <f>ROUND(SUMIF(RV_DATA!AA8:AA9, -418598795, RV_DATA!I8:I9), 6)</f>
        <v>8.0000000000000007E-5</v>
      </c>
      <c r="E11" s="37">
        <f>ROUND(RV_DATA!K9, 6)</f>
        <v>143542.96</v>
      </c>
      <c r="F11" s="37">
        <f>ROUND(SUMIF(RV_DATA!AA8:AA9, -418598795, RV_DATA!M8:M9), 6)</f>
        <v>11.48</v>
      </c>
      <c r="Q11">
        <v>3</v>
      </c>
    </row>
    <row r="12" spans="1:17" ht="14.25" x14ac:dyDescent="0.2">
      <c r="A12" s="34" t="s">
        <v>110</v>
      </c>
      <c r="B12" s="35" t="s">
        <v>112</v>
      </c>
      <c r="C12" s="35" t="s">
        <v>35</v>
      </c>
      <c r="D12" s="36">
        <f>ROUND(SUMIF(RV_DATA!AA8:AA9, -1258495903, RV_DATA!I8:I9), 6)</f>
        <v>8</v>
      </c>
      <c r="E12" s="37">
        <f>ROUND(RV_DATA!K8, 6)</f>
        <v>50.49</v>
      </c>
      <c r="F12" s="37">
        <f>ROUND(SUMIF(RV_DATA!AA8:AA9, -1258495903, RV_DATA!M8:M9), 6)</f>
        <v>403.92</v>
      </c>
      <c r="Q12">
        <v>3</v>
      </c>
    </row>
    <row r="13" spans="1:17" ht="15" x14ac:dyDescent="0.25">
      <c r="A13" s="77" t="s">
        <v>219</v>
      </c>
      <c r="B13" s="77"/>
      <c r="C13" s="77"/>
      <c r="D13" s="77"/>
      <c r="E13" s="78">
        <f>SUMIF(Q11:Q12, 3, F11:F12)</f>
        <v>415.40000000000003</v>
      </c>
      <c r="F13" s="78"/>
    </row>
    <row r="14" spans="1:17" ht="16.5" x14ac:dyDescent="0.2">
      <c r="A14" s="68" t="str">
        <f>CONCATENATE("Раздел: ",IF(Source!G68&lt;&gt;"Новый раздел", Source!G68, ""))</f>
        <v>Раздел: Ремонт кабинета</v>
      </c>
      <c r="B14" s="69"/>
      <c r="C14" s="69"/>
      <c r="D14" s="69"/>
      <c r="E14" s="69"/>
      <c r="F14" s="69"/>
    </row>
  </sheetData>
  <sortState ref="A11:R12">
    <sortCondition ref="A11"/>
  </sortState>
  <mergeCells count="13">
    <mergeCell ref="A14:F14"/>
    <mergeCell ref="A2:F2"/>
    <mergeCell ref="A3:F3"/>
    <mergeCell ref="A4:A6"/>
    <mergeCell ref="B4:B6"/>
    <mergeCell ref="C4:C6"/>
    <mergeCell ref="D4:D6"/>
    <mergeCell ref="E4:F5"/>
    <mergeCell ref="A8:F8"/>
    <mergeCell ref="A9:F9"/>
    <mergeCell ref="A10:F10"/>
    <mergeCell ref="A13:D13"/>
    <mergeCell ref="E13:F13"/>
  </mergeCells>
  <pageMargins left="0.6" right="0.4" top="0.65" bottom="0.4" header="0.4" footer="0.4"/>
  <pageSetup paperSize="9" scale="96" fitToHeight="0" orientation="portrait" verticalDpi="0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Normal="100" workbookViewId="0">
      <selection sqref="A1:D1"/>
    </sheetView>
  </sheetViews>
  <sheetFormatPr defaultRowHeight="12.75" x14ac:dyDescent="0.2"/>
  <cols>
    <col min="1" max="1" width="5.7109375" customWidth="1"/>
    <col min="2" max="2" width="22.7109375" customWidth="1"/>
    <col min="10" max="11" width="11.140625" customWidth="1"/>
  </cols>
  <sheetData>
    <row r="1" spans="1:12" ht="14.25" x14ac:dyDescent="0.2">
      <c r="A1" s="81" t="str">
        <f>Source!B1</f>
        <v>Smeta.RU  (495) 974-1589</v>
      </c>
      <c r="B1" s="81"/>
      <c r="C1" s="81"/>
      <c r="D1" s="81"/>
      <c r="E1" s="10"/>
      <c r="F1" s="10"/>
      <c r="G1" s="10"/>
      <c r="H1" s="82" t="s">
        <v>220</v>
      </c>
      <c r="I1" s="82"/>
      <c r="J1" s="82"/>
      <c r="K1" s="82"/>
      <c r="L1" s="82"/>
    </row>
    <row r="2" spans="1:12" ht="14.25" x14ac:dyDescent="0.2">
      <c r="A2" s="10"/>
      <c r="B2" s="10"/>
      <c r="C2" s="10"/>
      <c r="D2" s="10"/>
      <c r="E2" s="10"/>
      <c r="F2" s="10"/>
      <c r="G2" s="10"/>
      <c r="H2" s="82" t="s">
        <v>221</v>
      </c>
      <c r="I2" s="82"/>
      <c r="J2" s="82"/>
      <c r="K2" s="82"/>
      <c r="L2" s="82"/>
    </row>
    <row r="3" spans="1:12" ht="14.25" x14ac:dyDescent="0.2">
      <c r="A3" s="10"/>
      <c r="B3" s="10"/>
      <c r="C3" s="10"/>
      <c r="D3" s="10"/>
      <c r="E3" s="10"/>
      <c r="F3" s="10"/>
      <c r="G3" s="10"/>
      <c r="H3" s="82" t="s">
        <v>222</v>
      </c>
      <c r="I3" s="82"/>
      <c r="J3" s="82"/>
      <c r="K3" s="82"/>
      <c r="L3" s="82"/>
    </row>
    <row r="4" spans="1:12" ht="14.2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79" t="s">
        <v>223</v>
      </c>
      <c r="L4" s="80"/>
    </row>
    <row r="5" spans="1:12" ht="14.25" x14ac:dyDescent="0.2">
      <c r="A5" s="10"/>
      <c r="B5" s="10"/>
      <c r="C5" s="10"/>
      <c r="D5" s="10"/>
      <c r="E5" s="10"/>
      <c r="F5" s="10"/>
      <c r="G5" s="10"/>
      <c r="H5" s="10"/>
      <c r="I5" s="49" t="s">
        <v>224</v>
      </c>
      <c r="J5" s="49"/>
      <c r="K5" s="79">
        <v>322001</v>
      </c>
      <c r="L5" s="80"/>
    </row>
    <row r="6" spans="1:12" ht="14.25" x14ac:dyDescent="0.2">
      <c r="A6" s="49" t="s">
        <v>225</v>
      </c>
      <c r="B6" s="49"/>
      <c r="C6" s="83"/>
      <c r="D6" s="83"/>
      <c r="E6" s="83"/>
      <c r="F6" s="83"/>
      <c r="G6" s="83"/>
      <c r="H6" s="83"/>
      <c r="I6" s="83"/>
      <c r="J6" s="9" t="s">
        <v>226</v>
      </c>
      <c r="K6" s="79"/>
      <c r="L6" s="80"/>
    </row>
    <row r="7" spans="1:12" ht="14.25" x14ac:dyDescent="0.2">
      <c r="A7" s="10"/>
      <c r="B7" s="10"/>
      <c r="C7" s="51" t="s">
        <v>227</v>
      </c>
      <c r="D7" s="51"/>
      <c r="E7" s="51"/>
      <c r="F7" s="51"/>
      <c r="G7" s="51"/>
      <c r="H7" s="51"/>
      <c r="I7" s="51"/>
      <c r="J7" s="10"/>
      <c r="K7" s="38"/>
      <c r="L7" s="39"/>
    </row>
    <row r="8" spans="1:12" ht="14.25" x14ac:dyDescent="0.2">
      <c r="A8" s="49" t="s">
        <v>228</v>
      </c>
      <c r="B8" s="49"/>
      <c r="C8" s="83"/>
      <c r="D8" s="83"/>
      <c r="E8" s="83"/>
      <c r="F8" s="83"/>
      <c r="G8" s="83"/>
      <c r="H8" s="83"/>
      <c r="I8" s="32"/>
      <c r="J8" s="9" t="s">
        <v>226</v>
      </c>
      <c r="K8" s="84"/>
      <c r="L8" s="85"/>
    </row>
    <row r="9" spans="1:12" ht="14.25" x14ac:dyDescent="0.2">
      <c r="A9" s="10"/>
      <c r="B9" s="10"/>
      <c r="C9" s="51" t="s">
        <v>227</v>
      </c>
      <c r="D9" s="51"/>
      <c r="E9" s="51"/>
      <c r="F9" s="51"/>
      <c r="G9" s="51"/>
      <c r="H9" s="51"/>
      <c r="I9" s="51"/>
      <c r="J9" s="10"/>
      <c r="K9" s="38"/>
      <c r="L9" s="39"/>
    </row>
    <row r="10" spans="1:12" ht="14.25" x14ac:dyDescent="0.2">
      <c r="A10" s="49" t="s">
        <v>229</v>
      </c>
      <c r="B10" s="49"/>
      <c r="C10" s="83"/>
      <c r="D10" s="83"/>
      <c r="E10" s="83"/>
      <c r="F10" s="83"/>
      <c r="G10" s="83"/>
      <c r="H10" s="83"/>
      <c r="I10" s="83"/>
      <c r="J10" s="9" t="s">
        <v>226</v>
      </c>
      <c r="K10" s="84"/>
      <c r="L10" s="85"/>
    </row>
    <row r="11" spans="1:12" ht="14.25" x14ac:dyDescent="0.2">
      <c r="A11" s="10"/>
      <c r="B11" s="10"/>
      <c r="C11" s="51" t="s">
        <v>227</v>
      </c>
      <c r="D11" s="51"/>
      <c r="E11" s="51"/>
      <c r="F11" s="51"/>
      <c r="G11" s="51"/>
      <c r="H11" s="51"/>
      <c r="I11" s="51"/>
      <c r="J11" s="10"/>
      <c r="K11" s="38"/>
      <c r="L11" s="39"/>
    </row>
    <row r="12" spans="1:12" ht="14.25" x14ac:dyDescent="0.2">
      <c r="A12" s="49" t="s">
        <v>230</v>
      </c>
      <c r="B12" s="49"/>
      <c r="C12" s="83"/>
      <c r="D12" s="83"/>
      <c r="E12" s="83"/>
      <c r="F12" s="83"/>
      <c r="G12" s="83"/>
      <c r="H12" s="83"/>
      <c r="I12" s="83"/>
      <c r="J12" s="9" t="s">
        <v>226</v>
      </c>
      <c r="K12" s="84"/>
      <c r="L12" s="85"/>
    </row>
    <row r="13" spans="1:12" ht="14.25" x14ac:dyDescent="0.2">
      <c r="A13" s="10"/>
      <c r="B13" s="10"/>
      <c r="C13" s="51" t="s">
        <v>231</v>
      </c>
      <c r="D13" s="51"/>
      <c r="E13" s="51"/>
      <c r="F13" s="51"/>
      <c r="G13" s="51"/>
      <c r="H13" s="49" t="s">
        <v>232</v>
      </c>
      <c r="I13" s="49"/>
      <c r="J13" s="86"/>
      <c r="K13" s="79"/>
      <c r="L13" s="80"/>
    </row>
    <row r="14" spans="1:12" ht="14.25" x14ac:dyDescent="0.2">
      <c r="A14" s="10"/>
      <c r="B14" s="10"/>
      <c r="C14" s="10"/>
      <c r="D14" s="10"/>
      <c r="E14" s="49" t="s">
        <v>233</v>
      </c>
      <c r="F14" s="49"/>
      <c r="G14" s="49"/>
      <c r="H14" s="49"/>
      <c r="I14" s="87" t="s">
        <v>234</v>
      </c>
      <c r="J14" s="88"/>
      <c r="K14" s="79"/>
      <c r="L14" s="80"/>
    </row>
    <row r="15" spans="1:12" ht="14.25" x14ac:dyDescent="0.2">
      <c r="A15" s="10"/>
      <c r="B15" s="10"/>
      <c r="C15" s="10"/>
      <c r="D15" s="10"/>
      <c r="E15" s="10"/>
      <c r="F15" s="10"/>
      <c r="G15" s="10"/>
      <c r="H15" s="10"/>
      <c r="I15" s="89" t="s">
        <v>235</v>
      </c>
      <c r="J15" s="90"/>
      <c r="K15" s="91"/>
      <c r="L15" s="92"/>
    </row>
    <row r="16" spans="1:12" ht="14.25" x14ac:dyDescent="0.2">
      <c r="A16" s="10"/>
      <c r="B16" s="10"/>
      <c r="C16" s="10"/>
      <c r="D16" s="10"/>
      <c r="E16" s="10"/>
      <c r="F16" s="10"/>
      <c r="G16" s="10"/>
      <c r="H16" s="10"/>
      <c r="I16" s="88" t="s">
        <v>236</v>
      </c>
      <c r="J16" s="88"/>
      <c r="K16" s="93"/>
      <c r="L16" s="94"/>
    </row>
    <row r="17" spans="1:12" ht="14.25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4.25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4.25" x14ac:dyDescent="0.2">
      <c r="A19" s="10"/>
      <c r="B19" s="10"/>
      <c r="C19" s="71" t="s">
        <v>237</v>
      </c>
      <c r="D19" s="95"/>
      <c r="E19" s="71" t="s">
        <v>238</v>
      </c>
      <c r="F19" s="72"/>
      <c r="G19" s="10"/>
      <c r="H19" s="10"/>
      <c r="I19" s="71" t="s">
        <v>239</v>
      </c>
      <c r="J19" s="95"/>
      <c r="K19" s="95"/>
      <c r="L19" s="72"/>
    </row>
    <row r="20" spans="1:12" ht="14.25" x14ac:dyDescent="0.2">
      <c r="A20" s="10"/>
      <c r="B20" s="10"/>
      <c r="C20" s="96"/>
      <c r="D20" s="97"/>
      <c r="E20" s="96"/>
      <c r="F20" s="98"/>
      <c r="G20" s="10"/>
      <c r="H20" s="10"/>
      <c r="I20" s="99" t="s">
        <v>240</v>
      </c>
      <c r="J20" s="100"/>
      <c r="K20" s="99" t="s">
        <v>241</v>
      </c>
      <c r="L20" s="101"/>
    </row>
    <row r="21" spans="1:12" ht="14.25" x14ac:dyDescent="0.2">
      <c r="A21" s="10"/>
      <c r="B21" s="10"/>
      <c r="C21" s="102"/>
      <c r="D21" s="103"/>
      <c r="E21" s="104"/>
      <c r="F21" s="105"/>
      <c r="G21" s="40"/>
      <c r="H21" s="40"/>
      <c r="I21" s="104"/>
      <c r="J21" s="106"/>
      <c r="K21" s="104"/>
      <c r="L21" s="105"/>
    </row>
    <row r="22" spans="1:12" ht="14.25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4.25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8" x14ac:dyDescent="0.25">
      <c r="A24" s="65" t="s">
        <v>242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</row>
    <row r="25" spans="1:12" ht="18" x14ac:dyDescent="0.25">
      <c r="A25" s="65" t="s">
        <v>243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</row>
    <row r="26" spans="1:12" ht="14.25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4.25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4.25" x14ac:dyDescent="0.2">
      <c r="A28" s="107" t="s">
        <v>244</v>
      </c>
      <c r="B28" s="107" t="s">
        <v>245</v>
      </c>
      <c r="C28" s="109"/>
      <c r="D28" s="109"/>
      <c r="E28" s="109"/>
      <c r="F28" s="107" t="s">
        <v>246</v>
      </c>
      <c r="G28" s="107" t="s">
        <v>247</v>
      </c>
      <c r="H28" s="109"/>
      <c r="I28" s="109"/>
      <c r="J28" s="109"/>
      <c r="K28" s="109"/>
      <c r="L28" s="111"/>
    </row>
    <row r="29" spans="1:12" x14ac:dyDescent="0.2">
      <c r="A29" s="108"/>
      <c r="B29" s="108"/>
      <c r="C29" s="110"/>
      <c r="D29" s="110"/>
      <c r="E29" s="110"/>
      <c r="F29" s="108"/>
      <c r="G29" s="107" t="s">
        <v>248</v>
      </c>
      <c r="H29" s="109"/>
      <c r="I29" s="107" t="s">
        <v>249</v>
      </c>
      <c r="J29" s="109"/>
      <c r="K29" s="107" t="s">
        <v>250</v>
      </c>
      <c r="L29" s="111"/>
    </row>
    <row r="30" spans="1:12" x14ac:dyDescent="0.2">
      <c r="A30" s="108"/>
      <c r="B30" s="108"/>
      <c r="C30" s="110"/>
      <c r="D30" s="110"/>
      <c r="E30" s="110"/>
      <c r="F30" s="108"/>
      <c r="G30" s="108"/>
      <c r="H30" s="110"/>
      <c r="I30" s="108"/>
      <c r="J30" s="110"/>
      <c r="K30" s="108"/>
      <c r="L30" s="112"/>
    </row>
    <row r="31" spans="1:12" x14ac:dyDescent="0.2">
      <c r="A31" s="108"/>
      <c r="B31" s="108"/>
      <c r="C31" s="110"/>
      <c r="D31" s="110"/>
      <c r="E31" s="110"/>
      <c r="F31" s="108"/>
      <c r="G31" s="108"/>
      <c r="H31" s="110"/>
      <c r="I31" s="108"/>
      <c r="J31" s="110"/>
      <c r="K31" s="108"/>
      <c r="L31" s="112"/>
    </row>
    <row r="32" spans="1:12" x14ac:dyDescent="0.2">
      <c r="A32" s="108"/>
      <c r="B32" s="108"/>
      <c r="C32" s="110"/>
      <c r="D32" s="110"/>
      <c r="E32" s="110"/>
      <c r="F32" s="108"/>
      <c r="G32" s="108"/>
      <c r="H32" s="110"/>
      <c r="I32" s="108"/>
      <c r="J32" s="110"/>
      <c r="K32" s="108"/>
      <c r="L32" s="112"/>
    </row>
    <row r="33" spans="1:12" ht="14.25" x14ac:dyDescent="0.2">
      <c r="A33" s="38">
        <v>1</v>
      </c>
      <c r="B33" s="79">
        <v>2</v>
      </c>
      <c r="C33" s="116"/>
      <c r="D33" s="116"/>
      <c r="E33" s="116"/>
      <c r="F33" s="38">
        <v>3</v>
      </c>
      <c r="G33" s="79">
        <v>4</v>
      </c>
      <c r="H33" s="116"/>
      <c r="I33" s="79">
        <v>5</v>
      </c>
      <c r="J33" s="116"/>
      <c r="K33" s="79">
        <v>6</v>
      </c>
      <c r="L33" s="80"/>
    </row>
    <row r="34" spans="1:12" ht="14.25" x14ac:dyDescent="0.2">
      <c r="A34" s="41"/>
      <c r="B34" s="117" t="s">
        <v>251</v>
      </c>
      <c r="C34" s="118"/>
      <c r="D34" s="118"/>
      <c r="E34" s="118"/>
      <c r="F34" s="42"/>
      <c r="G34" s="119"/>
      <c r="H34" s="120"/>
      <c r="I34" s="119"/>
      <c r="J34" s="120"/>
      <c r="K34" s="119"/>
      <c r="L34" s="121"/>
    </row>
    <row r="35" spans="1:12" ht="14.25" x14ac:dyDescent="0.2">
      <c r="A35" s="43"/>
      <c r="B35" s="122" t="s">
        <v>252</v>
      </c>
      <c r="C35" s="123"/>
      <c r="D35" s="123"/>
      <c r="E35" s="123"/>
      <c r="F35" s="123"/>
      <c r="G35" s="123"/>
      <c r="H35" s="123"/>
      <c r="I35" s="123"/>
      <c r="J35" s="123"/>
      <c r="K35" s="118"/>
      <c r="L35" s="124"/>
    </row>
    <row r="36" spans="1:12" ht="14.25" x14ac:dyDescent="0.2">
      <c r="A36" s="88" t="s">
        <v>253</v>
      </c>
      <c r="B36" s="88"/>
      <c r="C36" s="88"/>
      <c r="D36" s="88"/>
      <c r="E36" s="88"/>
      <c r="F36" s="88"/>
      <c r="G36" s="88"/>
      <c r="H36" s="88"/>
      <c r="I36" s="88"/>
      <c r="J36" s="125"/>
      <c r="K36" s="126"/>
      <c r="L36" s="125"/>
    </row>
    <row r="37" spans="1:12" ht="14.25" x14ac:dyDescent="0.2">
      <c r="A37" s="113" t="s">
        <v>254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27"/>
      <c r="L37" s="128"/>
    </row>
    <row r="38" spans="1:12" ht="14.25" x14ac:dyDescent="0.2">
      <c r="A38" s="113" t="s">
        <v>255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4"/>
      <c r="L38" s="115"/>
    </row>
    <row r="39" spans="1:12" ht="14.25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2" spans="1:12" ht="14.25" x14ac:dyDescent="0.2">
      <c r="A42" s="129" t="s">
        <v>228</v>
      </c>
      <c r="B42" s="129"/>
      <c r="C42" s="130"/>
      <c r="D42" s="130"/>
      <c r="E42" s="130"/>
      <c r="F42" s="10"/>
      <c r="G42" s="130"/>
      <c r="H42" s="130"/>
      <c r="I42" s="10"/>
      <c r="J42" s="130"/>
      <c r="K42" s="130"/>
      <c r="L42" s="130"/>
    </row>
    <row r="43" spans="1:12" ht="14.25" x14ac:dyDescent="0.2">
      <c r="A43" s="10"/>
      <c r="B43" s="10"/>
      <c r="C43" s="131" t="s">
        <v>256</v>
      </c>
      <c r="D43" s="131"/>
      <c r="E43" s="131"/>
      <c r="F43" s="10"/>
      <c r="G43" s="131" t="s">
        <v>257</v>
      </c>
      <c r="H43" s="131"/>
      <c r="I43" s="10"/>
      <c r="J43" s="131" t="s">
        <v>258</v>
      </c>
      <c r="K43" s="131"/>
      <c r="L43" s="131"/>
    </row>
    <row r="44" spans="1:12" ht="14.25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ht="14.25" x14ac:dyDescent="0.2">
      <c r="A45" s="9" t="s">
        <v>259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ht="14.25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ht="14.25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ht="14.25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ht="14.25" x14ac:dyDescent="0.2">
      <c r="A49" s="129" t="s">
        <v>229</v>
      </c>
      <c r="B49" s="129"/>
      <c r="C49" s="130"/>
      <c r="D49" s="130"/>
      <c r="E49" s="130"/>
      <c r="F49" s="10"/>
      <c r="G49" s="130"/>
      <c r="H49" s="130"/>
      <c r="I49" s="10"/>
      <c r="J49" s="130"/>
      <c r="K49" s="130"/>
      <c r="L49" s="130"/>
    </row>
    <row r="50" spans="1:12" ht="14.25" x14ac:dyDescent="0.2">
      <c r="A50" s="10"/>
      <c r="B50" s="10"/>
      <c r="C50" s="131" t="s">
        <v>256</v>
      </c>
      <c r="D50" s="131"/>
      <c r="E50" s="131"/>
      <c r="F50" s="10"/>
      <c r="G50" s="131" t="s">
        <v>257</v>
      </c>
      <c r="H50" s="131"/>
      <c r="I50" s="10"/>
      <c r="J50" s="131" t="s">
        <v>258</v>
      </c>
      <c r="K50" s="131"/>
      <c r="L50" s="131"/>
    </row>
    <row r="51" spans="1:12" ht="14.25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 ht="14.25" x14ac:dyDescent="0.2">
      <c r="A52" s="9" t="s">
        <v>259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</sheetData>
  <mergeCells count="79">
    <mergeCell ref="A49:B49"/>
    <mergeCell ref="C49:E49"/>
    <mergeCell ref="G49:H49"/>
    <mergeCell ref="J49:L49"/>
    <mergeCell ref="C50:E50"/>
    <mergeCell ref="G50:H50"/>
    <mergeCell ref="J50:L50"/>
    <mergeCell ref="A42:B42"/>
    <mergeCell ref="C42:E42"/>
    <mergeCell ref="G42:H42"/>
    <mergeCell ref="J42:L42"/>
    <mergeCell ref="C43:E43"/>
    <mergeCell ref="G43:H43"/>
    <mergeCell ref="J43:L43"/>
    <mergeCell ref="A38:J38"/>
    <mergeCell ref="K38:L38"/>
    <mergeCell ref="B33:E33"/>
    <mergeCell ref="G33:H33"/>
    <mergeCell ref="I33:J33"/>
    <mergeCell ref="K33:L33"/>
    <mergeCell ref="B34:E34"/>
    <mergeCell ref="G34:H34"/>
    <mergeCell ref="I34:J34"/>
    <mergeCell ref="K34:L34"/>
    <mergeCell ref="B35:L35"/>
    <mergeCell ref="A36:J36"/>
    <mergeCell ref="K36:L36"/>
    <mergeCell ref="A37:J37"/>
    <mergeCell ref="K37:L37"/>
    <mergeCell ref="A28:A32"/>
    <mergeCell ref="B28:E32"/>
    <mergeCell ref="F28:F32"/>
    <mergeCell ref="G28:L28"/>
    <mergeCell ref="G29:H32"/>
    <mergeCell ref="I29:J32"/>
    <mergeCell ref="K29:L32"/>
    <mergeCell ref="A25:L25"/>
    <mergeCell ref="I15:J15"/>
    <mergeCell ref="K15:L15"/>
    <mergeCell ref="I16:J16"/>
    <mergeCell ref="K16:L16"/>
    <mergeCell ref="C19:D20"/>
    <mergeCell ref="E19:F20"/>
    <mergeCell ref="I19:L19"/>
    <mergeCell ref="I20:J20"/>
    <mergeCell ref="K20:L20"/>
    <mergeCell ref="C21:D21"/>
    <mergeCell ref="E21:F21"/>
    <mergeCell ref="I21:J21"/>
    <mergeCell ref="K21:L21"/>
    <mergeCell ref="A24:L24"/>
    <mergeCell ref="C13:G13"/>
    <mergeCell ref="H13:J13"/>
    <mergeCell ref="K13:L13"/>
    <mergeCell ref="E14:H14"/>
    <mergeCell ref="I14:J14"/>
    <mergeCell ref="K14:L14"/>
    <mergeCell ref="A12:B12"/>
    <mergeCell ref="C12:I12"/>
    <mergeCell ref="K12:L12"/>
    <mergeCell ref="A6:B6"/>
    <mergeCell ref="C6:I6"/>
    <mergeCell ref="K6:L6"/>
    <mergeCell ref="C7:I7"/>
    <mergeCell ref="A8:B8"/>
    <mergeCell ref="C8:H8"/>
    <mergeCell ref="K8:L8"/>
    <mergeCell ref="C9:I9"/>
    <mergeCell ref="A10:B10"/>
    <mergeCell ref="C10:I10"/>
    <mergeCell ref="K10:L10"/>
    <mergeCell ref="C11:I11"/>
    <mergeCell ref="I5:J5"/>
    <mergeCell ref="K5:L5"/>
    <mergeCell ref="A1:D1"/>
    <mergeCell ref="H1:L1"/>
    <mergeCell ref="H2:L2"/>
    <mergeCell ref="H3:L3"/>
    <mergeCell ref="K4:L4"/>
  </mergeCells>
  <pageMargins left="0.4" right="0.2" top="0.2" bottom="0.4" header="0.2" footer="0.2"/>
  <pageSetup paperSize="9" scale="75" fitToHeight="0" orientation="portrait" verticalDpi="0" r:id="rId1"/>
  <headerFooter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75"/>
  <sheetViews>
    <sheetView workbookViewId="0">
      <selection activeCell="A171" sqref="A171:O171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59090</v>
      </c>
      <c r="M1">
        <v>10</v>
      </c>
      <c r="N1">
        <v>12</v>
      </c>
      <c r="O1">
        <v>1</v>
      </c>
      <c r="P1">
        <v>0</v>
      </c>
      <c r="Q1">
        <v>5</v>
      </c>
    </row>
    <row r="12" spans="1:133" x14ac:dyDescent="0.2">
      <c r="A12" s="1">
        <v>1</v>
      </c>
      <c r="B12" s="1">
        <v>171</v>
      </c>
      <c r="C12" s="1">
        <v>0</v>
      </c>
      <c r="D12" s="1">
        <f>ROW(A136)</f>
        <v>136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125</v>
      </c>
      <c r="S12" s="1"/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">
      <c r="A18" s="3">
        <v>52</v>
      </c>
      <c r="B18" s="3">
        <f t="shared" ref="B18:G18" si="0">B136</f>
        <v>171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>Новый объект</v>
      </c>
      <c r="G18" s="3" t="str">
        <f t="shared" si="0"/>
        <v>Ремонт входной группы трудовой инспекции</v>
      </c>
      <c r="H18" s="3"/>
      <c r="I18" s="3"/>
      <c r="J18" s="3"/>
      <c r="K18" s="3"/>
      <c r="L18" s="3"/>
      <c r="M18" s="3"/>
      <c r="N18" s="3"/>
      <c r="O18" s="3">
        <f t="shared" ref="O18:AT18" si="1">O136</f>
        <v>201814.54</v>
      </c>
      <c r="P18" s="3">
        <f t="shared" si="1"/>
        <v>47779.86</v>
      </c>
      <c r="Q18" s="3">
        <f t="shared" si="1"/>
        <v>10.8</v>
      </c>
      <c r="R18" s="3">
        <f t="shared" si="1"/>
        <v>0.05</v>
      </c>
      <c r="S18" s="3">
        <f t="shared" si="1"/>
        <v>154023.88</v>
      </c>
      <c r="T18" s="3">
        <f t="shared" si="1"/>
        <v>0</v>
      </c>
      <c r="U18" s="3">
        <f t="shared" si="1"/>
        <v>215.38950000000003</v>
      </c>
      <c r="V18" s="3">
        <f t="shared" si="1"/>
        <v>0</v>
      </c>
      <c r="W18" s="3">
        <f t="shared" si="1"/>
        <v>0</v>
      </c>
      <c r="X18" s="3">
        <f t="shared" si="1"/>
        <v>107816.72</v>
      </c>
      <c r="Y18" s="3">
        <f t="shared" si="1"/>
        <v>15402.39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0</v>
      </c>
      <c r="AQ18" s="3">
        <f t="shared" si="1"/>
        <v>0</v>
      </c>
      <c r="AR18" s="3">
        <f t="shared" si="1"/>
        <v>325033.71000000002</v>
      </c>
      <c r="AS18" s="3">
        <f t="shared" si="1"/>
        <v>0</v>
      </c>
      <c r="AT18" s="3">
        <f t="shared" si="1"/>
        <v>0</v>
      </c>
      <c r="AU18" s="3">
        <f t="shared" ref="AU18:BZ18" si="2">AU136</f>
        <v>325033.71000000002</v>
      </c>
      <c r="AV18" s="3">
        <f t="shared" si="2"/>
        <v>47779.86</v>
      </c>
      <c r="AW18" s="3">
        <f t="shared" si="2"/>
        <v>47779.86</v>
      </c>
      <c r="AX18" s="3">
        <f t="shared" si="2"/>
        <v>0</v>
      </c>
      <c r="AY18" s="3">
        <f t="shared" si="2"/>
        <v>47779.86</v>
      </c>
      <c r="AZ18" s="3">
        <f t="shared" si="2"/>
        <v>0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0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CA136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DG136</f>
        <v>0</v>
      </c>
      <c r="DH18" s="4">
        <f t="shared" si="4"/>
        <v>0</v>
      </c>
      <c r="DI18" s="4">
        <f t="shared" si="4"/>
        <v>0</v>
      </c>
      <c r="DJ18" s="4">
        <f t="shared" si="4"/>
        <v>0</v>
      </c>
      <c r="DK18" s="4">
        <f t="shared" si="4"/>
        <v>0</v>
      </c>
      <c r="DL18" s="4">
        <f t="shared" si="4"/>
        <v>0</v>
      </c>
      <c r="DM18" s="4">
        <f t="shared" si="4"/>
        <v>0</v>
      </c>
      <c r="DN18" s="4">
        <f t="shared" si="4"/>
        <v>0</v>
      </c>
      <c r="DO18" s="4">
        <f t="shared" si="4"/>
        <v>0</v>
      </c>
      <c r="DP18" s="4">
        <f t="shared" si="4"/>
        <v>0</v>
      </c>
      <c r="DQ18" s="4">
        <f t="shared" si="4"/>
        <v>0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0</v>
      </c>
      <c r="EK18" s="4">
        <f t="shared" si="4"/>
        <v>0</v>
      </c>
      <c r="EL18" s="4">
        <f t="shared" si="4"/>
        <v>0</v>
      </c>
      <c r="EM18" s="4">
        <f t="shared" ref="EM18:FR18" si="5">EM136</f>
        <v>0</v>
      </c>
      <c r="EN18" s="4">
        <f t="shared" si="5"/>
        <v>0</v>
      </c>
      <c r="EO18" s="4">
        <f t="shared" si="5"/>
        <v>0</v>
      </c>
      <c r="EP18" s="4">
        <f t="shared" si="5"/>
        <v>0</v>
      </c>
      <c r="EQ18" s="4">
        <f t="shared" si="5"/>
        <v>0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0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FS136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ROW(A104)</f>
        <v>104</v>
      </c>
      <c r="E20" s="1"/>
      <c r="F20" s="1" t="s">
        <v>12</v>
      </c>
      <c r="G20" s="1" t="s">
        <v>12</v>
      </c>
      <c r="H20" s="1" t="s">
        <v>3</v>
      </c>
      <c r="I20" s="1">
        <v>0</v>
      </c>
      <c r="J20" s="1" t="s">
        <v>3</v>
      </c>
      <c r="K20" s="1">
        <v>0</v>
      </c>
      <c r="L20" s="1" t="s">
        <v>12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B104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Новая локальная смета</v>
      </c>
      <c r="G22" s="3" t="str">
        <f t="shared" si="7"/>
        <v>Новая локальная смета</v>
      </c>
      <c r="H22" s="3"/>
      <c r="I22" s="3"/>
      <c r="J22" s="3"/>
      <c r="K22" s="3"/>
      <c r="L22" s="3"/>
      <c r="M22" s="3"/>
      <c r="N22" s="3"/>
      <c r="O22" s="3">
        <f t="shared" ref="O22:AT22" si="8">O104</f>
        <v>201814.54</v>
      </c>
      <c r="P22" s="3">
        <f t="shared" si="8"/>
        <v>47779.86</v>
      </c>
      <c r="Q22" s="3">
        <f t="shared" si="8"/>
        <v>10.8</v>
      </c>
      <c r="R22" s="3">
        <f t="shared" si="8"/>
        <v>0.05</v>
      </c>
      <c r="S22" s="3">
        <f t="shared" si="8"/>
        <v>154023.88</v>
      </c>
      <c r="T22" s="3">
        <f t="shared" si="8"/>
        <v>0</v>
      </c>
      <c r="U22" s="3">
        <f t="shared" si="8"/>
        <v>215.38950000000003</v>
      </c>
      <c r="V22" s="3">
        <f t="shared" si="8"/>
        <v>0</v>
      </c>
      <c r="W22" s="3">
        <f t="shared" si="8"/>
        <v>0</v>
      </c>
      <c r="X22" s="3">
        <f t="shared" si="8"/>
        <v>107816.72</v>
      </c>
      <c r="Y22" s="3">
        <f t="shared" si="8"/>
        <v>15402.39</v>
      </c>
      <c r="Z22" s="3">
        <f t="shared" si="8"/>
        <v>0</v>
      </c>
      <c r="AA22" s="3">
        <f t="shared" si="8"/>
        <v>0</v>
      </c>
      <c r="AB22" s="3">
        <f t="shared" si="8"/>
        <v>0</v>
      </c>
      <c r="AC22" s="3">
        <f t="shared" si="8"/>
        <v>0</v>
      </c>
      <c r="AD22" s="3">
        <f t="shared" si="8"/>
        <v>0</v>
      </c>
      <c r="AE22" s="3">
        <f t="shared" si="8"/>
        <v>0</v>
      </c>
      <c r="AF22" s="3">
        <f t="shared" si="8"/>
        <v>0</v>
      </c>
      <c r="AG22" s="3">
        <f t="shared" si="8"/>
        <v>0</v>
      </c>
      <c r="AH22" s="3">
        <f t="shared" si="8"/>
        <v>0</v>
      </c>
      <c r="AI22" s="3">
        <f t="shared" si="8"/>
        <v>0</v>
      </c>
      <c r="AJ22" s="3">
        <f t="shared" si="8"/>
        <v>0</v>
      </c>
      <c r="AK22" s="3">
        <f t="shared" si="8"/>
        <v>0</v>
      </c>
      <c r="AL22" s="3">
        <f t="shared" si="8"/>
        <v>0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0</v>
      </c>
      <c r="AQ22" s="3">
        <f t="shared" si="8"/>
        <v>0</v>
      </c>
      <c r="AR22" s="3">
        <f t="shared" si="8"/>
        <v>325033.71000000002</v>
      </c>
      <c r="AS22" s="3">
        <f t="shared" si="8"/>
        <v>0</v>
      </c>
      <c r="AT22" s="3">
        <f t="shared" si="8"/>
        <v>0</v>
      </c>
      <c r="AU22" s="3">
        <f t="shared" ref="AU22:BZ22" si="9">AU104</f>
        <v>325033.71000000002</v>
      </c>
      <c r="AV22" s="3">
        <f t="shared" si="9"/>
        <v>47779.86</v>
      </c>
      <c r="AW22" s="3">
        <f t="shared" si="9"/>
        <v>47779.86</v>
      </c>
      <c r="AX22" s="3">
        <f t="shared" si="9"/>
        <v>0</v>
      </c>
      <c r="AY22" s="3">
        <f t="shared" si="9"/>
        <v>47779.86</v>
      </c>
      <c r="AZ22" s="3">
        <f t="shared" si="9"/>
        <v>0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0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CA104</f>
        <v>0</v>
      </c>
      <c r="CB22" s="3">
        <f t="shared" si="10"/>
        <v>0</v>
      </c>
      <c r="CC22" s="3">
        <f t="shared" si="10"/>
        <v>0</v>
      </c>
      <c r="CD22" s="3">
        <f t="shared" si="10"/>
        <v>0</v>
      </c>
      <c r="CE22" s="3">
        <f t="shared" si="10"/>
        <v>0</v>
      </c>
      <c r="CF22" s="3">
        <f t="shared" si="10"/>
        <v>0</v>
      </c>
      <c r="CG22" s="3">
        <f t="shared" si="10"/>
        <v>0</v>
      </c>
      <c r="CH22" s="3">
        <f t="shared" si="10"/>
        <v>0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DG104</f>
        <v>0</v>
      </c>
      <c r="DH22" s="4">
        <f t="shared" si="11"/>
        <v>0</v>
      </c>
      <c r="DI22" s="4">
        <f t="shared" si="11"/>
        <v>0</v>
      </c>
      <c r="DJ22" s="4">
        <f t="shared" si="11"/>
        <v>0</v>
      </c>
      <c r="DK22" s="4">
        <f t="shared" si="11"/>
        <v>0</v>
      </c>
      <c r="DL22" s="4">
        <f t="shared" si="11"/>
        <v>0</v>
      </c>
      <c r="DM22" s="4">
        <f t="shared" si="11"/>
        <v>0</v>
      </c>
      <c r="DN22" s="4">
        <f t="shared" si="11"/>
        <v>0</v>
      </c>
      <c r="DO22" s="4">
        <f t="shared" si="11"/>
        <v>0</v>
      </c>
      <c r="DP22" s="4">
        <f t="shared" si="11"/>
        <v>0</v>
      </c>
      <c r="DQ22" s="4">
        <f t="shared" si="11"/>
        <v>0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0</v>
      </c>
      <c r="EK22" s="4">
        <f t="shared" si="11"/>
        <v>0</v>
      </c>
      <c r="EL22" s="4">
        <f t="shared" si="11"/>
        <v>0</v>
      </c>
      <c r="EM22" s="4">
        <f t="shared" ref="EM22:FR22" si="12">EM104</f>
        <v>0</v>
      </c>
      <c r="EN22" s="4">
        <f t="shared" si="12"/>
        <v>0</v>
      </c>
      <c r="EO22" s="4">
        <f t="shared" si="12"/>
        <v>0</v>
      </c>
      <c r="EP22" s="4">
        <f t="shared" si="12"/>
        <v>0</v>
      </c>
      <c r="EQ22" s="4">
        <f t="shared" si="12"/>
        <v>0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0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FS104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1">
        <v>4</v>
      </c>
      <c r="B24" s="1">
        <v>1</v>
      </c>
      <c r="C24" s="1"/>
      <c r="D24" s="1">
        <f>ROW(A34)</f>
        <v>34</v>
      </c>
      <c r="E24" s="1"/>
      <c r="F24" s="1" t="s">
        <v>13</v>
      </c>
      <c r="G24" s="1" t="s">
        <v>14</v>
      </c>
      <c r="H24" s="1" t="s">
        <v>3</v>
      </c>
      <c r="I24" s="1">
        <v>0</v>
      </c>
      <c r="J24" s="1"/>
      <c r="K24" s="1">
        <v>-1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55" x14ac:dyDescent="0.2">
      <c r="A26" s="3">
        <v>52</v>
      </c>
      <c r="B26" s="3">
        <f t="shared" ref="B26:G26" si="14">B34</f>
        <v>1</v>
      </c>
      <c r="C26" s="3">
        <f t="shared" si="14"/>
        <v>4</v>
      </c>
      <c r="D26" s="3">
        <f t="shared" si="14"/>
        <v>24</v>
      </c>
      <c r="E26" s="3">
        <f t="shared" si="14"/>
        <v>0</v>
      </c>
      <c r="F26" s="3" t="str">
        <f t="shared" si="14"/>
        <v>Новый раздел</v>
      </c>
      <c r="G26" s="3" t="str">
        <f t="shared" si="14"/>
        <v>Ремонт входной группы трудовой инспекции по адресу Домодедовская ул., д. 24, корп. 3</v>
      </c>
      <c r="H26" s="3"/>
      <c r="I26" s="3"/>
      <c r="J26" s="3"/>
      <c r="K26" s="3"/>
      <c r="L26" s="3"/>
      <c r="M26" s="3"/>
      <c r="N26" s="3"/>
      <c r="O26" s="3">
        <f t="shared" ref="O26:AT26" si="15">O34</f>
        <v>169374.37</v>
      </c>
      <c r="P26" s="3">
        <f t="shared" si="15"/>
        <v>44970.98</v>
      </c>
      <c r="Q26" s="3">
        <f t="shared" si="15"/>
        <v>10.8</v>
      </c>
      <c r="R26" s="3">
        <f t="shared" si="15"/>
        <v>0.05</v>
      </c>
      <c r="S26" s="3">
        <f t="shared" si="15"/>
        <v>124392.59</v>
      </c>
      <c r="T26" s="3">
        <f t="shared" si="15"/>
        <v>0</v>
      </c>
      <c r="U26" s="3">
        <f t="shared" si="15"/>
        <v>176.67450000000002</v>
      </c>
      <c r="V26" s="3">
        <f t="shared" si="15"/>
        <v>0</v>
      </c>
      <c r="W26" s="3">
        <f t="shared" si="15"/>
        <v>0</v>
      </c>
      <c r="X26" s="3">
        <f t="shared" si="15"/>
        <v>87074.82</v>
      </c>
      <c r="Y26" s="3">
        <f t="shared" si="15"/>
        <v>12439.26</v>
      </c>
      <c r="Z26" s="3">
        <f t="shared" si="15"/>
        <v>0</v>
      </c>
      <c r="AA26" s="3">
        <f t="shared" si="15"/>
        <v>0</v>
      </c>
      <c r="AB26" s="3">
        <f t="shared" si="15"/>
        <v>169374.37</v>
      </c>
      <c r="AC26" s="3">
        <f t="shared" si="15"/>
        <v>44970.98</v>
      </c>
      <c r="AD26" s="3">
        <f t="shared" si="15"/>
        <v>10.8</v>
      </c>
      <c r="AE26" s="3">
        <f t="shared" si="15"/>
        <v>0.05</v>
      </c>
      <c r="AF26" s="3">
        <f t="shared" si="15"/>
        <v>124392.59</v>
      </c>
      <c r="AG26" s="3">
        <f t="shared" si="15"/>
        <v>0</v>
      </c>
      <c r="AH26" s="3">
        <f t="shared" si="15"/>
        <v>176.67450000000002</v>
      </c>
      <c r="AI26" s="3">
        <f t="shared" si="15"/>
        <v>0</v>
      </c>
      <c r="AJ26" s="3">
        <f t="shared" si="15"/>
        <v>0</v>
      </c>
      <c r="AK26" s="3">
        <f t="shared" si="15"/>
        <v>87074.82</v>
      </c>
      <c r="AL26" s="3">
        <f t="shared" si="15"/>
        <v>12439.26</v>
      </c>
      <c r="AM26" s="3">
        <f t="shared" si="15"/>
        <v>0</v>
      </c>
      <c r="AN26" s="3">
        <f t="shared" si="15"/>
        <v>0</v>
      </c>
      <c r="AO26" s="3">
        <f t="shared" si="15"/>
        <v>0</v>
      </c>
      <c r="AP26" s="3">
        <f t="shared" si="15"/>
        <v>0</v>
      </c>
      <c r="AQ26" s="3">
        <f t="shared" si="15"/>
        <v>0</v>
      </c>
      <c r="AR26" s="3">
        <f t="shared" si="15"/>
        <v>268888.51</v>
      </c>
      <c r="AS26" s="3">
        <f t="shared" si="15"/>
        <v>0</v>
      </c>
      <c r="AT26" s="3">
        <f t="shared" si="15"/>
        <v>0</v>
      </c>
      <c r="AU26" s="3">
        <f t="shared" ref="AU26:BZ26" si="16">AU34</f>
        <v>268888.51</v>
      </c>
      <c r="AV26" s="3">
        <f t="shared" si="16"/>
        <v>44970.98</v>
      </c>
      <c r="AW26" s="3">
        <f t="shared" si="16"/>
        <v>44970.98</v>
      </c>
      <c r="AX26" s="3">
        <f t="shared" si="16"/>
        <v>0</v>
      </c>
      <c r="AY26" s="3">
        <f t="shared" si="16"/>
        <v>44970.98</v>
      </c>
      <c r="AZ26" s="3">
        <f t="shared" si="16"/>
        <v>0</v>
      </c>
      <c r="BA26" s="3">
        <f t="shared" si="16"/>
        <v>0</v>
      </c>
      <c r="BB26" s="3">
        <f t="shared" si="16"/>
        <v>0</v>
      </c>
      <c r="BC26" s="3">
        <f t="shared" si="16"/>
        <v>0</v>
      </c>
      <c r="BD26" s="3">
        <f t="shared" si="16"/>
        <v>0</v>
      </c>
      <c r="BE26" s="3">
        <f t="shared" si="16"/>
        <v>0</v>
      </c>
      <c r="BF26" s="3">
        <f t="shared" si="16"/>
        <v>0</v>
      </c>
      <c r="BG26" s="3">
        <f t="shared" si="16"/>
        <v>0</v>
      </c>
      <c r="BH26" s="3">
        <f t="shared" si="16"/>
        <v>0</v>
      </c>
      <c r="BI26" s="3">
        <f t="shared" si="16"/>
        <v>0</v>
      </c>
      <c r="BJ26" s="3">
        <f t="shared" si="16"/>
        <v>0</v>
      </c>
      <c r="BK26" s="3">
        <f t="shared" si="16"/>
        <v>0</v>
      </c>
      <c r="BL26" s="3">
        <f t="shared" si="16"/>
        <v>0</v>
      </c>
      <c r="BM26" s="3">
        <f t="shared" si="16"/>
        <v>0</v>
      </c>
      <c r="BN26" s="3">
        <f t="shared" si="16"/>
        <v>0</v>
      </c>
      <c r="BO26" s="3">
        <f t="shared" si="16"/>
        <v>0</v>
      </c>
      <c r="BP26" s="3">
        <f t="shared" si="16"/>
        <v>0</v>
      </c>
      <c r="BQ26" s="3">
        <f t="shared" si="16"/>
        <v>0</v>
      </c>
      <c r="BR26" s="3">
        <f t="shared" si="16"/>
        <v>0</v>
      </c>
      <c r="BS26" s="3">
        <f t="shared" si="16"/>
        <v>0</v>
      </c>
      <c r="BT26" s="3">
        <f t="shared" si="16"/>
        <v>0</v>
      </c>
      <c r="BU26" s="3">
        <f t="shared" si="16"/>
        <v>0</v>
      </c>
      <c r="BV26" s="3">
        <f t="shared" si="16"/>
        <v>0</v>
      </c>
      <c r="BW26" s="3">
        <f t="shared" si="16"/>
        <v>0</v>
      </c>
      <c r="BX26" s="3">
        <f t="shared" si="16"/>
        <v>0</v>
      </c>
      <c r="BY26" s="3">
        <f t="shared" si="16"/>
        <v>0</v>
      </c>
      <c r="BZ26" s="3">
        <f t="shared" si="16"/>
        <v>0</v>
      </c>
      <c r="CA26" s="3">
        <f t="shared" ref="CA26:DF26" si="17">CA34</f>
        <v>268888.51</v>
      </c>
      <c r="CB26" s="3">
        <f t="shared" si="17"/>
        <v>0</v>
      </c>
      <c r="CC26" s="3">
        <f t="shared" si="17"/>
        <v>0</v>
      </c>
      <c r="CD26" s="3">
        <f t="shared" si="17"/>
        <v>268888.51</v>
      </c>
      <c r="CE26" s="3">
        <f t="shared" si="17"/>
        <v>44970.98</v>
      </c>
      <c r="CF26" s="3">
        <f t="shared" si="17"/>
        <v>44970.98</v>
      </c>
      <c r="CG26" s="3">
        <f t="shared" si="17"/>
        <v>0</v>
      </c>
      <c r="CH26" s="3">
        <f t="shared" si="17"/>
        <v>44970.98</v>
      </c>
      <c r="CI26" s="3">
        <f t="shared" si="17"/>
        <v>0</v>
      </c>
      <c r="CJ26" s="3">
        <f t="shared" si="17"/>
        <v>0</v>
      </c>
      <c r="CK26" s="3">
        <f t="shared" si="17"/>
        <v>0</v>
      </c>
      <c r="CL26" s="3">
        <f t="shared" si="17"/>
        <v>0</v>
      </c>
      <c r="CM26" s="3">
        <f t="shared" si="17"/>
        <v>0</v>
      </c>
      <c r="CN26" s="3">
        <f t="shared" si="17"/>
        <v>0</v>
      </c>
      <c r="CO26" s="3">
        <f t="shared" si="17"/>
        <v>0</v>
      </c>
      <c r="CP26" s="3">
        <f t="shared" si="17"/>
        <v>0</v>
      </c>
      <c r="CQ26" s="3">
        <f t="shared" si="17"/>
        <v>0</v>
      </c>
      <c r="CR26" s="3">
        <f t="shared" si="17"/>
        <v>0</v>
      </c>
      <c r="CS26" s="3">
        <f t="shared" si="17"/>
        <v>0</v>
      </c>
      <c r="CT26" s="3">
        <f t="shared" si="17"/>
        <v>0</v>
      </c>
      <c r="CU26" s="3">
        <f t="shared" si="17"/>
        <v>0</v>
      </c>
      <c r="CV26" s="3">
        <f t="shared" si="17"/>
        <v>0</v>
      </c>
      <c r="CW26" s="3">
        <f t="shared" si="17"/>
        <v>0</v>
      </c>
      <c r="CX26" s="3">
        <f t="shared" si="17"/>
        <v>0</v>
      </c>
      <c r="CY26" s="3">
        <f t="shared" si="17"/>
        <v>0</v>
      </c>
      <c r="CZ26" s="3">
        <f t="shared" si="17"/>
        <v>0</v>
      </c>
      <c r="DA26" s="3">
        <f t="shared" si="17"/>
        <v>0</v>
      </c>
      <c r="DB26" s="3">
        <f t="shared" si="17"/>
        <v>0</v>
      </c>
      <c r="DC26" s="3">
        <f t="shared" si="17"/>
        <v>0</v>
      </c>
      <c r="DD26" s="3">
        <f t="shared" si="17"/>
        <v>0</v>
      </c>
      <c r="DE26" s="3">
        <f t="shared" si="17"/>
        <v>0</v>
      </c>
      <c r="DF26" s="3">
        <f t="shared" si="17"/>
        <v>0</v>
      </c>
      <c r="DG26" s="4">
        <f t="shared" ref="DG26:EL26" si="18">DG34</f>
        <v>0</v>
      </c>
      <c r="DH26" s="4">
        <f t="shared" si="18"/>
        <v>0</v>
      </c>
      <c r="DI26" s="4">
        <f t="shared" si="18"/>
        <v>0</v>
      </c>
      <c r="DJ26" s="4">
        <f t="shared" si="18"/>
        <v>0</v>
      </c>
      <c r="DK26" s="4">
        <f t="shared" si="18"/>
        <v>0</v>
      </c>
      <c r="DL26" s="4">
        <f t="shared" si="18"/>
        <v>0</v>
      </c>
      <c r="DM26" s="4">
        <f t="shared" si="18"/>
        <v>0</v>
      </c>
      <c r="DN26" s="4">
        <f t="shared" si="18"/>
        <v>0</v>
      </c>
      <c r="DO26" s="4">
        <f t="shared" si="18"/>
        <v>0</v>
      </c>
      <c r="DP26" s="4">
        <f t="shared" si="18"/>
        <v>0</v>
      </c>
      <c r="DQ26" s="4">
        <f t="shared" si="18"/>
        <v>0</v>
      </c>
      <c r="DR26" s="4">
        <f t="shared" si="18"/>
        <v>0</v>
      </c>
      <c r="DS26" s="4">
        <f t="shared" si="18"/>
        <v>0</v>
      </c>
      <c r="DT26" s="4">
        <f t="shared" si="18"/>
        <v>0</v>
      </c>
      <c r="DU26" s="4">
        <f t="shared" si="18"/>
        <v>0</v>
      </c>
      <c r="DV26" s="4">
        <f t="shared" si="18"/>
        <v>0</v>
      </c>
      <c r="DW26" s="4">
        <f t="shared" si="18"/>
        <v>0</v>
      </c>
      <c r="DX26" s="4">
        <f t="shared" si="18"/>
        <v>0</v>
      </c>
      <c r="DY26" s="4">
        <f t="shared" si="18"/>
        <v>0</v>
      </c>
      <c r="DZ26" s="4">
        <f t="shared" si="18"/>
        <v>0</v>
      </c>
      <c r="EA26" s="4">
        <f t="shared" si="18"/>
        <v>0</v>
      </c>
      <c r="EB26" s="4">
        <f t="shared" si="18"/>
        <v>0</v>
      </c>
      <c r="EC26" s="4">
        <f t="shared" si="18"/>
        <v>0</v>
      </c>
      <c r="ED26" s="4">
        <f t="shared" si="18"/>
        <v>0</v>
      </c>
      <c r="EE26" s="4">
        <f t="shared" si="18"/>
        <v>0</v>
      </c>
      <c r="EF26" s="4">
        <f t="shared" si="18"/>
        <v>0</v>
      </c>
      <c r="EG26" s="4">
        <f t="shared" si="18"/>
        <v>0</v>
      </c>
      <c r="EH26" s="4">
        <f t="shared" si="18"/>
        <v>0</v>
      </c>
      <c r="EI26" s="4">
        <f t="shared" si="18"/>
        <v>0</v>
      </c>
      <c r="EJ26" s="4">
        <f t="shared" si="18"/>
        <v>0</v>
      </c>
      <c r="EK26" s="4">
        <f t="shared" si="18"/>
        <v>0</v>
      </c>
      <c r="EL26" s="4">
        <f t="shared" si="18"/>
        <v>0</v>
      </c>
      <c r="EM26" s="4">
        <f t="shared" ref="EM26:FR26" si="19">EM34</f>
        <v>0</v>
      </c>
      <c r="EN26" s="4">
        <f t="shared" si="19"/>
        <v>0</v>
      </c>
      <c r="EO26" s="4">
        <f t="shared" si="19"/>
        <v>0</v>
      </c>
      <c r="EP26" s="4">
        <f t="shared" si="19"/>
        <v>0</v>
      </c>
      <c r="EQ26" s="4">
        <f t="shared" si="19"/>
        <v>0</v>
      </c>
      <c r="ER26" s="4">
        <f t="shared" si="19"/>
        <v>0</v>
      </c>
      <c r="ES26" s="4">
        <f t="shared" si="19"/>
        <v>0</v>
      </c>
      <c r="ET26" s="4">
        <f t="shared" si="19"/>
        <v>0</v>
      </c>
      <c r="EU26" s="4">
        <f t="shared" si="19"/>
        <v>0</v>
      </c>
      <c r="EV26" s="4">
        <f t="shared" si="19"/>
        <v>0</v>
      </c>
      <c r="EW26" s="4">
        <f t="shared" si="19"/>
        <v>0</v>
      </c>
      <c r="EX26" s="4">
        <f t="shared" si="19"/>
        <v>0</v>
      </c>
      <c r="EY26" s="4">
        <f t="shared" si="19"/>
        <v>0</v>
      </c>
      <c r="EZ26" s="4">
        <f t="shared" si="19"/>
        <v>0</v>
      </c>
      <c r="FA26" s="4">
        <f t="shared" si="19"/>
        <v>0</v>
      </c>
      <c r="FB26" s="4">
        <f t="shared" si="19"/>
        <v>0</v>
      </c>
      <c r="FC26" s="4">
        <f t="shared" si="19"/>
        <v>0</v>
      </c>
      <c r="FD26" s="4">
        <f t="shared" si="19"/>
        <v>0</v>
      </c>
      <c r="FE26" s="4">
        <f t="shared" si="19"/>
        <v>0</v>
      </c>
      <c r="FF26" s="4">
        <f t="shared" si="19"/>
        <v>0</v>
      </c>
      <c r="FG26" s="4">
        <f t="shared" si="19"/>
        <v>0</v>
      </c>
      <c r="FH26" s="4">
        <f t="shared" si="19"/>
        <v>0</v>
      </c>
      <c r="FI26" s="4">
        <f t="shared" si="19"/>
        <v>0</v>
      </c>
      <c r="FJ26" s="4">
        <f t="shared" si="19"/>
        <v>0</v>
      </c>
      <c r="FK26" s="4">
        <f t="shared" si="19"/>
        <v>0</v>
      </c>
      <c r="FL26" s="4">
        <f t="shared" si="19"/>
        <v>0</v>
      </c>
      <c r="FM26" s="4">
        <f t="shared" si="19"/>
        <v>0</v>
      </c>
      <c r="FN26" s="4">
        <f t="shared" si="19"/>
        <v>0</v>
      </c>
      <c r="FO26" s="4">
        <f t="shared" si="19"/>
        <v>0</v>
      </c>
      <c r="FP26" s="4">
        <f t="shared" si="19"/>
        <v>0</v>
      </c>
      <c r="FQ26" s="4">
        <f t="shared" si="19"/>
        <v>0</v>
      </c>
      <c r="FR26" s="4">
        <f t="shared" si="19"/>
        <v>0</v>
      </c>
      <c r="FS26" s="4">
        <f t="shared" ref="FS26:GX26" si="20">FS34</f>
        <v>0</v>
      </c>
      <c r="FT26" s="4">
        <f t="shared" si="20"/>
        <v>0</v>
      </c>
      <c r="FU26" s="4">
        <f t="shared" si="20"/>
        <v>0</v>
      </c>
      <c r="FV26" s="4">
        <f t="shared" si="20"/>
        <v>0</v>
      </c>
      <c r="FW26" s="4">
        <f t="shared" si="20"/>
        <v>0</v>
      </c>
      <c r="FX26" s="4">
        <f t="shared" si="20"/>
        <v>0</v>
      </c>
      <c r="FY26" s="4">
        <f t="shared" si="20"/>
        <v>0</v>
      </c>
      <c r="FZ26" s="4">
        <f t="shared" si="20"/>
        <v>0</v>
      </c>
      <c r="GA26" s="4">
        <f t="shared" si="20"/>
        <v>0</v>
      </c>
      <c r="GB26" s="4">
        <f t="shared" si="20"/>
        <v>0</v>
      </c>
      <c r="GC26" s="4">
        <f t="shared" si="20"/>
        <v>0</v>
      </c>
      <c r="GD26" s="4">
        <f t="shared" si="20"/>
        <v>0</v>
      </c>
      <c r="GE26" s="4">
        <f t="shared" si="20"/>
        <v>0</v>
      </c>
      <c r="GF26" s="4">
        <f t="shared" si="20"/>
        <v>0</v>
      </c>
      <c r="GG26" s="4">
        <f t="shared" si="20"/>
        <v>0</v>
      </c>
      <c r="GH26" s="4">
        <f t="shared" si="20"/>
        <v>0</v>
      </c>
      <c r="GI26" s="4">
        <f t="shared" si="20"/>
        <v>0</v>
      </c>
      <c r="GJ26" s="4">
        <f t="shared" si="20"/>
        <v>0</v>
      </c>
      <c r="GK26" s="4">
        <f t="shared" si="20"/>
        <v>0</v>
      </c>
      <c r="GL26" s="4">
        <f t="shared" si="20"/>
        <v>0</v>
      </c>
      <c r="GM26" s="4">
        <f t="shared" si="20"/>
        <v>0</v>
      </c>
      <c r="GN26" s="4">
        <f t="shared" si="20"/>
        <v>0</v>
      </c>
      <c r="GO26" s="4">
        <f t="shared" si="20"/>
        <v>0</v>
      </c>
      <c r="GP26" s="4">
        <f t="shared" si="20"/>
        <v>0</v>
      </c>
      <c r="GQ26" s="4">
        <f t="shared" si="20"/>
        <v>0</v>
      </c>
      <c r="GR26" s="4">
        <f t="shared" si="20"/>
        <v>0</v>
      </c>
      <c r="GS26" s="4">
        <f t="shared" si="20"/>
        <v>0</v>
      </c>
      <c r="GT26" s="4">
        <f t="shared" si="20"/>
        <v>0</v>
      </c>
      <c r="GU26" s="4">
        <f t="shared" si="20"/>
        <v>0</v>
      </c>
      <c r="GV26" s="4">
        <f t="shared" si="20"/>
        <v>0</v>
      </c>
      <c r="GW26" s="4">
        <f t="shared" si="20"/>
        <v>0</v>
      </c>
      <c r="GX26" s="4">
        <f t="shared" si="20"/>
        <v>0</v>
      </c>
    </row>
    <row r="28" spans="1:255" x14ac:dyDescent="0.2">
      <c r="A28" s="2">
        <v>17</v>
      </c>
      <c r="B28" s="2">
        <v>1</v>
      </c>
      <c r="C28" s="2"/>
      <c r="D28" s="2"/>
      <c r="E28" s="2" t="s">
        <v>15</v>
      </c>
      <c r="F28" s="2" t="s">
        <v>16</v>
      </c>
      <c r="G28" s="2" t="s">
        <v>17</v>
      </c>
      <c r="H28" s="2" t="s">
        <v>18</v>
      </c>
      <c r="I28" s="2">
        <f>ROUND(5/100,9)</f>
        <v>0.05</v>
      </c>
      <c r="J28" s="2">
        <v>0</v>
      </c>
      <c r="K28" s="2">
        <f>ROUND(5/100,9)</f>
        <v>0.05</v>
      </c>
      <c r="L28" s="2"/>
      <c r="M28" s="2"/>
      <c r="N28" s="2"/>
      <c r="O28" s="2">
        <f>ROUND(CP28,2)</f>
        <v>435.29</v>
      </c>
      <c r="P28" s="2">
        <f>ROUND(CQ28*I28,2)</f>
        <v>0</v>
      </c>
      <c r="Q28" s="2">
        <f>ROUND(CR28*I28,2)</f>
        <v>0</v>
      </c>
      <c r="R28" s="2">
        <f>ROUND(CS28*I28,2)</f>
        <v>0</v>
      </c>
      <c r="S28" s="2">
        <f>ROUND(CT28*I28,2)</f>
        <v>435.29</v>
      </c>
      <c r="T28" s="2">
        <f>ROUND(CU28*I28,2)</f>
        <v>0</v>
      </c>
      <c r="U28" s="2">
        <f>CV28*I28</f>
        <v>0.89450000000000007</v>
      </c>
      <c r="V28" s="2">
        <f>CW28*I28</f>
        <v>0</v>
      </c>
      <c r="W28" s="2">
        <f>ROUND(CX28*I28,2)</f>
        <v>0</v>
      </c>
      <c r="X28" s="2">
        <f t="shared" ref="X28:Y32" si="21">ROUND(CY28,2)</f>
        <v>304.7</v>
      </c>
      <c r="Y28" s="2">
        <f t="shared" si="21"/>
        <v>43.53</v>
      </c>
      <c r="Z28" s="2"/>
      <c r="AA28" s="2">
        <v>61825561</v>
      </c>
      <c r="AB28" s="2">
        <f>ROUND((AC28+AD28+AF28),6)</f>
        <v>8705.81</v>
      </c>
      <c r="AC28" s="2">
        <f>ROUND((ES28),6)</f>
        <v>0</v>
      </c>
      <c r="AD28" s="2">
        <f>ROUND((((ET28)-(EU28))+AE28),6)</f>
        <v>0</v>
      </c>
      <c r="AE28" s="2">
        <f t="shared" ref="AE28:AF32" si="22">ROUND((EU28),6)</f>
        <v>0</v>
      </c>
      <c r="AF28" s="2">
        <f t="shared" si="22"/>
        <v>8705.81</v>
      </c>
      <c r="AG28" s="2">
        <f>ROUND((AP28),6)</f>
        <v>0</v>
      </c>
      <c r="AH28" s="2">
        <f t="shared" ref="AH28:AI32" si="23">(EW28)</f>
        <v>17.89</v>
      </c>
      <c r="AI28" s="2">
        <f t="shared" si="23"/>
        <v>0</v>
      </c>
      <c r="AJ28" s="2">
        <f>(AS28)</f>
        <v>0</v>
      </c>
      <c r="AK28" s="2">
        <v>8705.81</v>
      </c>
      <c r="AL28" s="2">
        <v>0</v>
      </c>
      <c r="AM28" s="2">
        <v>0</v>
      </c>
      <c r="AN28" s="2">
        <v>0</v>
      </c>
      <c r="AO28" s="2">
        <v>8705.81</v>
      </c>
      <c r="AP28" s="2">
        <v>0</v>
      </c>
      <c r="AQ28" s="2">
        <v>17.89</v>
      </c>
      <c r="AR28" s="2">
        <v>0</v>
      </c>
      <c r="AS28" s="2">
        <v>0</v>
      </c>
      <c r="AT28" s="2">
        <v>70</v>
      </c>
      <c r="AU28" s="2">
        <v>10</v>
      </c>
      <c r="AV28" s="2">
        <v>1</v>
      </c>
      <c r="AW28" s="2">
        <v>1</v>
      </c>
      <c r="AX28" s="2"/>
      <c r="AY28" s="2"/>
      <c r="AZ28" s="2">
        <v>1</v>
      </c>
      <c r="BA28" s="2">
        <v>1</v>
      </c>
      <c r="BB28" s="2">
        <v>1</v>
      </c>
      <c r="BC28" s="2">
        <v>1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0</v>
      </c>
      <c r="BI28" s="2">
        <v>4</v>
      </c>
      <c r="BJ28" s="2" t="s">
        <v>19</v>
      </c>
      <c r="BK28" s="2"/>
      <c r="BL28" s="2"/>
      <c r="BM28" s="2">
        <v>0</v>
      </c>
      <c r="BN28" s="2">
        <v>0</v>
      </c>
      <c r="BO28" s="2" t="s">
        <v>3</v>
      </c>
      <c r="BP28" s="2">
        <v>0</v>
      </c>
      <c r="BQ28" s="2">
        <v>1</v>
      </c>
      <c r="BR28" s="2">
        <v>0</v>
      </c>
      <c r="BS28" s="2">
        <v>1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70</v>
      </c>
      <c r="CA28" s="2">
        <v>10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/>
      <c r="CI28" s="2"/>
      <c r="CJ28" s="2"/>
      <c r="CK28" s="2"/>
      <c r="CL28" s="2"/>
      <c r="CM28" s="2">
        <v>0</v>
      </c>
      <c r="CN28" s="2" t="s">
        <v>3</v>
      </c>
      <c r="CO28" s="2">
        <v>0</v>
      </c>
      <c r="CP28" s="2">
        <f>(P28+Q28+S28)</f>
        <v>435.29</v>
      </c>
      <c r="CQ28" s="2">
        <f>(AC28*BC28*AW28)</f>
        <v>0</v>
      </c>
      <c r="CR28" s="2">
        <f>((((ET28)*BB28-(EU28)*BS28)+AE28*BS28)*AV28)</f>
        <v>0</v>
      </c>
      <c r="CS28" s="2">
        <f>(AE28*BS28*AV28)</f>
        <v>0</v>
      </c>
      <c r="CT28" s="2">
        <f>(AF28*BA28*AV28)</f>
        <v>8705.81</v>
      </c>
      <c r="CU28" s="2">
        <f>AG28</f>
        <v>0</v>
      </c>
      <c r="CV28" s="2">
        <f>(AH28*AV28)</f>
        <v>17.89</v>
      </c>
      <c r="CW28" s="2">
        <f t="shared" ref="CW28:CX32" si="24">AI28</f>
        <v>0</v>
      </c>
      <c r="CX28" s="2">
        <f t="shared" si="24"/>
        <v>0</v>
      </c>
      <c r="CY28" s="2">
        <f>((S28*BZ28)/100)</f>
        <v>304.70300000000003</v>
      </c>
      <c r="CZ28" s="2">
        <f>((S28*CA28)/100)</f>
        <v>43.529000000000003</v>
      </c>
      <c r="DA28" s="2"/>
      <c r="DB28" s="2"/>
      <c r="DC28" s="2" t="s">
        <v>3</v>
      </c>
      <c r="DD28" s="2" t="s">
        <v>3</v>
      </c>
      <c r="DE28" s="2" t="s">
        <v>3</v>
      </c>
      <c r="DF28" s="2" t="s">
        <v>3</v>
      </c>
      <c r="DG28" s="2" t="s">
        <v>3</v>
      </c>
      <c r="DH28" s="2" t="s">
        <v>3</v>
      </c>
      <c r="DI28" s="2" t="s">
        <v>3</v>
      </c>
      <c r="DJ28" s="2" t="s">
        <v>3</v>
      </c>
      <c r="DK28" s="2" t="s">
        <v>3</v>
      </c>
      <c r="DL28" s="2" t="s">
        <v>3</v>
      </c>
      <c r="DM28" s="2" t="s">
        <v>3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1010</v>
      </c>
      <c r="DV28" s="2" t="s">
        <v>18</v>
      </c>
      <c r="DW28" s="2" t="s">
        <v>18</v>
      </c>
      <c r="DX28" s="2">
        <v>100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61266886</v>
      </c>
      <c r="EF28" s="2">
        <v>1</v>
      </c>
      <c r="EG28" s="2" t="s">
        <v>20</v>
      </c>
      <c r="EH28" s="2">
        <v>0</v>
      </c>
      <c r="EI28" s="2" t="s">
        <v>3</v>
      </c>
      <c r="EJ28" s="2">
        <v>4</v>
      </c>
      <c r="EK28" s="2">
        <v>0</v>
      </c>
      <c r="EL28" s="2" t="s">
        <v>21</v>
      </c>
      <c r="EM28" s="2" t="s">
        <v>22</v>
      </c>
      <c r="EN28" s="2"/>
      <c r="EO28" s="2" t="s">
        <v>3</v>
      </c>
      <c r="EP28" s="2"/>
      <c r="EQ28" s="2">
        <v>0</v>
      </c>
      <c r="ER28" s="2">
        <v>8705.81</v>
      </c>
      <c r="ES28" s="2">
        <v>0</v>
      </c>
      <c r="ET28" s="2">
        <v>0</v>
      </c>
      <c r="EU28" s="2">
        <v>0</v>
      </c>
      <c r="EV28" s="2">
        <v>8705.81</v>
      </c>
      <c r="EW28" s="2">
        <v>17.89</v>
      </c>
      <c r="EX28" s="2">
        <v>0</v>
      </c>
      <c r="EY28" s="2">
        <v>0</v>
      </c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v>0</v>
      </c>
      <c r="FS28" s="2">
        <v>0</v>
      </c>
      <c r="FT28" s="2"/>
      <c r="FU28" s="2"/>
      <c r="FV28" s="2"/>
      <c r="FW28" s="2"/>
      <c r="FX28" s="2">
        <v>70</v>
      </c>
      <c r="FY28" s="2">
        <v>10</v>
      </c>
      <c r="FZ28" s="2"/>
      <c r="GA28" s="2" t="s">
        <v>3</v>
      </c>
      <c r="GB28" s="2"/>
      <c r="GC28" s="2"/>
      <c r="GD28" s="2">
        <v>0</v>
      </c>
      <c r="GE28" s="2"/>
      <c r="GF28" s="2">
        <v>-54183011</v>
      </c>
      <c r="GG28" s="2">
        <v>2</v>
      </c>
      <c r="GH28" s="2">
        <v>1</v>
      </c>
      <c r="GI28" s="2">
        <v>-2</v>
      </c>
      <c r="GJ28" s="2">
        <v>0</v>
      </c>
      <c r="GK28" s="2">
        <f>ROUND(R28*(R12)/100,2)</f>
        <v>0</v>
      </c>
      <c r="GL28" s="2">
        <f>ROUND(IF(AND(BH28=3,BI28=3,FS28&lt;&gt;0),P28,0),2)</f>
        <v>0</v>
      </c>
      <c r="GM28" s="2">
        <f>ROUND(O28+X28+Y28+GK28,2)+GX28</f>
        <v>783.52</v>
      </c>
      <c r="GN28" s="2">
        <f>IF(OR(BI28=0,BI28=1),GM28-GX28,0)</f>
        <v>0</v>
      </c>
      <c r="GO28" s="2">
        <f>IF(BI28=2,GM28-GX28,0)</f>
        <v>0</v>
      </c>
      <c r="GP28" s="2">
        <f>IF(BI28=4,GM28-GX28,0)</f>
        <v>783.52</v>
      </c>
      <c r="GQ28" s="2"/>
      <c r="GR28" s="2">
        <v>0</v>
      </c>
      <c r="GS28" s="2">
        <v>0</v>
      </c>
      <c r="GT28" s="2">
        <v>0</v>
      </c>
      <c r="GU28" s="2" t="s">
        <v>3</v>
      </c>
      <c r="GV28" s="2">
        <f>ROUND((GT28),6)</f>
        <v>0</v>
      </c>
      <c r="GW28" s="2">
        <v>1</v>
      </c>
      <c r="GX28" s="2">
        <f>ROUND(HC28*I28,2)</f>
        <v>0</v>
      </c>
      <c r="GY28" s="2"/>
      <c r="GZ28" s="2"/>
      <c r="HA28" s="2">
        <v>0</v>
      </c>
      <c r="HB28" s="2">
        <v>0</v>
      </c>
      <c r="HC28" s="2">
        <f>GV28*GW28</f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3</v>
      </c>
      <c r="HO28" s="2" t="s">
        <v>3</v>
      </c>
      <c r="HP28" s="2" t="s">
        <v>3</v>
      </c>
      <c r="HQ28" s="2" t="s">
        <v>3</v>
      </c>
      <c r="HR28" s="2"/>
      <c r="HS28" s="2">
        <v>0</v>
      </c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 s="2">
        <v>17</v>
      </c>
      <c r="B29" s="2">
        <v>1</v>
      </c>
      <c r="C29" s="2"/>
      <c r="D29" s="2"/>
      <c r="E29" s="2" t="s">
        <v>23</v>
      </c>
      <c r="F29" s="2" t="s">
        <v>24</v>
      </c>
      <c r="G29" s="2" t="s">
        <v>25</v>
      </c>
      <c r="H29" s="2" t="s">
        <v>26</v>
      </c>
      <c r="I29" s="2">
        <f>ROUND(91/10,9)</f>
        <v>9.1</v>
      </c>
      <c r="J29" s="2">
        <v>0</v>
      </c>
      <c r="K29" s="2">
        <f>ROUND(91/10,9)</f>
        <v>9.1</v>
      </c>
      <c r="L29" s="2"/>
      <c r="M29" s="2"/>
      <c r="N29" s="2"/>
      <c r="O29" s="2">
        <f>ROUND(CP29,2)</f>
        <v>99914.36</v>
      </c>
      <c r="P29" s="2">
        <f>ROUND(CQ29*I29,2)</f>
        <v>34342.58</v>
      </c>
      <c r="Q29" s="2">
        <f>ROUND(CR29*I29,2)</f>
        <v>0</v>
      </c>
      <c r="R29" s="2">
        <f>ROUND(CS29*I29,2)</f>
        <v>0</v>
      </c>
      <c r="S29" s="2">
        <f>ROUND(CT29*I29,2)</f>
        <v>65571.78</v>
      </c>
      <c r="T29" s="2">
        <f>ROUND(CU29*I29,2)</f>
        <v>0</v>
      </c>
      <c r="U29" s="2">
        <f>CV29*I29</f>
        <v>98.462000000000003</v>
      </c>
      <c r="V29" s="2">
        <f>CW29*I29</f>
        <v>0</v>
      </c>
      <c r="W29" s="2">
        <f>ROUND(CX29*I29,2)</f>
        <v>0</v>
      </c>
      <c r="X29" s="2">
        <f t="shared" si="21"/>
        <v>45900.25</v>
      </c>
      <c r="Y29" s="2">
        <f t="shared" si="21"/>
        <v>6557.18</v>
      </c>
      <c r="Z29" s="2"/>
      <c r="AA29" s="2">
        <v>61825561</v>
      </c>
      <c r="AB29" s="2">
        <f>ROUND((AC29+AD29+AF29),6)</f>
        <v>10979.6</v>
      </c>
      <c r="AC29" s="2">
        <f>ROUND((ES29),6)</f>
        <v>3773.91</v>
      </c>
      <c r="AD29" s="2">
        <f>ROUND((((ET29)-(EU29))+AE29),6)</f>
        <v>0</v>
      </c>
      <c r="AE29" s="2">
        <f t="shared" si="22"/>
        <v>0</v>
      </c>
      <c r="AF29" s="2">
        <f t="shared" si="22"/>
        <v>7205.69</v>
      </c>
      <c r="AG29" s="2">
        <f>ROUND((AP29),6)</f>
        <v>0</v>
      </c>
      <c r="AH29" s="2">
        <f t="shared" si="23"/>
        <v>10.82</v>
      </c>
      <c r="AI29" s="2">
        <f t="shared" si="23"/>
        <v>0</v>
      </c>
      <c r="AJ29" s="2">
        <f>(AS29)</f>
        <v>0</v>
      </c>
      <c r="AK29" s="2">
        <v>10979.6</v>
      </c>
      <c r="AL29" s="2">
        <v>3773.91</v>
      </c>
      <c r="AM29" s="2">
        <v>0</v>
      </c>
      <c r="AN29" s="2">
        <v>0</v>
      </c>
      <c r="AO29" s="2">
        <v>7205.69</v>
      </c>
      <c r="AP29" s="2">
        <v>0</v>
      </c>
      <c r="AQ29" s="2">
        <v>10.82</v>
      </c>
      <c r="AR29" s="2">
        <v>0</v>
      </c>
      <c r="AS29" s="2">
        <v>0</v>
      </c>
      <c r="AT29" s="2">
        <v>70</v>
      </c>
      <c r="AU29" s="2">
        <v>10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0</v>
      </c>
      <c r="BI29" s="2">
        <v>4</v>
      </c>
      <c r="BJ29" s="2" t="s">
        <v>27</v>
      </c>
      <c r="BK29" s="2"/>
      <c r="BL29" s="2"/>
      <c r="BM29" s="2">
        <v>0</v>
      </c>
      <c r="BN29" s="2">
        <v>0</v>
      </c>
      <c r="BO29" s="2" t="s">
        <v>3</v>
      </c>
      <c r="BP29" s="2">
        <v>0</v>
      </c>
      <c r="BQ29" s="2">
        <v>1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70</v>
      </c>
      <c r="CA29" s="2">
        <v>10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2" t="s">
        <v>3</v>
      </c>
      <c r="CO29" s="2">
        <v>0</v>
      </c>
      <c r="CP29" s="2">
        <f>(P29+Q29+S29)</f>
        <v>99914.36</v>
      </c>
      <c r="CQ29" s="2">
        <f>(AC29*BC29*AW29)</f>
        <v>3773.91</v>
      </c>
      <c r="CR29" s="2">
        <f>((((ET29)*BB29-(EU29)*BS29)+AE29*BS29)*AV29)</f>
        <v>0</v>
      </c>
      <c r="CS29" s="2">
        <f>(AE29*BS29*AV29)</f>
        <v>0</v>
      </c>
      <c r="CT29" s="2">
        <f>(AF29*BA29*AV29)</f>
        <v>7205.69</v>
      </c>
      <c r="CU29" s="2">
        <f>AG29</f>
        <v>0</v>
      </c>
      <c r="CV29" s="2">
        <f>(AH29*AV29)</f>
        <v>10.82</v>
      </c>
      <c r="CW29" s="2">
        <f t="shared" si="24"/>
        <v>0</v>
      </c>
      <c r="CX29" s="2">
        <f t="shared" si="24"/>
        <v>0</v>
      </c>
      <c r="CY29" s="2">
        <f>((S29*BZ29)/100)</f>
        <v>45900.245999999999</v>
      </c>
      <c r="CZ29" s="2">
        <f>((S29*CA29)/100)</f>
        <v>6557.1780000000008</v>
      </c>
      <c r="DA29" s="2"/>
      <c r="DB29" s="2"/>
      <c r="DC29" s="2" t="s">
        <v>3</v>
      </c>
      <c r="DD29" s="2" t="s">
        <v>3</v>
      </c>
      <c r="DE29" s="2" t="s">
        <v>3</v>
      </c>
      <c r="DF29" s="2" t="s">
        <v>3</v>
      </c>
      <c r="DG29" s="2" t="s">
        <v>3</v>
      </c>
      <c r="DH29" s="2" t="s">
        <v>3</v>
      </c>
      <c r="DI29" s="2" t="s">
        <v>3</v>
      </c>
      <c r="DJ29" s="2" t="s">
        <v>3</v>
      </c>
      <c r="DK29" s="2" t="s">
        <v>3</v>
      </c>
      <c r="DL29" s="2" t="s">
        <v>3</v>
      </c>
      <c r="DM29" s="2" t="s">
        <v>3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1005</v>
      </c>
      <c r="DV29" s="2" t="s">
        <v>26</v>
      </c>
      <c r="DW29" s="2" t="s">
        <v>26</v>
      </c>
      <c r="DX29" s="2">
        <v>10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61266886</v>
      </c>
      <c r="EF29" s="2">
        <v>1</v>
      </c>
      <c r="EG29" s="2" t="s">
        <v>20</v>
      </c>
      <c r="EH29" s="2">
        <v>0</v>
      </c>
      <c r="EI29" s="2" t="s">
        <v>3</v>
      </c>
      <c r="EJ29" s="2">
        <v>4</v>
      </c>
      <c r="EK29" s="2">
        <v>0</v>
      </c>
      <c r="EL29" s="2" t="s">
        <v>21</v>
      </c>
      <c r="EM29" s="2" t="s">
        <v>22</v>
      </c>
      <c r="EN29" s="2"/>
      <c r="EO29" s="2" t="s">
        <v>3</v>
      </c>
      <c r="EP29" s="2"/>
      <c r="EQ29" s="2">
        <v>0</v>
      </c>
      <c r="ER29" s="2">
        <v>10979.6</v>
      </c>
      <c r="ES29" s="2">
        <v>3773.91</v>
      </c>
      <c r="ET29" s="2">
        <v>0</v>
      </c>
      <c r="EU29" s="2">
        <v>0</v>
      </c>
      <c r="EV29" s="2">
        <v>7205.69</v>
      </c>
      <c r="EW29" s="2">
        <v>10.82</v>
      </c>
      <c r="EX29" s="2">
        <v>0</v>
      </c>
      <c r="EY29" s="2">
        <v>0</v>
      </c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v>0</v>
      </c>
      <c r="FS29" s="2">
        <v>0</v>
      </c>
      <c r="FT29" s="2"/>
      <c r="FU29" s="2"/>
      <c r="FV29" s="2"/>
      <c r="FW29" s="2"/>
      <c r="FX29" s="2">
        <v>70</v>
      </c>
      <c r="FY29" s="2">
        <v>10</v>
      </c>
      <c r="FZ29" s="2"/>
      <c r="GA29" s="2" t="s">
        <v>3</v>
      </c>
      <c r="GB29" s="2"/>
      <c r="GC29" s="2"/>
      <c r="GD29" s="2">
        <v>0</v>
      </c>
      <c r="GE29" s="2"/>
      <c r="GF29" s="2">
        <v>1302439186</v>
      </c>
      <c r="GG29" s="2">
        <v>2</v>
      </c>
      <c r="GH29" s="2">
        <v>1</v>
      </c>
      <c r="GI29" s="2">
        <v>-2</v>
      </c>
      <c r="GJ29" s="2">
        <v>0</v>
      </c>
      <c r="GK29" s="2">
        <f>ROUND(R29*(R12)/100,2)</f>
        <v>0</v>
      </c>
      <c r="GL29" s="2">
        <f>ROUND(IF(AND(BH29=3,BI29=3,FS29&lt;&gt;0),P29,0),2)</f>
        <v>0</v>
      </c>
      <c r="GM29" s="2">
        <f>ROUND(O29+X29+Y29+GK29,2)+GX29</f>
        <v>152371.79</v>
      </c>
      <c r="GN29" s="2">
        <f>IF(OR(BI29=0,BI29=1),GM29-GX29,0)</f>
        <v>0</v>
      </c>
      <c r="GO29" s="2">
        <f>IF(BI29=2,GM29-GX29,0)</f>
        <v>0</v>
      </c>
      <c r="GP29" s="2">
        <f>IF(BI29=4,GM29-GX29,0)</f>
        <v>152371.79</v>
      </c>
      <c r="GQ29" s="2"/>
      <c r="GR29" s="2">
        <v>0</v>
      </c>
      <c r="GS29" s="2">
        <v>0</v>
      </c>
      <c r="GT29" s="2">
        <v>0</v>
      </c>
      <c r="GU29" s="2" t="s">
        <v>3</v>
      </c>
      <c r="GV29" s="2">
        <f>ROUND((GT29),6)</f>
        <v>0</v>
      </c>
      <c r="GW29" s="2">
        <v>1</v>
      </c>
      <c r="GX29" s="2">
        <f>ROUND(HC29*I29,2)</f>
        <v>0</v>
      </c>
      <c r="GY29" s="2"/>
      <c r="GZ29" s="2"/>
      <c r="HA29" s="2">
        <v>0</v>
      </c>
      <c r="HB29" s="2">
        <v>0</v>
      </c>
      <c r="HC29" s="2">
        <f>GV29*GW29</f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3</v>
      </c>
      <c r="HO29" s="2" t="s">
        <v>3</v>
      </c>
      <c r="HP29" s="2" t="s">
        <v>3</v>
      </c>
      <c r="HQ29" s="2" t="s">
        <v>3</v>
      </c>
      <c r="HR29" s="2"/>
      <c r="HS29" s="2">
        <v>0</v>
      </c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x14ac:dyDescent="0.2">
      <c r="A30" s="2">
        <v>17</v>
      </c>
      <c r="B30" s="2">
        <v>1</v>
      </c>
      <c r="C30" s="2"/>
      <c r="D30" s="2"/>
      <c r="E30" s="2" t="s">
        <v>28</v>
      </c>
      <c r="F30" s="2" t="s">
        <v>29</v>
      </c>
      <c r="G30" s="2" t="s">
        <v>30</v>
      </c>
      <c r="H30" s="2" t="s">
        <v>26</v>
      </c>
      <c r="I30" s="2">
        <f>ROUND(80.6/10,9)</f>
        <v>8.06</v>
      </c>
      <c r="J30" s="2">
        <v>0</v>
      </c>
      <c r="K30" s="2">
        <f>ROUND(80.6/10,9)</f>
        <v>8.06</v>
      </c>
      <c r="L30" s="2"/>
      <c r="M30" s="2"/>
      <c r="N30" s="2"/>
      <c r="O30" s="2">
        <f>ROUND(CP30,2)</f>
        <v>60107.53</v>
      </c>
      <c r="P30" s="2">
        <f>ROUND(CQ30*I30,2)</f>
        <v>5204.5</v>
      </c>
      <c r="Q30" s="2">
        <f>ROUND(CR30*I30,2)</f>
        <v>0</v>
      </c>
      <c r="R30" s="2">
        <f>ROUND(CS30*I30,2)</f>
        <v>0</v>
      </c>
      <c r="S30" s="2">
        <f>ROUND(CT30*I30,2)</f>
        <v>54903.03</v>
      </c>
      <c r="T30" s="2">
        <f>ROUND(CU30*I30,2)</f>
        <v>0</v>
      </c>
      <c r="U30" s="2">
        <f>CV30*I30</f>
        <v>71.734000000000009</v>
      </c>
      <c r="V30" s="2">
        <f>CW30*I30</f>
        <v>0</v>
      </c>
      <c r="W30" s="2">
        <f>ROUND(CX30*I30,2)</f>
        <v>0</v>
      </c>
      <c r="X30" s="2">
        <f t="shared" si="21"/>
        <v>38432.120000000003</v>
      </c>
      <c r="Y30" s="2">
        <f t="shared" si="21"/>
        <v>5490.3</v>
      </c>
      <c r="Z30" s="2"/>
      <c r="AA30" s="2">
        <v>61825561</v>
      </c>
      <c r="AB30" s="2">
        <f>ROUND((AC30+AD30+AF30),6)</f>
        <v>7457.51</v>
      </c>
      <c r="AC30" s="2">
        <f>ROUND((ES30),6)</f>
        <v>645.72</v>
      </c>
      <c r="AD30" s="2">
        <f>ROUND((((ET30)-(EU30))+AE30),6)</f>
        <v>0</v>
      </c>
      <c r="AE30" s="2">
        <f t="shared" si="22"/>
        <v>0</v>
      </c>
      <c r="AF30" s="2">
        <f t="shared" si="22"/>
        <v>6811.79</v>
      </c>
      <c r="AG30" s="2">
        <f>ROUND((AP30),6)</f>
        <v>0</v>
      </c>
      <c r="AH30" s="2">
        <f t="shared" si="23"/>
        <v>8.9</v>
      </c>
      <c r="AI30" s="2">
        <f t="shared" si="23"/>
        <v>0</v>
      </c>
      <c r="AJ30" s="2">
        <f>(AS30)</f>
        <v>0</v>
      </c>
      <c r="AK30" s="2">
        <v>7457.51</v>
      </c>
      <c r="AL30" s="2">
        <v>645.72</v>
      </c>
      <c r="AM30" s="2">
        <v>0</v>
      </c>
      <c r="AN30" s="2">
        <v>0</v>
      </c>
      <c r="AO30" s="2">
        <v>6811.79</v>
      </c>
      <c r="AP30" s="2">
        <v>0</v>
      </c>
      <c r="AQ30" s="2">
        <v>8.9</v>
      </c>
      <c r="AR30" s="2">
        <v>0</v>
      </c>
      <c r="AS30" s="2">
        <v>0</v>
      </c>
      <c r="AT30" s="2">
        <v>70</v>
      </c>
      <c r="AU30" s="2">
        <v>10</v>
      </c>
      <c r="AV30" s="2">
        <v>1</v>
      </c>
      <c r="AW30" s="2">
        <v>1</v>
      </c>
      <c r="AX30" s="2"/>
      <c r="AY30" s="2"/>
      <c r="AZ30" s="2">
        <v>1</v>
      </c>
      <c r="BA30" s="2">
        <v>1</v>
      </c>
      <c r="BB30" s="2">
        <v>1</v>
      </c>
      <c r="BC30" s="2">
        <v>1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0</v>
      </c>
      <c r="BI30" s="2">
        <v>4</v>
      </c>
      <c r="BJ30" s="2" t="s">
        <v>31</v>
      </c>
      <c r="BK30" s="2"/>
      <c r="BL30" s="2"/>
      <c r="BM30" s="2">
        <v>0</v>
      </c>
      <c r="BN30" s="2">
        <v>0</v>
      </c>
      <c r="BO30" s="2" t="s">
        <v>3</v>
      </c>
      <c r="BP30" s="2">
        <v>0</v>
      </c>
      <c r="BQ30" s="2">
        <v>1</v>
      </c>
      <c r="BR30" s="2">
        <v>0</v>
      </c>
      <c r="BS30" s="2">
        <v>1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70</v>
      </c>
      <c r="CA30" s="2">
        <v>10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/>
      <c r="CI30" s="2"/>
      <c r="CJ30" s="2"/>
      <c r="CK30" s="2"/>
      <c r="CL30" s="2"/>
      <c r="CM30" s="2">
        <v>0</v>
      </c>
      <c r="CN30" s="2" t="s">
        <v>3</v>
      </c>
      <c r="CO30" s="2">
        <v>0</v>
      </c>
      <c r="CP30" s="2">
        <f>(P30+Q30+S30)</f>
        <v>60107.53</v>
      </c>
      <c r="CQ30" s="2">
        <f>(AC30*BC30*AW30)</f>
        <v>645.72</v>
      </c>
      <c r="CR30" s="2">
        <f>((((ET30)*BB30-(EU30)*BS30)+AE30*BS30)*AV30)</f>
        <v>0</v>
      </c>
      <c r="CS30" s="2">
        <f>(AE30*BS30*AV30)</f>
        <v>0</v>
      </c>
      <c r="CT30" s="2">
        <f>(AF30*BA30*AV30)</f>
        <v>6811.79</v>
      </c>
      <c r="CU30" s="2">
        <f>AG30</f>
        <v>0</v>
      </c>
      <c r="CV30" s="2">
        <f>(AH30*AV30)</f>
        <v>8.9</v>
      </c>
      <c r="CW30" s="2">
        <f t="shared" si="24"/>
        <v>0</v>
      </c>
      <c r="CX30" s="2">
        <f t="shared" si="24"/>
        <v>0</v>
      </c>
      <c r="CY30" s="2">
        <f>((S30*BZ30)/100)</f>
        <v>38432.120999999999</v>
      </c>
      <c r="CZ30" s="2">
        <f>((S30*CA30)/100)</f>
        <v>5490.3030000000008</v>
      </c>
      <c r="DA30" s="2"/>
      <c r="DB30" s="2"/>
      <c r="DC30" s="2" t="s">
        <v>3</v>
      </c>
      <c r="DD30" s="2" t="s">
        <v>3</v>
      </c>
      <c r="DE30" s="2" t="s">
        <v>3</v>
      </c>
      <c r="DF30" s="2" t="s">
        <v>3</v>
      </c>
      <c r="DG30" s="2" t="s">
        <v>3</v>
      </c>
      <c r="DH30" s="2" t="s">
        <v>3</v>
      </c>
      <c r="DI30" s="2" t="s">
        <v>3</v>
      </c>
      <c r="DJ30" s="2" t="s">
        <v>3</v>
      </c>
      <c r="DK30" s="2" t="s">
        <v>3</v>
      </c>
      <c r="DL30" s="2" t="s">
        <v>3</v>
      </c>
      <c r="DM30" s="2" t="s">
        <v>3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1005</v>
      </c>
      <c r="DV30" s="2" t="s">
        <v>26</v>
      </c>
      <c r="DW30" s="2" t="s">
        <v>26</v>
      </c>
      <c r="DX30" s="2">
        <v>10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61266886</v>
      </c>
      <c r="EF30" s="2">
        <v>1</v>
      </c>
      <c r="EG30" s="2" t="s">
        <v>20</v>
      </c>
      <c r="EH30" s="2">
        <v>0</v>
      </c>
      <c r="EI30" s="2" t="s">
        <v>3</v>
      </c>
      <c r="EJ30" s="2">
        <v>4</v>
      </c>
      <c r="EK30" s="2">
        <v>0</v>
      </c>
      <c r="EL30" s="2" t="s">
        <v>21</v>
      </c>
      <c r="EM30" s="2" t="s">
        <v>22</v>
      </c>
      <c r="EN30" s="2"/>
      <c r="EO30" s="2" t="s">
        <v>3</v>
      </c>
      <c r="EP30" s="2"/>
      <c r="EQ30" s="2">
        <v>0</v>
      </c>
      <c r="ER30" s="2">
        <v>7457.51</v>
      </c>
      <c r="ES30" s="2">
        <v>645.72</v>
      </c>
      <c r="ET30" s="2">
        <v>0</v>
      </c>
      <c r="EU30" s="2">
        <v>0</v>
      </c>
      <c r="EV30" s="2">
        <v>6811.79</v>
      </c>
      <c r="EW30" s="2">
        <v>8.9</v>
      </c>
      <c r="EX30" s="2">
        <v>0</v>
      </c>
      <c r="EY30" s="2">
        <v>0</v>
      </c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v>0</v>
      </c>
      <c r="FS30" s="2">
        <v>0</v>
      </c>
      <c r="FT30" s="2"/>
      <c r="FU30" s="2"/>
      <c r="FV30" s="2"/>
      <c r="FW30" s="2"/>
      <c r="FX30" s="2">
        <v>70</v>
      </c>
      <c r="FY30" s="2">
        <v>10</v>
      </c>
      <c r="FZ30" s="2"/>
      <c r="GA30" s="2" t="s">
        <v>3</v>
      </c>
      <c r="GB30" s="2"/>
      <c r="GC30" s="2"/>
      <c r="GD30" s="2">
        <v>0</v>
      </c>
      <c r="GE30" s="2"/>
      <c r="GF30" s="2">
        <v>-81775314</v>
      </c>
      <c r="GG30" s="2">
        <v>2</v>
      </c>
      <c r="GH30" s="2">
        <v>1</v>
      </c>
      <c r="GI30" s="2">
        <v>-2</v>
      </c>
      <c r="GJ30" s="2">
        <v>0</v>
      </c>
      <c r="GK30" s="2">
        <f>ROUND(R30*(R12)/100,2)</f>
        <v>0</v>
      </c>
      <c r="GL30" s="2">
        <f>ROUND(IF(AND(BH30=3,BI30=3,FS30&lt;&gt;0),P30,0),2)</f>
        <v>0</v>
      </c>
      <c r="GM30" s="2">
        <f>ROUND(O30+X30+Y30+GK30,2)+GX30</f>
        <v>104029.95</v>
      </c>
      <c r="GN30" s="2">
        <f>IF(OR(BI30=0,BI30=1),GM30-GX30,0)</f>
        <v>0</v>
      </c>
      <c r="GO30" s="2">
        <f>IF(BI30=2,GM30-GX30,0)</f>
        <v>0</v>
      </c>
      <c r="GP30" s="2">
        <f>IF(BI30=4,GM30-GX30,0)</f>
        <v>104029.95</v>
      </c>
      <c r="GQ30" s="2"/>
      <c r="GR30" s="2">
        <v>0</v>
      </c>
      <c r="GS30" s="2">
        <v>0</v>
      </c>
      <c r="GT30" s="2">
        <v>0</v>
      </c>
      <c r="GU30" s="2" t="s">
        <v>3</v>
      </c>
      <c r="GV30" s="2">
        <f>ROUND((GT30),6)</f>
        <v>0</v>
      </c>
      <c r="GW30" s="2">
        <v>1</v>
      </c>
      <c r="GX30" s="2">
        <f>ROUND(HC30*I30,2)</f>
        <v>0</v>
      </c>
      <c r="GY30" s="2"/>
      <c r="GZ30" s="2"/>
      <c r="HA30" s="2">
        <v>0</v>
      </c>
      <c r="HB30" s="2">
        <v>0</v>
      </c>
      <c r="HC30" s="2">
        <f>GV30*GW30</f>
        <v>0</v>
      </c>
      <c r="HD30" s="2"/>
      <c r="HE30" s="2" t="s">
        <v>3</v>
      </c>
      <c r="HF30" s="2" t="s">
        <v>3</v>
      </c>
      <c r="HG30" s="2"/>
      <c r="HH30" s="2"/>
      <c r="HI30" s="2"/>
      <c r="HJ30" s="2"/>
      <c r="HK30" s="2"/>
      <c r="HL30" s="2"/>
      <c r="HM30" s="2" t="s">
        <v>3</v>
      </c>
      <c r="HN30" s="2" t="s">
        <v>3</v>
      </c>
      <c r="HO30" s="2" t="s">
        <v>3</v>
      </c>
      <c r="HP30" s="2" t="s">
        <v>3</v>
      </c>
      <c r="HQ30" s="2" t="s">
        <v>3</v>
      </c>
      <c r="HR30" s="2"/>
      <c r="HS30" s="2">
        <v>0</v>
      </c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x14ac:dyDescent="0.2">
      <c r="A31" s="2">
        <v>17</v>
      </c>
      <c r="B31" s="2">
        <v>1</v>
      </c>
      <c r="C31" s="2"/>
      <c r="D31" s="2"/>
      <c r="E31" s="2" t="s">
        <v>32</v>
      </c>
      <c r="F31" s="2" t="s">
        <v>33</v>
      </c>
      <c r="G31" s="2" t="s">
        <v>34</v>
      </c>
      <c r="H31" s="2" t="s">
        <v>35</v>
      </c>
      <c r="I31" s="2">
        <v>5</v>
      </c>
      <c r="J31" s="2">
        <v>0</v>
      </c>
      <c r="K31" s="2">
        <v>5</v>
      </c>
      <c r="L31" s="2"/>
      <c r="M31" s="2"/>
      <c r="N31" s="2"/>
      <c r="O31" s="2">
        <f>ROUND(CP31,2)</f>
        <v>7001.45</v>
      </c>
      <c r="P31" s="2">
        <f>ROUND(CQ31*I31,2)</f>
        <v>5008.5</v>
      </c>
      <c r="Q31" s="2">
        <f>ROUND(CR31*I31,2)</f>
        <v>10.8</v>
      </c>
      <c r="R31" s="2">
        <f>ROUND(CS31*I31,2)</f>
        <v>0.05</v>
      </c>
      <c r="S31" s="2">
        <f>ROUND(CT31*I31,2)</f>
        <v>1982.15</v>
      </c>
      <c r="T31" s="2">
        <f>ROUND(CU31*I31,2)</f>
        <v>0</v>
      </c>
      <c r="U31" s="2">
        <f>CV31*I31</f>
        <v>3.4000000000000004</v>
      </c>
      <c r="V31" s="2">
        <f>CW31*I31</f>
        <v>0</v>
      </c>
      <c r="W31" s="2">
        <f>ROUND(CX31*I31,2)</f>
        <v>0</v>
      </c>
      <c r="X31" s="2">
        <f t="shared" si="21"/>
        <v>1387.51</v>
      </c>
      <c r="Y31" s="2">
        <f t="shared" si="21"/>
        <v>198.22</v>
      </c>
      <c r="Z31" s="2"/>
      <c r="AA31" s="2">
        <v>61825561</v>
      </c>
      <c r="AB31" s="2">
        <f>ROUND((AC31+AD31+AF31),6)</f>
        <v>1400.29</v>
      </c>
      <c r="AC31" s="2">
        <f>ROUND((ES31),6)</f>
        <v>1001.7</v>
      </c>
      <c r="AD31" s="2">
        <f>ROUND((((ET31)-(EU31))+AE31),6)</f>
        <v>2.16</v>
      </c>
      <c r="AE31" s="2">
        <f t="shared" si="22"/>
        <v>0.01</v>
      </c>
      <c r="AF31" s="2">
        <f t="shared" si="22"/>
        <v>396.43</v>
      </c>
      <c r="AG31" s="2">
        <f>ROUND((AP31),6)</f>
        <v>0</v>
      </c>
      <c r="AH31" s="2">
        <f t="shared" si="23"/>
        <v>0.68</v>
      </c>
      <c r="AI31" s="2">
        <f t="shared" si="23"/>
        <v>0</v>
      </c>
      <c r="AJ31" s="2">
        <f>(AS31)</f>
        <v>0</v>
      </c>
      <c r="AK31" s="2">
        <v>1400.29</v>
      </c>
      <c r="AL31" s="2">
        <v>1001.7</v>
      </c>
      <c r="AM31" s="2">
        <v>2.16</v>
      </c>
      <c r="AN31" s="2">
        <v>0.01</v>
      </c>
      <c r="AO31" s="2">
        <v>396.43</v>
      </c>
      <c r="AP31" s="2">
        <v>0</v>
      </c>
      <c r="AQ31" s="2">
        <v>0.68</v>
      </c>
      <c r="AR31" s="2">
        <v>0</v>
      </c>
      <c r="AS31" s="2">
        <v>0</v>
      </c>
      <c r="AT31" s="2">
        <v>70</v>
      </c>
      <c r="AU31" s="2">
        <v>10</v>
      </c>
      <c r="AV31" s="2">
        <v>1</v>
      </c>
      <c r="AW31" s="2">
        <v>1</v>
      </c>
      <c r="AX31" s="2"/>
      <c r="AY31" s="2"/>
      <c r="AZ31" s="2">
        <v>1</v>
      </c>
      <c r="BA31" s="2">
        <v>1</v>
      </c>
      <c r="BB31" s="2">
        <v>1</v>
      </c>
      <c r="BC31" s="2">
        <v>1</v>
      </c>
      <c r="BD31" s="2" t="s">
        <v>3</v>
      </c>
      <c r="BE31" s="2" t="s">
        <v>3</v>
      </c>
      <c r="BF31" s="2" t="s">
        <v>3</v>
      </c>
      <c r="BG31" s="2" t="s">
        <v>3</v>
      </c>
      <c r="BH31" s="2">
        <v>0</v>
      </c>
      <c r="BI31" s="2">
        <v>4</v>
      </c>
      <c r="BJ31" s="2" t="s">
        <v>36</v>
      </c>
      <c r="BK31" s="2"/>
      <c r="BL31" s="2"/>
      <c r="BM31" s="2">
        <v>0</v>
      </c>
      <c r="BN31" s="2">
        <v>0</v>
      </c>
      <c r="BO31" s="2" t="s">
        <v>3</v>
      </c>
      <c r="BP31" s="2">
        <v>0</v>
      </c>
      <c r="BQ31" s="2">
        <v>1</v>
      </c>
      <c r="BR31" s="2">
        <v>0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 t="s">
        <v>3</v>
      </c>
      <c r="BZ31" s="2">
        <v>70</v>
      </c>
      <c r="CA31" s="2">
        <v>10</v>
      </c>
      <c r="CB31" s="2" t="s">
        <v>3</v>
      </c>
      <c r="CC31" s="2"/>
      <c r="CD31" s="2"/>
      <c r="CE31" s="2">
        <v>0</v>
      </c>
      <c r="CF31" s="2">
        <v>0</v>
      </c>
      <c r="CG31" s="2">
        <v>0</v>
      </c>
      <c r="CH31" s="2"/>
      <c r="CI31" s="2"/>
      <c r="CJ31" s="2"/>
      <c r="CK31" s="2"/>
      <c r="CL31" s="2"/>
      <c r="CM31" s="2">
        <v>0</v>
      </c>
      <c r="CN31" s="2" t="s">
        <v>3</v>
      </c>
      <c r="CO31" s="2">
        <v>0</v>
      </c>
      <c r="CP31" s="2">
        <f>(P31+Q31+S31)</f>
        <v>7001.4500000000007</v>
      </c>
      <c r="CQ31" s="2">
        <f>(AC31*BC31*AW31)</f>
        <v>1001.7</v>
      </c>
      <c r="CR31" s="2">
        <f>((((ET31)*BB31-(EU31)*BS31)+AE31*BS31)*AV31)</f>
        <v>2.16</v>
      </c>
      <c r="CS31" s="2">
        <f>(AE31*BS31*AV31)</f>
        <v>0.01</v>
      </c>
      <c r="CT31" s="2">
        <f>(AF31*BA31*AV31)</f>
        <v>396.43</v>
      </c>
      <c r="CU31" s="2">
        <f>AG31</f>
        <v>0</v>
      </c>
      <c r="CV31" s="2">
        <f>(AH31*AV31)</f>
        <v>0.68</v>
      </c>
      <c r="CW31" s="2">
        <f t="shared" si="24"/>
        <v>0</v>
      </c>
      <c r="CX31" s="2">
        <f t="shared" si="24"/>
        <v>0</v>
      </c>
      <c r="CY31" s="2">
        <f>((S31*BZ31)/100)</f>
        <v>1387.5050000000001</v>
      </c>
      <c r="CZ31" s="2">
        <f>((S31*CA31)/100)</f>
        <v>198.215</v>
      </c>
      <c r="DA31" s="2"/>
      <c r="DB31" s="2"/>
      <c r="DC31" s="2" t="s">
        <v>3</v>
      </c>
      <c r="DD31" s="2" t="s">
        <v>3</v>
      </c>
      <c r="DE31" s="2" t="s">
        <v>3</v>
      </c>
      <c r="DF31" s="2" t="s">
        <v>3</v>
      </c>
      <c r="DG31" s="2" t="s">
        <v>3</v>
      </c>
      <c r="DH31" s="2" t="s">
        <v>3</v>
      </c>
      <c r="DI31" s="2" t="s">
        <v>3</v>
      </c>
      <c r="DJ31" s="2" t="s">
        <v>3</v>
      </c>
      <c r="DK31" s="2" t="s">
        <v>3</v>
      </c>
      <c r="DL31" s="2" t="s">
        <v>3</v>
      </c>
      <c r="DM31" s="2" t="s">
        <v>3</v>
      </c>
      <c r="DN31" s="2">
        <v>0</v>
      </c>
      <c r="DO31" s="2">
        <v>0</v>
      </c>
      <c r="DP31" s="2">
        <v>1</v>
      </c>
      <c r="DQ31" s="2">
        <v>1</v>
      </c>
      <c r="DR31" s="2"/>
      <c r="DS31" s="2"/>
      <c r="DT31" s="2"/>
      <c r="DU31" s="2">
        <v>1010</v>
      </c>
      <c r="DV31" s="2" t="s">
        <v>35</v>
      </c>
      <c r="DW31" s="2" t="s">
        <v>35</v>
      </c>
      <c r="DX31" s="2">
        <v>1</v>
      </c>
      <c r="DY31" s="2"/>
      <c r="DZ31" s="2" t="s">
        <v>3</v>
      </c>
      <c r="EA31" s="2" t="s">
        <v>3</v>
      </c>
      <c r="EB31" s="2" t="s">
        <v>3</v>
      </c>
      <c r="EC31" s="2" t="s">
        <v>3</v>
      </c>
      <c r="ED31" s="2"/>
      <c r="EE31" s="2">
        <v>61266886</v>
      </c>
      <c r="EF31" s="2">
        <v>1</v>
      </c>
      <c r="EG31" s="2" t="s">
        <v>20</v>
      </c>
      <c r="EH31" s="2">
        <v>0</v>
      </c>
      <c r="EI31" s="2" t="s">
        <v>3</v>
      </c>
      <c r="EJ31" s="2">
        <v>4</v>
      </c>
      <c r="EK31" s="2">
        <v>0</v>
      </c>
      <c r="EL31" s="2" t="s">
        <v>21</v>
      </c>
      <c r="EM31" s="2" t="s">
        <v>22</v>
      </c>
      <c r="EN31" s="2"/>
      <c r="EO31" s="2" t="s">
        <v>3</v>
      </c>
      <c r="EP31" s="2"/>
      <c r="EQ31" s="2">
        <v>0</v>
      </c>
      <c r="ER31" s="2">
        <v>1400.29</v>
      </c>
      <c r="ES31" s="2">
        <v>1001.7</v>
      </c>
      <c r="ET31" s="2">
        <v>2.16</v>
      </c>
      <c r="EU31" s="2">
        <v>0.01</v>
      </c>
      <c r="EV31" s="2">
        <v>396.43</v>
      </c>
      <c r="EW31" s="2">
        <v>0.68</v>
      </c>
      <c r="EX31" s="2">
        <v>0</v>
      </c>
      <c r="EY31" s="2">
        <v>0</v>
      </c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>
        <v>0</v>
      </c>
      <c r="FR31" s="2">
        <v>0</v>
      </c>
      <c r="FS31" s="2">
        <v>0</v>
      </c>
      <c r="FT31" s="2"/>
      <c r="FU31" s="2"/>
      <c r="FV31" s="2"/>
      <c r="FW31" s="2"/>
      <c r="FX31" s="2">
        <v>70</v>
      </c>
      <c r="FY31" s="2">
        <v>10</v>
      </c>
      <c r="FZ31" s="2"/>
      <c r="GA31" s="2" t="s">
        <v>3</v>
      </c>
      <c r="GB31" s="2"/>
      <c r="GC31" s="2"/>
      <c r="GD31" s="2">
        <v>0</v>
      </c>
      <c r="GE31" s="2"/>
      <c r="GF31" s="2">
        <v>1500287194</v>
      </c>
      <c r="GG31" s="2">
        <v>2</v>
      </c>
      <c r="GH31" s="2">
        <v>1</v>
      </c>
      <c r="GI31" s="2">
        <v>-2</v>
      </c>
      <c r="GJ31" s="2">
        <v>0</v>
      </c>
      <c r="GK31" s="2">
        <f>ROUND(R31*(R12)/100,2)</f>
        <v>0.06</v>
      </c>
      <c r="GL31" s="2">
        <f>ROUND(IF(AND(BH31=3,BI31=3,FS31&lt;&gt;0),P31,0),2)</f>
        <v>0</v>
      </c>
      <c r="GM31" s="2">
        <f>ROUND(O31+X31+Y31+GK31,2)+GX31</f>
        <v>8587.24</v>
      </c>
      <c r="GN31" s="2">
        <f>IF(OR(BI31=0,BI31=1),GM31-GX31,0)</f>
        <v>0</v>
      </c>
      <c r="GO31" s="2">
        <f>IF(BI31=2,GM31-GX31,0)</f>
        <v>0</v>
      </c>
      <c r="GP31" s="2">
        <f>IF(BI31=4,GM31-GX31,0)</f>
        <v>8587.24</v>
      </c>
      <c r="GQ31" s="2"/>
      <c r="GR31" s="2">
        <v>0</v>
      </c>
      <c r="GS31" s="2">
        <v>0</v>
      </c>
      <c r="GT31" s="2">
        <v>0</v>
      </c>
      <c r="GU31" s="2" t="s">
        <v>3</v>
      </c>
      <c r="GV31" s="2">
        <f>ROUND((GT31),6)</f>
        <v>0</v>
      </c>
      <c r="GW31" s="2">
        <v>1</v>
      </c>
      <c r="GX31" s="2">
        <f>ROUND(HC31*I31,2)</f>
        <v>0</v>
      </c>
      <c r="GY31" s="2"/>
      <c r="GZ31" s="2"/>
      <c r="HA31" s="2">
        <v>0</v>
      </c>
      <c r="HB31" s="2">
        <v>0</v>
      </c>
      <c r="HC31" s="2">
        <f>GV31*GW31</f>
        <v>0</v>
      </c>
      <c r="HD31" s="2"/>
      <c r="HE31" s="2" t="s">
        <v>3</v>
      </c>
      <c r="HF31" s="2" t="s">
        <v>3</v>
      </c>
      <c r="HG31" s="2"/>
      <c r="HH31" s="2"/>
      <c r="HI31" s="2"/>
      <c r="HJ31" s="2"/>
      <c r="HK31" s="2"/>
      <c r="HL31" s="2"/>
      <c r="HM31" s="2" t="s">
        <v>3</v>
      </c>
      <c r="HN31" s="2" t="s">
        <v>3</v>
      </c>
      <c r="HO31" s="2" t="s">
        <v>3</v>
      </c>
      <c r="HP31" s="2" t="s">
        <v>3</v>
      </c>
      <c r="HQ31" s="2" t="s">
        <v>3</v>
      </c>
      <c r="HR31" s="2"/>
      <c r="HS31" s="2">
        <v>0</v>
      </c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>
        <v>0</v>
      </c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 x14ac:dyDescent="0.2">
      <c r="A32" s="2">
        <v>17</v>
      </c>
      <c r="B32" s="2">
        <v>1</v>
      </c>
      <c r="C32" s="2">
        <f>ROW(SmtRes!A3)</f>
        <v>3</v>
      </c>
      <c r="D32" s="2">
        <f>ROW(EtalonRes!A3)</f>
        <v>3</v>
      </c>
      <c r="E32" s="2" t="s">
        <v>37</v>
      </c>
      <c r="F32" s="2" t="s">
        <v>38</v>
      </c>
      <c r="G32" s="2" t="s">
        <v>39</v>
      </c>
      <c r="H32" s="2" t="s">
        <v>18</v>
      </c>
      <c r="I32" s="2">
        <f>ROUND(8/100,9)</f>
        <v>0.08</v>
      </c>
      <c r="J32" s="2">
        <v>0</v>
      </c>
      <c r="K32" s="2">
        <f>ROUND(8/100,9)</f>
        <v>0.08</v>
      </c>
      <c r="L32" s="2"/>
      <c r="M32" s="2"/>
      <c r="N32" s="2"/>
      <c r="O32" s="2">
        <f>ROUND(CP32,2)</f>
        <v>1915.74</v>
      </c>
      <c r="P32" s="2">
        <f>ROUND(CQ32*I32,2)</f>
        <v>415.4</v>
      </c>
      <c r="Q32" s="2">
        <f>ROUND(CR32*I32,2)</f>
        <v>0</v>
      </c>
      <c r="R32" s="2">
        <f>ROUND(CS32*I32,2)</f>
        <v>0</v>
      </c>
      <c r="S32" s="2">
        <f>ROUND(CT32*I32,2)</f>
        <v>1500.34</v>
      </c>
      <c r="T32" s="2">
        <f>ROUND(CU32*I32,2)</f>
        <v>0</v>
      </c>
      <c r="U32" s="2">
        <f>CV32*I32</f>
        <v>2.1840000000000002</v>
      </c>
      <c r="V32" s="2">
        <f>CW32*I32</f>
        <v>0</v>
      </c>
      <c r="W32" s="2">
        <f>ROUND(CX32*I32,2)</f>
        <v>0</v>
      </c>
      <c r="X32" s="2">
        <f t="shared" si="21"/>
        <v>1050.24</v>
      </c>
      <c r="Y32" s="2">
        <f t="shared" si="21"/>
        <v>150.03</v>
      </c>
      <c r="Z32" s="2"/>
      <c r="AA32" s="2">
        <v>61825561</v>
      </c>
      <c r="AB32" s="2">
        <f>ROUND((AC32+AD32+AF32),6)</f>
        <v>23946.82</v>
      </c>
      <c r="AC32" s="2">
        <f>ROUND((ES32),6)</f>
        <v>5192.54</v>
      </c>
      <c r="AD32" s="2">
        <f>ROUND((((ET32)-(EU32))+AE32),6)</f>
        <v>0</v>
      </c>
      <c r="AE32" s="2">
        <f t="shared" si="22"/>
        <v>0</v>
      </c>
      <c r="AF32" s="2">
        <f t="shared" si="22"/>
        <v>18754.28</v>
      </c>
      <c r="AG32" s="2">
        <f>ROUND((AP32),6)</f>
        <v>0</v>
      </c>
      <c r="AH32" s="2">
        <f t="shared" si="23"/>
        <v>27.3</v>
      </c>
      <c r="AI32" s="2">
        <f t="shared" si="23"/>
        <v>0</v>
      </c>
      <c r="AJ32" s="2">
        <f>(AS32)</f>
        <v>0</v>
      </c>
      <c r="AK32" s="2">
        <v>23946.82</v>
      </c>
      <c r="AL32" s="2">
        <v>5192.54</v>
      </c>
      <c r="AM32" s="2">
        <v>0</v>
      </c>
      <c r="AN32" s="2">
        <v>0</v>
      </c>
      <c r="AO32" s="2">
        <v>18754.28</v>
      </c>
      <c r="AP32" s="2">
        <v>0</v>
      </c>
      <c r="AQ32" s="2">
        <v>27.3</v>
      </c>
      <c r="AR32" s="2">
        <v>0</v>
      </c>
      <c r="AS32" s="2">
        <v>0</v>
      </c>
      <c r="AT32" s="2">
        <v>70</v>
      </c>
      <c r="AU32" s="2">
        <v>10</v>
      </c>
      <c r="AV32" s="2">
        <v>1</v>
      </c>
      <c r="AW32" s="2">
        <v>1</v>
      </c>
      <c r="AX32" s="2"/>
      <c r="AY32" s="2"/>
      <c r="AZ32" s="2">
        <v>1</v>
      </c>
      <c r="BA32" s="2">
        <v>1</v>
      </c>
      <c r="BB32" s="2">
        <v>1</v>
      </c>
      <c r="BC32" s="2">
        <v>1</v>
      </c>
      <c r="BD32" s="2" t="s">
        <v>3</v>
      </c>
      <c r="BE32" s="2" t="s">
        <v>3</v>
      </c>
      <c r="BF32" s="2" t="s">
        <v>3</v>
      </c>
      <c r="BG32" s="2" t="s">
        <v>3</v>
      </c>
      <c r="BH32" s="2">
        <v>0</v>
      </c>
      <c r="BI32" s="2">
        <v>4</v>
      </c>
      <c r="BJ32" s="2" t="s">
        <v>40</v>
      </c>
      <c r="BK32" s="2"/>
      <c r="BL32" s="2"/>
      <c r="BM32" s="2">
        <v>0</v>
      </c>
      <c r="BN32" s="2">
        <v>0</v>
      </c>
      <c r="BO32" s="2" t="s">
        <v>3</v>
      </c>
      <c r="BP32" s="2">
        <v>0</v>
      </c>
      <c r="BQ32" s="2">
        <v>1</v>
      </c>
      <c r="BR32" s="2">
        <v>0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 t="s">
        <v>3</v>
      </c>
      <c r="BZ32" s="2">
        <v>70</v>
      </c>
      <c r="CA32" s="2">
        <v>10</v>
      </c>
      <c r="CB32" s="2" t="s">
        <v>3</v>
      </c>
      <c r="CC32" s="2"/>
      <c r="CD32" s="2"/>
      <c r="CE32" s="2">
        <v>0</v>
      </c>
      <c r="CF32" s="2">
        <v>0</v>
      </c>
      <c r="CG32" s="2">
        <v>0</v>
      </c>
      <c r="CH32" s="2"/>
      <c r="CI32" s="2"/>
      <c r="CJ32" s="2"/>
      <c r="CK32" s="2"/>
      <c r="CL32" s="2"/>
      <c r="CM32" s="2">
        <v>0</v>
      </c>
      <c r="CN32" s="2" t="s">
        <v>3</v>
      </c>
      <c r="CO32" s="2">
        <v>0</v>
      </c>
      <c r="CP32" s="2">
        <f>(P32+Q32+S32)</f>
        <v>1915.7399999999998</v>
      </c>
      <c r="CQ32" s="2">
        <f>(AC32*BC32*AW32)</f>
        <v>5192.54</v>
      </c>
      <c r="CR32" s="2">
        <f>((((ET32)*BB32-(EU32)*BS32)+AE32*BS32)*AV32)</f>
        <v>0</v>
      </c>
      <c r="CS32" s="2">
        <f>(AE32*BS32*AV32)</f>
        <v>0</v>
      </c>
      <c r="CT32" s="2">
        <f>(AF32*BA32*AV32)</f>
        <v>18754.28</v>
      </c>
      <c r="CU32" s="2">
        <f>AG32</f>
        <v>0</v>
      </c>
      <c r="CV32" s="2">
        <f>(AH32*AV32)</f>
        <v>27.3</v>
      </c>
      <c r="CW32" s="2">
        <f t="shared" si="24"/>
        <v>0</v>
      </c>
      <c r="CX32" s="2">
        <f t="shared" si="24"/>
        <v>0</v>
      </c>
      <c r="CY32" s="2">
        <f>((S32*BZ32)/100)</f>
        <v>1050.2379999999998</v>
      </c>
      <c r="CZ32" s="2">
        <f>((S32*CA32)/100)</f>
        <v>150.03399999999999</v>
      </c>
      <c r="DA32" s="2"/>
      <c r="DB32" s="2"/>
      <c r="DC32" s="2" t="s">
        <v>3</v>
      </c>
      <c r="DD32" s="2" t="s">
        <v>3</v>
      </c>
      <c r="DE32" s="2" t="s">
        <v>3</v>
      </c>
      <c r="DF32" s="2" t="s">
        <v>3</v>
      </c>
      <c r="DG32" s="2" t="s">
        <v>3</v>
      </c>
      <c r="DH32" s="2" t="s">
        <v>3</v>
      </c>
      <c r="DI32" s="2" t="s">
        <v>3</v>
      </c>
      <c r="DJ32" s="2" t="s">
        <v>3</v>
      </c>
      <c r="DK32" s="2" t="s">
        <v>3</v>
      </c>
      <c r="DL32" s="2" t="s">
        <v>3</v>
      </c>
      <c r="DM32" s="2" t="s">
        <v>3</v>
      </c>
      <c r="DN32" s="2">
        <v>0</v>
      </c>
      <c r="DO32" s="2">
        <v>0</v>
      </c>
      <c r="DP32" s="2">
        <v>1</v>
      </c>
      <c r="DQ32" s="2">
        <v>1</v>
      </c>
      <c r="DR32" s="2"/>
      <c r="DS32" s="2"/>
      <c r="DT32" s="2"/>
      <c r="DU32" s="2">
        <v>1010</v>
      </c>
      <c r="DV32" s="2" t="s">
        <v>18</v>
      </c>
      <c r="DW32" s="2" t="s">
        <v>18</v>
      </c>
      <c r="DX32" s="2">
        <v>100</v>
      </c>
      <c r="DY32" s="2"/>
      <c r="DZ32" s="2" t="s">
        <v>3</v>
      </c>
      <c r="EA32" s="2" t="s">
        <v>3</v>
      </c>
      <c r="EB32" s="2" t="s">
        <v>3</v>
      </c>
      <c r="EC32" s="2" t="s">
        <v>3</v>
      </c>
      <c r="ED32" s="2"/>
      <c r="EE32" s="2">
        <v>61266886</v>
      </c>
      <c r="EF32" s="2">
        <v>1</v>
      </c>
      <c r="EG32" s="2" t="s">
        <v>20</v>
      </c>
      <c r="EH32" s="2">
        <v>0</v>
      </c>
      <c r="EI32" s="2" t="s">
        <v>3</v>
      </c>
      <c r="EJ32" s="2">
        <v>4</v>
      </c>
      <c r="EK32" s="2">
        <v>0</v>
      </c>
      <c r="EL32" s="2" t="s">
        <v>21</v>
      </c>
      <c r="EM32" s="2" t="s">
        <v>22</v>
      </c>
      <c r="EN32" s="2"/>
      <c r="EO32" s="2" t="s">
        <v>3</v>
      </c>
      <c r="EP32" s="2"/>
      <c r="EQ32" s="2">
        <v>0</v>
      </c>
      <c r="ER32" s="2">
        <v>23946.82</v>
      </c>
      <c r="ES32" s="2">
        <v>5192.54</v>
      </c>
      <c r="ET32" s="2">
        <v>0</v>
      </c>
      <c r="EU32" s="2">
        <v>0</v>
      </c>
      <c r="EV32" s="2">
        <v>18754.28</v>
      </c>
      <c r="EW32" s="2">
        <v>27.3</v>
      </c>
      <c r="EX32" s="2">
        <v>0</v>
      </c>
      <c r="EY32" s="2">
        <v>0</v>
      </c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>
        <v>0</v>
      </c>
      <c r="FR32" s="2">
        <v>0</v>
      </c>
      <c r="FS32" s="2">
        <v>0</v>
      </c>
      <c r="FT32" s="2"/>
      <c r="FU32" s="2"/>
      <c r="FV32" s="2"/>
      <c r="FW32" s="2"/>
      <c r="FX32" s="2">
        <v>70</v>
      </c>
      <c r="FY32" s="2">
        <v>10</v>
      </c>
      <c r="FZ32" s="2"/>
      <c r="GA32" s="2" t="s">
        <v>3</v>
      </c>
      <c r="GB32" s="2"/>
      <c r="GC32" s="2"/>
      <c r="GD32" s="2">
        <v>0</v>
      </c>
      <c r="GE32" s="2"/>
      <c r="GF32" s="2">
        <v>-1440438007</v>
      </c>
      <c r="GG32" s="2">
        <v>2</v>
      </c>
      <c r="GH32" s="2">
        <v>1</v>
      </c>
      <c r="GI32" s="2">
        <v>-2</v>
      </c>
      <c r="GJ32" s="2">
        <v>0</v>
      </c>
      <c r="GK32" s="2">
        <f>ROUND(R32*(R12)/100,2)</f>
        <v>0</v>
      </c>
      <c r="GL32" s="2">
        <f>ROUND(IF(AND(BH32=3,BI32=3,FS32&lt;&gt;0),P32,0),2)</f>
        <v>0</v>
      </c>
      <c r="GM32" s="2">
        <f>ROUND(O32+X32+Y32+GK32,2)+GX32</f>
        <v>3116.01</v>
      </c>
      <c r="GN32" s="2">
        <f>IF(OR(BI32=0,BI32=1),GM32-GX32,0)</f>
        <v>0</v>
      </c>
      <c r="GO32" s="2">
        <f>IF(BI32=2,GM32-GX32,0)</f>
        <v>0</v>
      </c>
      <c r="GP32" s="2">
        <f>IF(BI32=4,GM32-GX32,0)</f>
        <v>3116.01</v>
      </c>
      <c r="GQ32" s="2"/>
      <c r="GR32" s="2">
        <v>0</v>
      </c>
      <c r="GS32" s="2">
        <v>3</v>
      </c>
      <c r="GT32" s="2">
        <v>0</v>
      </c>
      <c r="GU32" s="2" t="s">
        <v>3</v>
      </c>
      <c r="GV32" s="2">
        <f>ROUND((GT32),6)</f>
        <v>0</v>
      </c>
      <c r="GW32" s="2">
        <v>1</v>
      </c>
      <c r="GX32" s="2">
        <f>ROUND(HC32*I32,2)</f>
        <v>0</v>
      </c>
      <c r="GY32" s="2"/>
      <c r="GZ32" s="2"/>
      <c r="HA32" s="2">
        <v>0</v>
      </c>
      <c r="HB32" s="2">
        <v>0</v>
      </c>
      <c r="HC32" s="2">
        <f>GV32*GW32</f>
        <v>0</v>
      </c>
      <c r="HD32" s="2"/>
      <c r="HE32" s="2" t="s">
        <v>3</v>
      </c>
      <c r="HF32" s="2" t="s">
        <v>3</v>
      </c>
      <c r="HG32" s="2"/>
      <c r="HH32" s="2"/>
      <c r="HI32" s="2"/>
      <c r="HJ32" s="2"/>
      <c r="HK32" s="2"/>
      <c r="HL32" s="2"/>
      <c r="HM32" s="2" t="s">
        <v>3</v>
      </c>
      <c r="HN32" s="2" t="s">
        <v>3</v>
      </c>
      <c r="HO32" s="2" t="s">
        <v>3</v>
      </c>
      <c r="HP32" s="2" t="s">
        <v>3</v>
      </c>
      <c r="HQ32" s="2" t="s">
        <v>3</v>
      </c>
      <c r="HR32" s="2"/>
      <c r="HS32" s="2">
        <v>0</v>
      </c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>
        <v>0</v>
      </c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4" spans="1:206" x14ac:dyDescent="0.2">
      <c r="A34" s="3">
        <v>51</v>
      </c>
      <c r="B34" s="3">
        <f>B24</f>
        <v>1</v>
      </c>
      <c r="C34" s="3">
        <f>A24</f>
        <v>4</v>
      </c>
      <c r="D34" s="3">
        <f>ROW(A24)</f>
        <v>24</v>
      </c>
      <c r="E34" s="3"/>
      <c r="F34" s="3" t="str">
        <f>IF(F24&lt;&gt;"",F24,"")</f>
        <v>Новый раздел</v>
      </c>
      <c r="G34" s="3" t="str">
        <f>IF(G24&lt;&gt;"",G24,"")</f>
        <v>Ремонт входной группы трудовой инспекции по адресу Домодедовская ул., д. 24, корп. 3</v>
      </c>
      <c r="H34" s="3">
        <v>0</v>
      </c>
      <c r="I34" s="3"/>
      <c r="J34" s="3"/>
      <c r="K34" s="3"/>
      <c r="L34" s="3"/>
      <c r="M34" s="3"/>
      <c r="N34" s="3"/>
      <c r="O34" s="3">
        <f t="shared" ref="O34:T34" si="25">ROUND(AB34,2)</f>
        <v>169374.37</v>
      </c>
      <c r="P34" s="3">
        <f t="shared" si="25"/>
        <v>44970.98</v>
      </c>
      <c r="Q34" s="3">
        <f t="shared" si="25"/>
        <v>10.8</v>
      </c>
      <c r="R34" s="3">
        <f t="shared" si="25"/>
        <v>0.05</v>
      </c>
      <c r="S34" s="3">
        <f t="shared" si="25"/>
        <v>124392.59</v>
      </c>
      <c r="T34" s="3">
        <f t="shared" si="25"/>
        <v>0</v>
      </c>
      <c r="U34" s="3">
        <f>AH34</f>
        <v>176.67450000000002</v>
      </c>
      <c r="V34" s="3">
        <f>AI34</f>
        <v>0</v>
      </c>
      <c r="W34" s="3">
        <f>ROUND(AJ34,2)</f>
        <v>0</v>
      </c>
      <c r="X34" s="3">
        <f>ROUND(AK34,2)</f>
        <v>87074.82</v>
      </c>
      <c r="Y34" s="3">
        <f>ROUND(AL34,2)</f>
        <v>12439.26</v>
      </c>
      <c r="Z34" s="3"/>
      <c r="AA34" s="3"/>
      <c r="AB34" s="3">
        <f>ROUND(SUMIF(AA28:AA32,"=61825561",O28:O32),2)</f>
        <v>169374.37</v>
      </c>
      <c r="AC34" s="3">
        <f>ROUND(SUMIF(AA28:AA32,"=61825561",P28:P32),2)</f>
        <v>44970.98</v>
      </c>
      <c r="AD34" s="3">
        <f>ROUND(SUMIF(AA28:AA32,"=61825561",Q28:Q32),2)</f>
        <v>10.8</v>
      </c>
      <c r="AE34" s="3">
        <f>ROUND(SUMIF(AA28:AA32,"=61825561",R28:R32),2)</f>
        <v>0.05</v>
      </c>
      <c r="AF34" s="3">
        <f>ROUND(SUMIF(AA28:AA32,"=61825561",S28:S32),2)</f>
        <v>124392.59</v>
      </c>
      <c r="AG34" s="3">
        <f>ROUND(SUMIF(AA28:AA32,"=61825561",T28:T32),2)</f>
        <v>0</v>
      </c>
      <c r="AH34" s="3">
        <f>SUMIF(AA28:AA32,"=61825561",U28:U32)</f>
        <v>176.67450000000002</v>
      </c>
      <c r="AI34" s="3">
        <f>SUMIF(AA28:AA32,"=61825561",V28:V32)</f>
        <v>0</v>
      </c>
      <c r="AJ34" s="3">
        <f>ROUND(SUMIF(AA28:AA32,"=61825561",W28:W32),2)</f>
        <v>0</v>
      </c>
      <c r="AK34" s="3">
        <f>ROUND(SUMIF(AA28:AA32,"=61825561",X28:X32),2)</f>
        <v>87074.82</v>
      </c>
      <c r="AL34" s="3">
        <f>ROUND(SUMIF(AA28:AA32,"=61825561",Y28:Y32),2)</f>
        <v>12439.26</v>
      </c>
      <c r="AM34" s="3"/>
      <c r="AN34" s="3"/>
      <c r="AO34" s="3">
        <f t="shared" ref="AO34:BD34" si="26">ROUND(BX34,2)</f>
        <v>0</v>
      </c>
      <c r="AP34" s="3">
        <f t="shared" si="26"/>
        <v>0</v>
      </c>
      <c r="AQ34" s="3">
        <f t="shared" si="26"/>
        <v>0</v>
      </c>
      <c r="AR34" s="3">
        <f t="shared" si="26"/>
        <v>268888.51</v>
      </c>
      <c r="AS34" s="3">
        <f t="shared" si="26"/>
        <v>0</v>
      </c>
      <c r="AT34" s="3">
        <f t="shared" si="26"/>
        <v>0</v>
      </c>
      <c r="AU34" s="3">
        <f t="shared" si="26"/>
        <v>268888.51</v>
      </c>
      <c r="AV34" s="3">
        <f t="shared" si="26"/>
        <v>44970.98</v>
      </c>
      <c r="AW34" s="3">
        <f t="shared" si="26"/>
        <v>44970.98</v>
      </c>
      <c r="AX34" s="3">
        <f t="shared" si="26"/>
        <v>0</v>
      </c>
      <c r="AY34" s="3">
        <f t="shared" si="26"/>
        <v>44970.98</v>
      </c>
      <c r="AZ34" s="3">
        <f t="shared" si="26"/>
        <v>0</v>
      </c>
      <c r="BA34" s="3">
        <f t="shared" si="26"/>
        <v>0</v>
      </c>
      <c r="BB34" s="3">
        <f t="shared" si="26"/>
        <v>0</v>
      </c>
      <c r="BC34" s="3">
        <f t="shared" si="26"/>
        <v>0</v>
      </c>
      <c r="BD34" s="3">
        <f t="shared" si="26"/>
        <v>0</v>
      </c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>
        <f>ROUND(SUMIF(AA28:AA32,"=61825561",FQ28:FQ32),2)</f>
        <v>0</v>
      </c>
      <c r="BY34" s="3">
        <f>ROUND(SUMIF(AA28:AA32,"=61825561",FR28:FR32),2)</f>
        <v>0</v>
      </c>
      <c r="BZ34" s="3">
        <f>ROUND(SUMIF(AA28:AA32,"=61825561",GL28:GL32),2)</f>
        <v>0</v>
      </c>
      <c r="CA34" s="3">
        <f>ROUND(SUMIF(AA28:AA32,"=61825561",GM28:GM32),2)</f>
        <v>268888.51</v>
      </c>
      <c r="CB34" s="3">
        <f>ROUND(SUMIF(AA28:AA32,"=61825561",GN28:GN32),2)</f>
        <v>0</v>
      </c>
      <c r="CC34" s="3">
        <f>ROUND(SUMIF(AA28:AA32,"=61825561",GO28:GO32),2)</f>
        <v>0</v>
      </c>
      <c r="CD34" s="3">
        <f>ROUND(SUMIF(AA28:AA32,"=61825561",GP28:GP32),2)</f>
        <v>268888.51</v>
      </c>
      <c r="CE34" s="3">
        <f>AC34-BX34</f>
        <v>44970.98</v>
      </c>
      <c r="CF34" s="3">
        <f>AC34-BY34</f>
        <v>44970.98</v>
      </c>
      <c r="CG34" s="3">
        <f>BX34-BZ34</f>
        <v>0</v>
      </c>
      <c r="CH34" s="3">
        <f>AC34-BX34-BY34+BZ34</f>
        <v>44970.98</v>
      </c>
      <c r="CI34" s="3">
        <f>BY34-BZ34</f>
        <v>0</v>
      </c>
      <c r="CJ34" s="3">
        <f>ROUND(SUMIF(AA28:AA32,"=61825561",GX28:GX32),2)</f>
        <v>0</v>
      </c>
      <c r="CK34" s="3">
        <f>ROUND(SUMIF(AA28:AA32,"=61825561",GY28:GY32),2)</f>
        <v>0</v>
      </c>
      <c r="CL34" s="3">
        <f>ROUND(SUMIF(AA28:AA32,"=61825561",GZ28:GZ32),2)</f>
        <v>0</v>
      </c>
      <c r="CM34" s="3">
        <f>ROUND(SUMIF(AA28:AA32,"=61825561",HD28:HD32),2)</f>
        <v>0</v>
      </c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>
        <v>0</v>
      </c>
    </row>
    <row r="36" spans="1:206" x14ac:dyDescent="0.2">
      <c r="A36" s="5">
        <v>50</v>
      </c>
      <c r="B36" s="5">
        <v>0</v>
      </c>
      <c r="C36" s="5">
        <v>0</v>
      </c>
      <c r="D36" s="5">
        <v>1</v>
      </c>
      <c r="E36" s="5">
        <v>201</v>
      </c>
      <c r="F36" s="5">
        <f>ROUND(Source!O34,O36)</f>
        <v>169374.37</v>
      </c>
      <c r="G36" s="5" t="s">
        <v>41</v>
      </c>
      <c r="H36" s="5" t="s">
        <v>42</v>
      </c>
      <c r="I36" s="5"/>
      <c r="J36" s="5"/>
      <c r="K36" s="5">
        <v>201</v>
      </c>
      <c r="L36" s="5">
        <v>1</v>
      </c>
      <c r="M36" s="5">
        <v>3</v>
      </c>
      <c r="N36" s="5" t="s">
        <v>3</v>
      </c>
      <c r="O36" s="5">
        <v>2</v>
      </c>
      <c r="P36" s="5"/>
      <c r="Q36" s="5"/>
      <c r="R36" s="5"/>
      <c r="S36" s="5"/>
      <c r="T36" s="5"/>
      <c r="U36" s="5"/>
      <c r="V36" s="5"/>
      <c r="W36" s="5">
        <v>169374.37</v>
      </c>
      <c r="X36" s="5">
        <v>1</v>
      </c>
      <c r="Y36" s="5">
        <v>169374.37</v>
      </c>
      <c r="Z36" s="5"/>
      <c r="AA36" s="5"/>
      <c r="AB36" s="5"/>
    </row>
    <row r="37" spans="1:206" x14ac:dyDescent="0.2">
      <c r="A37" s="5">
        <v>50</v>
      </c>
      <c r="B37" s="5">
        <v>0</v>
      </c>
      <c r="C37" s="5">
        <v>0</v>
      </c>
      <c r="D37" s="5">
        <v>1</v>
      </c>
      <c r="E37" s="5">
        <v>202</v>
      </c>
      <c r="F37" s="5">
        <f>ROUND(Source!P34,O37)</f>
        <v>44970.98</v>
      </c>
      <c r="G37" s="5" t="s">
        <v>43</v>
      </c>
      <c r="H37" s="5" t="s">
        <v>44</v>
      </c>
      <c r="I37" s="5"/>
      <c r="J37" s="5"/>
      <c r="K37" s="5">
        <v>202</v>
      </c>
      <c r="L37" s="5">
        <v>2</v>
      </c>
      <c r="M37" s="5">
        <v>3</v>
      </c>
      <c r="N37" s="5" t="s">
        <v>3</v>
      </c>
      <c r="O37" s="5">
        <v>2</v>
      </c>
      <c r="P37" s="5"/>
      <c r="Q37" s="5"/>
      <c r="R37" s="5"/>
      <c r="S37" s="5"/>
      <c r="T37" s="5"/>
      <c r="U37" s="5"/>
      <c r="V37" s="5"/>
      <c r="W37" s="5">
        <v>44970.98</v>
      </c>
      <c r="X37" s="5">
        <v>1</v>
      </c>
      <c r="Y37" s="5">
        <v>44970.98</v>
      </c>
      <c r="Z37" s="5"/>
      <c r="AA37" s="5"/>
      <c r="AB37" s="5"/>
    </row>
    <row r="38" spans="1:206" x14ac:dyDescent="0.2">
      <c r="A38" s="5">
        <v>50</v>
      </c>
      <c r="B38" s="5">
        <v>0</v>
      </c>
      <c r="C38" s="5">
        <v>0</v>
      </c>
      <c r="D38" s="5">
        <v>1</v>
      </c>
      <c r="E38" s="5">
        <v>222</v>
      </c>
      <c r="F38" s="5">
        <f>ROUND(Source!AO34,O38)</f>
        <v>0</v>
      </c>
      <c r="G38" s="5" t="s">
        <v>45</v>
      </c>
      <c r="H38" s="5" t="s">
        <v>46</v>
      </c>
      <c r="I38" s="5"/>
      <c r="J38" s="5"/>
      <c r="K38" s="5">
        <v>222</v>
      </c>
      <c r="L38" s="5">
        <v>3</v>
      </c>
      <c r="M38" s="5">
        <v>3</v>
      </c>
      <c r="N38" s="5" t="s">
        <v>3</v>
      </c>
      <c r="O38" s="5">
        <v>2</v>
      </c>
      <c r="P38" s="5"/>
      <c r="Q38" s="5"/>
      <c r="R38" s="5"/>
      <c r="S38" s="5"/>
      <c r="T38" s="5"/>
      <c r="U38" s="5"/>
      <c r="V38" s="5"/>
      <c r="W38" s="5">
        <v>0</v>
      </c>
      <c r="X38" s="5">
        <v>1</v>
      </c>
      <c r="Y38" s="5">
        <v>0</v>
      </c>
      <c r="Z38" s="5"/>
      <c r="AA38" s="5"/>
      <c r="AB38" s="5"/>
    </row>
    <row r="39" spans="1:206" x14ac:dyDescent="0.2">
      <c r="A39" s="5">
        <v>50</v>
      </c>
      <c r="B39" s="5">
        <v>0</v>
      </c>
      <c r="C39" s="5">
        <v>0</v>
      </c>
      <c r="D39" s="5">
        <v>1</v>
      </c>
      <c r="E39" s="5">
        <v>225</v>
      </c>
      <c r="F39" s="5">
        <f>ROUND(Source!AV34,O39)</f>
        <v>44970.98</v>
      </c>
      <c r="G39" s="5" t="s">
        <v>47</v>
      </c>
      <c r="H39" s="5" t="s">
        <v>48</v>
      </c>
      <c r="I39" s="5"/>
      <c r="J39" s="5"/>
      <c r="K39" s="5">
        <v>225</v>
      </c>
      <c r="L39" s="5">
        <v>4</v>
      </c>
      <c r="M39" s="5">
        <v>3</v>
      </c>
      <c r="N39" s="5" t="s">
        <v>3</v>
      </c>
      <c r="O39" s="5">
        <v>2</v>
      </c>
      <c r="P39" s="5"/>
      <c r="Q39" s="5"/>
      <c r="R39" s="5"/>
      <c r="S39" s="5"/>
      <c r="T39" s="5"/>
      <c r="U39" s="5"/>
      <c r="V39" s="5"/>
      <c r="W39" s="5">
        <v>44970.98</v>
      </c>
      <c r="X39" s="5">
        <v>1</v>
      </c>
      <c r="Y39" s="5">
        <v>44970.98</v>
      </c>
      <c r="Z39" s="5"/>
      <c r="AA39" s="5"/>
      <c r="AB39" s="5"/>
    </row>
    <row r="40" spans="1:206" x14ac:dyDescent="0.2">
      <c r="A40" s="5">
        <v>50</v>
      </c>
      <c r="B40" s="5">
        <v>0</v>
      </c>
      <c r="C40" s="5">
        <v>0</v>
      </c>
      <c r="D40" s="5">
        <v>1</v>
      </c>
      <c r="E40" s="5">
        <v>226</v>
      </c>
      <c r="F40" s="5">
        <f>ROUND(Source!AW34,O40)</f>
        <v>44970.98</v>
      </c>
      <c r="G40" s="5" t="s">
        <v>49</v>
      </c>
      <c r="H40" s="5" t="s">
        <v>50</v>
      </c>
      <c r="I40" s="5"/>
      <c r="J40" s="5"/>
      <c r="K40" s="5">
        <v>226</v>
      </c>
      <c r="L40" s="5">
        <v>5</v>
      </c>
      <c r="M40" s="5">
        <v>3</v>
      </c>
      <c r="N40" s="5" t="s">
        <v>3</v>
      </c>
      <c r="O40" s="5">
        <v>2</v>
      </c>
      <c r="P40" s="5"/>
      <c r="Q40" s="5"/>
      <c r="R40" s="5"/>
      <c r="S40" s="5"/>
      <c r="T40" s="5"/>
      <c r="U40" s="5"/>
      <c r="V40" s="5"/>
      <c r="W40" s="5">
        <v>44970.98</v>
      </c>
      <c r="X40" s="5">
        <v>1</v>
      </c>
      <c r="Y40" s="5">
        <v>44970.98</v>
      </c>
      <c r="Z40" s="5"/>
      <c r="AA40" s="5"/>
      <c r="AB40" s="5"/>
    </row>
    <row r="41" spans="1:206" x14ac:dyDescent="0.2">
      <c r="A41" s="5">
        <v>50</v>
      </c>
      <c r="B41" s="5">
        <v>0</v>
      </c>
      <c r="C41" s="5">
        <v>0</v>
      </c>
      <c r="D41" s="5">
        <v>1</v>
      </c>
      <c r="E41" s="5">
        <v>227</v>
      </c>
      <c r="F41" s="5">
        <f>ROUND(Source!AX34,O41)</f>
        <v>0</v>
      </c>
      <c r="G41" s="5" t="s">
        <v>51</v>
      </c>
      <c r="H41" s="5" t="s">
        <v>52</v>
      </c>
      <c r="I41" s="5"/>
      <c r="J41" s="5"/>
      <c r="K41" s="5">
        <v>227</v>
      </c>
      <c r="L41" s="5">
        <v>6</v>
      </c>
      <c r="M41" s="5">
        <v>3</v>
      </c>
      <c r="N41" s="5" t="s">
        <v>3</v>
      </c>
      <c r="O41" s="5">
        <v>2</v>
      </c>
      <c r="P41" s="5"/>
      <c r="Q41" s="5"/>
      <c r="R41" s="5"/>
      <c r="S41" s="5"/>
      <c r="T41" s="5"/>
      <c r="U41" s="5"/>
      <c r="V41" s="5"/>
      <c r="W41" s="5">
        <v>0</v>
      </c>
      <c r="X41" s="5">
        <v>1</v>
      </c>
      <c r="Y41" s="5">
        <v>0</v>
      </c>
      <c r="Z41" s="5"/>
      <c r="AA41" s="5"/>
      <c r="AB41" s="5"/>
    </row>
    <row r="42" spans="1:206" x14ac:dyDescent="0.2">
      <c r="A42" s="5">
        <v>50</v>
      </c>
      <c r="B42" s="5">
        <v>0</v>
      </c>
      <c r="C42" s="5">
        <v>0</v>
      </c>
      <c r="D42" s="5">
        <v>1</v>
      </c>
      <c r="E42" s="5">
        <v>228</v>
      </c>
      <c r="F42" s="5">
        <f>ROUND(Source!AY34,O42)</f>
        <v>44970.98</v>
      </c>
      <c r="G42" s="5" t="s">
        <v>53</v>
      </c>
      <c r="H42" s="5" t="s">
        <v>54</v>
      </c>
      <c r="I42" s="5"/>
      <c r="J42" s="5"/>
      <c r="K42" s="5">
        <v>228</v>
      </c>
      <c r="L42" s="5">
        <v>7</v>
      </c>
      <c r="M42" s="5">
        <v>3</v>
      </c>
      <c r="N42" s="5" t="s">
        <v>3</v>
      </c>
      <c r="O42" s="5">
        <v>2</v>
      </c>
      <c r="P42" s="5"/>
      <c r="Q42" s="5"/>
      <c r="R42" s="5"/>
      <c r="S42" s="5"/>
      <c r="T42" s="5"/>
      <c r="U42" s="5"/>
      <c r="V42" s="5"/>
      <c r="W42" s="5">
        <v>44970.98</v>
      </c>
      <c r="X42" s="5">
        <v>1</v>
      </c>
      <c r="Y42" s="5">
        <v>44970.98</v>
      </c>
      <c r="Z42" s="5"/>
      <c r="AA42" s="5"/>
      <c r="AB42" s="5"/>
    </row>
    <row r="43" spans="1:206" x14ac:dyDescent="0.2">
      <c r="A43" s="5">
        <v>50</v>
      </c>
      <c r="B43" s="5">
        <v>0</v>
      </c>
      <c r="C43" s="5">
        <v>0</v>
      </c>
      <c r="D43" s="5">
        <v>1</v>
      </c>
      <c r="E43" s="5">
        <v>216</v>
      </c>
      <c r="F43" s="5">
        <f>ROUND(Source!AP34,O43)</f>
        <v>0</v>
      </c>
      <c r="G43" s="5" t="s">
        <v>55</v>
      </c>
      <c r="H43" s="5" t="s">
        <v>56</v>
      </c>
      <c r="I43" s="5"/>
      <c r="J43" s="5"/>
      <c r="K43" s="5">
        <v>216</v>
      </c>
      <c r="L43" s="5">
        <v>8</v>
      </c>
      <c r="M43" s="5">
        <v>3</v>
      </c>
      <c r="N43" s="5" t="s">
        <v>3</v>
      </c>
      <c r="O43" s="5">
        <v>2</v>
      </c>
      <c r="P43" s="5"/>
      <c r="Q43" s="5"/>
      <c r="R43" s="5"/>
      <c r="S43" s="5"/>
      <c r="T43" s="5"/>
      <c r="U43" s="5"/>
      <c r="V43" s="5"/>
      <c r="W43" s="5">
        <v>0</v>
      </c>
      <c r="X43" s="5">
        <v>1</v>
      </c>
      <c r="Y43" s="5">
        <v>0</v>
      </c>
      <c r="Z43" s="5"/>
      <c r="AA43" s="5"/>
      <c r="AB43" s="5"/>
    </row>
    <row r="44" spans="1:206" x14ac:dyDescent="0.2">
      <c r="A44" s="5">
        <v>50</v>
      </c>
      <c r="B44" s="5">
        <v>0</v>
      </c>
      <c r="C44" s="5">
        <v>0</v>
      </c>
      <c r="D44" s="5">
        <v>1</v>
      </c>
      <c r="E44" s="5">
        <v>223</v>
      </c>
      <c r="F44" s="5">
        <f>ROUND(Source!AQ34,O44)</f>
        <v>0</v>
      </c>
      <c r="G44" s="5" t="s">
        <v>57</v>
      </c>
      <c r="H44" s="5" t="s">
        <v>58</v>
      </c>
      <c r="I44" s="5"/>
      <c r="J44" s="5"/>
      <c r="K44" s="5">
        <v>223</v>
      </c>
      <c r="L44" s="5">
        <v>9</v>
      </c>
      <c r="M44" s="5">
        <v>3</v>
      </c>
      <c r="N44" s="5" t="s">
        <v>3</v>
      </c>
      <c r="O44" s="5">
        <v>2</v>
      </c>
      <c r="P44" s="5"/>
      <c r="Q44" s="5"/>
      <c r="R44" s="5"/>
      <c r="S44" s="5"/>
      <c r="T44" s="5"/>
      <c r="U44" s="5"/>
      <c r="V44" s="5"/>
      <c r="W44" s="5">
        <v>0</v>
      </c>
      <c r="X44" s="5">
        <v>1</v>
      </c>
      <c r="Y44" s="5">
        <v>0</v>
      </c>
      <c r="Z44" s="5"/>
      <c r="AA44" s="5"/>
      <c r="AB44" s="5"/>
    </row>
    <row r="45" spans="1:206" x14ac:dyDescent="0.2">
      <c r="A45" s="5">
        <v>50</v>
      </c>
      <c r="B45" s="5">
        <v>0</v>
      </c>
      <c r="C45" s="5">
        <v>0</v>
      </c>
      <c r="D45" s="5">
        <v>1</v>
      </c>
      <c r="E45" s="5">
        <v>229</v>
      </c>
      <c r="F45" s="5">
        <f>ROUND(Source!AZ34,O45)</f>
        <v>0</v>
      </c>
      <c r="G45" s="5" t="s">
        <v>59</v>
      </c>
      <c r="H45" s="5" t="s">
        <v>60</v>
      </c>
      <c r="I45" s="5"/>
      <c r="J45" s="5"/>
      <c r="K45" s="5">
        <v>229</v>
      </c>
      <c r="L45" s="5">
        <v>10</v>
      </c>
      <c r="M45" s="5">
        <v>3</v>
      </c>
      <c r="N45" s="5" t="s">
        <v>3</v>
      </c>
      <c r="O45" s="5">
        <v>2</v>
      </c>
      <c r="P45" s="5"/>
      <c r="Q45" s="5"/>
      <c r="R45" s="5"/>
      <c r="S45" s="5"/>
      <c r="T45" s="5"/>
      <c r="U45" s="5"/>
      <c r="V45" s="5"/>
      <c r="W45" s="5">
        <v>0</v>
      </c>
      <c r="X45" s="5">
        <v>1</v>
      </c>
      <c r="Y45" s="5">
        <v>0</v>
      </c>
      <c r="Z45" s="5"/>
      <c r="AA45" s="5"/>
      <c r="AB45" s="5"/>
    </row>
    <row r="46" spans="1:206" x14ac:dyDescent="0.2">
      <c r="A46" s="5">
        <v>50</v>
      </c>
      <c r="B46" s="5">
        <v>0</v>
      </c>
      <c r="C46" s="5">
        <v>0</v>
      </c>
      <c r="D46" s="5">
        <v>1</v>
      </c>
      <c r="E46" s="5">
        <v>203</v>
      </c>
      <c r="F46" s="5">
        <f>ROUND(Source!Q34,O46)</f>
        <v>10.8</v>
      </c>
      <c r="G46" s="5" t="s">
        <v>61</v>
      </c>
      <c r="H46" s="5" t="s">
        <v>62</v>
      </c>
      <c r="I46" s="5"/>
      <c r="J46" s="5"/>
      <c r="K46" s="5">
        <v>203</v>
      </c>
      <c r="L46" s="5">
        <v>11</v>
      </c>
      <c r="M46" s="5">
        <v>3</v>
      </c>
      <c r="N46" s="5" t="s">
        <v>3</v>
      </c>
      <c r="O46" s="5">
        <v>2</v>
      </c>
      <c r="P46" s="5"/>
      <c r="Q46" s="5"/>
      <c r="R46" s="5"/>
      <c r="S46" s="5"/>
      <c r="T46" s="5"/>
      <c r="U46" s="5"/>
      <c r="V46" s="5"/>
      <c r="W46" s="5">
        <v>10.8</v>
      </c>
      <c r="X46" s="5">
        <v>1</v>
      </c>
      <c r="Y46" s="5">
        <v>10.8</v>
      </c>
      <c r="Z46" s="5"/>
      <c r="AA46" s="5"/>
      <c r="AB46" s="5"/>
    </row>
    <row r="47" spans="1:206" x14ac:dyDescent="0.2">
      <c r="A47" s="5">
        <v>50</v>
      </c>
      <c r="B47" s="5">
        <v>0</v>
      </c>
      <c r="C47" s="5">
        <v>0</v>
      </c>
      <c r="D47" s="5">
        <v>1</v>
      </c>
      <c r="E47" s="5">
        <v>231</v>
      </c>
      <c r="F47" s="5">
        <f>ROUND(Source!BB34,O47)</f>
        <v>0</v>
      </c>
      <c r="G47" s="5" t="s">
        <v>63</v>
      </c>
      <c r="H47" s="5" t="s">
        <v>64</v>
      </c>
      <c r="I47" s="5"/>
      <c r="J47" s="5"/>
      <c r="K47" s="5">
        <v>231</v>
      </c>
      <c r="L47" s="5">
        <v>12</v>
      </c>
      <c r="M47" s="5">
        <v>3</v>
      </c>
      <c r="N47" s="5" t="s">
        <v>3</v>
      </c>
      <c r="O47" s="5">
        <v>2</v>
      </c>
      <c r="P47" s="5"/>
      <c r="Q47" s="5"/>
      <c r="R47" s="5"/>
      <c r="S47" s="5"/>
      <c r="T47" s="5"/>
      <c r="U47" s="5"/>
      <c r="V47" s="5"/>
      <c r="W47" s="5">
        <v>0</v>
      </c>
      <c r="X47" s="5">
        <v>1</v>
      </c>
      <c r="Y47" s="5">
        <v>0</v>
      </c>
      <c r="Z47" s="5"/>
      <c r="AA47" s="5"/>
      <c r="AB47" s="5"/>
    </row>
    <row r="48" spans="1:206" x14ac:dyDescent="0.2">
      <c r="A48" s="5">
        <v>50</v>
      </c>
      <c r="B48" s="5">
        <v>0</v>
      </c>
      <c r="C48" s="5">
        <v>0</v>
      </c>
      <c r="D48" s="5">
        <v>1</v>
      </c>
      <c r="E48" s="5">
        <v>204</v>
      </c>
      <c r="F48" s="5">
        <f>ROUND(Source!R34,O48)</f>
        <v>0.05</v>
      </c>
      <c r="G48" s="5" t="s">
        <v>65</v>
      </c>
      <c r="H48" s="5" t="s">
        <v>66</v>
      </c>
      <c r="I48" s="5"/>
      <c r="J48" s="5"/>
      <c r="K48" s="5">
        <v>204</v>
      </c>
      <c r="L48" s="5">
        <v>13</v>
      </c>
      <c r="M48" s="5">
        <v>3</v>
      </c>
      <c r="N48" s="5" t="s">
        <v>3</v>
      </c>
      <c r="O48" s="5">
        <v>2</v>
      </c>
      <c r="P48" s="5"/>
      <c r="Q48" s="5"/>
      <c r="R48" s="5"/>
      <c r="S48" s="5"/>
      <c r="T48" s="5"/>
      <c r="U48" s="5"/>
      <c r="V48" s="5"/>
      <c r="W48" s="5">
        <v>0.05</v>
      </c>
      <c r="X48" s="5">
        <v>1</v>
      </c>
      <c r="Y48" s="5">
        <v>0.05</v>
      </c>
      <c r="Z48" s="5"/>
      <c r="AA48" s="5"/>
      <c r="AB48" s="5"/>
    </row>
    <row r="49" spans="1:28" x14ac:dyDescent="0.2">
      <c r="A49" s="5">
        <v>50</v>
      </c>
      <c r="B49" s="5">
        <v>0</v>
      </c>
      <c r="C49" s="5">
        <v>0</v>
      </c>
      <c r="D49" s="5">
        <v>1</v>
      </c>
      <c r="E49" s="5">
        <v>205</v>
      </c>
      <c r="F49" s="5">
        <f>ROUND(Source!S34,O49)</f>
        <v>124392.59</v>
      </c>
      <c r="G49" s="5" t="s">
        <v>67</v>
      </c>
      <c r="H49" s="5" t="s">
        <v>68</v>
      </c>
      <c r="I49" s="5"/>
      <c r="J49" s="5"/>
      <c r="K49" s="5">
        <v>205</v>
      </c>
      <c r="L49" s="5">
        <v>14</v>
      </c>
      <c r="M49" s="5">
        <v>3</v>
      </c>
      <c r="N49" s="5" t="s">
        <v>3</v>
      </c>
      <c r="O49" s="5">
        <v>2</v>
      </c>
      <c r="P49" s="5"/>
      <c r="Q49" s="5"/>
      <c r="R49" s="5"/>
      <c r="S49" s="5"/>
      <c r="T49" s="5"/>
      <c r="U49" s="5"/>
      <c r="V49" s="5"/>
      <c r="W49" s="5">
        <v>124392.59</v>
      </c>
      <c r="X49" s="5">
        <v>1</v>
      </c>
      <c r="Y49" s="5">
        <v>124392.59</v>
      </c>
      <c r="Z49" s="5"/>
      <c r="AA49" s="5"/>
      <c r="AB49" s="5"/>
    </row>
    <row r="50" spans="1:28" x14ac:dyDescent="0.2">
      <c r="A50" s="5">
        <v>50</v>
      </c>
      <c r="B50" s="5">
        <v>0</v>
      </c>
      <c r="C50" s="5">
        <v>0</v>
      </c>
      <c r="D50" s="5">
        <v>1</v>
      </c>
      <c r="E50" s="5">
        <v>232</v>
      </c>
      <c r="F50" s="5">
        <f>ROUND(Source!BC34,O50)</f>
        <v>0</v>
      </c>
      <c r="G50" s="5" t="s">
        <v>69</v>
      </c>
      <c r="H50" s="5" t="s">
        <v>70</v>
      </c>
      <c r="I50" s="5"/>
      <c r="J50" s="5"/>
      <c r="K50" s="5">
        <v>232</v>
      </c>
      <c r="L50" s="5">
        <v>15</v>
      </c>
      <c r="M50" s="5">
        <v>3</v>
      </c>
      <c r="N50" s="5" t="s">
        <v>3</v>
      </c>
      <c r="O50" s="5">
        <v>2</v>
      </c>
      <c r="P50" s="5"/>
      <c r="Q50" s="5"/>
      <c r="R50" s="5"/>
      <c r="S50" s="5"/>
      <c r="T50" s="5"/>
      <c r="U50" s="5"/>
      <c r="V50" s="5"/>
      <c r="W50" s="5">
        <v>0</v>
      </c>
      <c r="X50" s="5">
        <v>1</v>
      </c>
      <c r="Y50" s="5">
        <v>0</v>
      </c>
      <c r="Z50" s="5"/>
      <c r="AA50" s="5"/>
      <c r="AB50" s="5"/>
    </row>
    <row r="51" spans="1:28" x14ac:dyDescent="0.2">
      <c r="A51" s="5">
        <v>50</v>
      </c>
      <c r="B51" s="5">
        <v>0</v>
      </c>
      <c r="C51" s="5">
        <v>0</v>
      </c>
      <c r="D51" s="5">
        <v>1</v>
      </c>
      <c r="E51" s="5">
        <v>214</v>
      </c>
      <c r="F51" s="5">
        <f>ROUND(Source!AS34,O51)</f>
        <v>0</v>
      </c>
      <c r="G51" s="5" t="s">
        <v>71</v>
      </c>
      <c r="H51" s="5" t="s">
        <v>72</v>
      </c>
      <c r="I51" s="5"/>
      <c r="J51" s="5"/>
      <c r="K51" s="5">
        <v>214</v>
      </c>
      <c r="L51" s="5">
        <v>16</v>
      </c>
      <c r="M51" s="5">
        <v>3</v>
      </c>
      <c r="N51" s="5" t="s">
        <v>3</v>
      </c>
      <c r="O51" s="5">
        <v>2</v>
      </c>
      <c r="P51" s="5"/>
      <c r="Q51" s="5"/>
      <c r="R51" s="5"/>
      <c r="S51" s="5"/>
      <c r="T51" s="5"/>
      <c r="U51" s="5"/>
      <c r="V51" s="5"/>
      <c r="W51" s="5">
        <v>0</v>
      </c>
      <c r="X51" s="5">
        <v>1</v>
      </c>
      <c r="Y51" s="5">
        <v>0</v>
      </c>
      <c r="Z51" s="5"/>
      <c r="AA51" s="5"/>
      <c r="AB51" s="5"/>
    </row>
    <row r="52" spans="1:28" x14ac:dyDescent="0.2">
      <c r="A52" s="5">
        <v>50</v>
      </c>
      <c r="B52" s="5">
        <v>0</v>
      </c>
      <c r="C52" s="5">
        <v>0</v>
      </c>
      <c r="D52" s="5">
        <v>1</v>
      </c>
      <c r="E52" s="5">
        <v>215</v>
      </c>
      <c r="F52" s="5">
        <f>ROUND(Source!AT34,O52)</f>
        <v>0</v>
      </c>
      <c r="G52" s="5" t="s">
        <v>73</v>
      </c>
      <c r="H52" s="5" t="s">
        <v>74</v>
      </c>
      <c r="I52" s="5"/>
      <c r="J52" s="5"/>
      <c r="K52" s="5">
        <v>215</v>
      </c>
      <c r="L52" s="5">
        <v>17</v>
      </c>
      <c r="M52" s="5">
        <v>3</v>
      </c>
      <c r="N52" s="5" t="s">
        <v>3</v>
      </c>
      <c r="O52" s="5">
        <v>2</v>
      </c>
      <c r="P52" s="5"/>
      <c r="Q52" s="5"/>
      <c r="R52" s="5"/>
      <c r="S52" s="5"/>
      <c r="T52" s="5"/>
      <c r="U52" s="5"/>
      <c r="V52" s="5"/>
      <c r="W52" s="5">
        <v>0</v>
      </c>
      <c r="X52" s="5">
        <v>1</v>
      </c>
      <c r="Y52" s="5">
        <v>0</v>
      </c>
      <c r="Z52" s="5"/>
      <c r="AA52" s="5"/>
      <c r="AB52" s="5"/>
    </row>
    <row r="53" spans="1:28" x14ac:dyDescent="0.2">
      <c r="A53" s="5">
        <v>50</v>
      </c>
      <c r="B53" s="5">
        <v>0</v>
      </c>
      <c r="C53" s="5">
        <v>0</v>
      </c>
      <c r="D53" s="5">
        <v>1</v>
      </c>
      <c r="E53" s="5">
        <v>217</v>
      </c>
      <c r="F53" s="5">
        <f>ROUND(Source!AU34,O53)</f>
        <v>268888.51</v>
      </c>
      <c r="G53" s="5" t="s">
        <v>75</v>
      </c>
      <c r="H53" s="5" t="s">
        <v>76</v>
      </c>
      <c r="I53" s="5"/>
      <c r="J53" s="5"/>
      <c r="K53" s="5">
        <v>217</v>
      </c>
      <c r="L53" s="5">
        <v>18</v>
      </c>
      <c r="M53" s="5">
        <v>3</v>
      </c>
      <c r="N53" s="5" t="s">
        <v>3</v>
      </c>
      <c r="O53" s="5">
        <v>2</v>
      </c>
      <c r="P53" s="5"/>
      <c r="Q53" s="5"/>
      <c r="R53" s="5"/>
      <c r="S53" s="5"/>
      <c r="T53" s="5"/>
      <c r="U53" s="5"/>
      <c r="V53" s="5"/>
      <c r="W53" s="5">
        <v>268888.51</v>
      </c>
      <c r="X53" s="5">
        <v>1</v>
      </c>
      <c r="Y53" s="5">
        <v>268888.51</v>
      </c>
      <c r="Z53" s="5"/>
      <c r="AA53" s="5"/>
      <c r="AB53" s="5"/>
    </row>
    <row r="54" spans="1:28" x14ac:dyDescent="0.2">
      <c r="A54" s="5">
        <v>50</v>
      </c>
      <c r="B54" s="5">
        <v>0</v>
      </c>
      <c r="C54" s="5">
        <v>0</v>
      </c>
      <c r="D54" s="5">
        <v>1</v>
      </c>
      <c r="E54" s="5">
        <v>230</v>
      </c>
      <c r="F54" s="5">
        <f>ROUND(Source!BA34,O54)</f>
        <v>0</v>
      </c>
      <c r="G54" s="5" t="s">
        <v>77</v>
      </c>
      <c r="H54" s="5" t="s">
        <v>78</v>
      </c>
      <c r="I54" s="5"/>
      <c r="J54" s="5"/>
      <c r="K54" s="5">
        <v>230</v>
      </c>
      <c r="L54" s="5">
        <v>19</v>
      </c>
      <c r="M54" s="5">
        <v>3</v>
      </c>
      <c r="N54" s="5" t="s">
        <v>3</v>
      </c>
      <c r="O54" s="5">
        <v>2</v>
      </c>
      <c r="P54" s="5"/>
      <c r="Q54" s="5"/>
      <c r="R54" s="5"/>
      <c r="S54" s="5"/>
      <c r="T54" s="5"/>
      <c r="U54" s="5"/>
      <c r="V54" s="5"/>
      <c r="W54" s="5">
        <v>0</v>
      </c>
      <c r="X54" s="5">
        <v>1</v>
      </c>
      <c r="Y54" s="5">
        <v>0</v>
      </c>
      <c r="Z54" s="5"/>
      <c r="AA54" s="5"/>
      <c r="AB54" s="5"/>
    </row>
    <row r="55" spans="1:28" x14ac:dyDescent="0.2">
      <c r="A55" s="5">
        <v>50</v>
      </c>
      <c r="B55" s="5">
        <v>0</v>
      </c>
      <c r="C55" s="5">
        <v>0</v>
      </c>
      <c r="D55" s="5">
        <v>1</v>
      </c>
      <c r="E55" s="5">
        <v>206</v>
      </c>
      <c r="F55" s="5">
        <f>ROUND(Source!T34,O55)</f>
        <v>0</v>
      </c>
      <c r="G55" s="5" t="s">
        <v>79</v>
      </c>
      <c r="H55" s="5" t="s">
        <v>80</v>
      </c>
      <c r="I55" s="5"/>
      <c r="J55" s="5"/>
      <c r="K55" s="5">
        <v>206</v>
      </c>
      <c r="L55" s="5">
        <v>20</v>
      </c>
      <c r="M55" s="5">
        <v>3</v>
      </c>
      <c r="N55" s="5" t="s">
        <v>3</v>
      </c>
      <c r="O55" s="5">
        <v>2</v>
      </c>
      <c r="P55" s="5"/>
      <c r="Q55" s="5"/>
      <c r="R55" s="5"/>
      <c r="S55" s="5"/>
      <c r="T55" s="5"/>
      <c r="U55" s="5"/>
      <c r="V55" s="5"/>
      <c r="W55" s="5">
        <v>0</v>
      </c>
      <c r="X55" s="5">
        <v>1</v>
      </c>
      <c r="Y55" s="5">
        <v>0</v>
      </c>
      <c r="Z55" s="5"/>
      <c r="AA55" s="5"/>
      <c r="AB55" s="5"/>
    </row>
    <row r="56" spans="1:28" x14ac:dyDescent="0.2">
      <c r="A56" s="5">
        <v>50</v>
      </c>
      <c r="B56" s="5">
        <v>0</v>
      </c>
      <c r="C56" s="5">
        <v>0</v>
      </c>
      <c r="D56" s="5">
        <v>1</v>
      </c>
      <c r="E56" s="5">
        <v>207</v>
      </c>
      <c r="F56" s="5">
        <f>Source!U34</f>
        <v>176.67450000000002</v>
      </c>
      <c r="G56" s="5" t="s">
        <v>81</v>
      </c>
      <c r="H56" s="5" t="s">
        <v>82</v>
      </c>
      <c r="I56" s="5"/>
      <c r="J56" s="5"/>
      <c r="K56" s="5">
        <v>207</v>
      </c>
      <c r="L56" s="5">
        <v>21</v>
      </c>
      <c r="M56" s="5">
        <v>3</v>
      </c>
      <c r="N56" s="5" t="s">
        <v>3</v>
      </c>
      <c r="O56" s="5">
        <v>-1</v>
      </c>
      <c r="P56" s="5"/>
      <c r="Q56" s="5"/>
      <c r="R56" s="5"/>
      <c r="S56" s="5"/>
      <c r="T56" s="5"/>
      <c r="U56" s="5"/>
      <c r="V56" s="5"/>
      <c r="W56" s="5">
        <v>176.67450000000002</v>
      </c>
      <c r="X56" s="5">
        <v>1</v>
      </c>
      <c r="Y56" s="5">
        <v>176.67450000000002</v>
      </c>
      <c r="Z56" s="5"/>
      <c r="AA56" s="5"/>
      <c r="AB56" s="5"/>
    </row>
    <row r="57" spans="1:28" x14ac:dyDescent="0.2">
      <c r="A57" s="5">
        <v>50</v>
      </c>
      <c r="B57" s="5">
        <v>0</v>
      </c>
      <c r="C57" s="5">
        <v>0</v>
      </c>
      <c r="D57" s="5">
        <v>1</v>
      </c>
      <c r="E57" s="5">
        <v>208</v>
      </c>
      <c r="F57" s="5">
        <f>Source!V34</f>
        <v>0</v>
      </c>
      <c r="G57" s="5" t="s">
        <v>83</v>
      </c>
      <c r="H57" s="5" t="s">
        <v>84</v>
      </c>
      <c r="I57" s="5"/>
      <c r="J57" s="5"/>
      <c r="K57" s="5">
        <v>208</v>
      </c>
      <c r="L57" s="5">
        <v>22</v>
      </c>
      <c r="M57" s="5">
        <v>3</v>
      </c>
      <c r="N57" s="5" t="s">
        <v>3</v>
      </c>
      <c r="O57" s="5">
        <v>-1</v>
      </c>
      <c r="P57" s="5"/>
      <c r="Q57" s="5"/>
      <c r="R57" s="5"/>
      <c r="S57" s="5"/>
      <c r="T57" s="5"/>
      <c r="U57" s="5"/>
      <c r="V57" s="5"/>
      <c r="W57" s="5">
        <v>0</v>
      </c>
      <c r="X57" s="5">
        <v>1</v>
      </c>
      <c r="Y57" s="5">
        <v>0</v>
      </c>
      <c r="Z57" s="5"/>
      <c r="AA57" s="5"/>
      <c r="AB57" s="5"/>
    </row>
    <row r="58" spans="1:28" x14ac:dyDescent="0.2">
      <c r="A58" s="5">
        <v>50</v>
      </c>
      <c r="B58" s="5">
        <v>0</v>
      </c>
      <c r="C58" s="5">
        <v>0</v>
      </c>
      <c r="D58" s="5">
        <v>1</v>
      </c>
      <c r="E58" s="5">
        <v>209</v>
      </c>
      <c r="F58" s="5">
        <f>ROUND(Source!W34,O58)</f>
        <v>0</v>
      </c>
      <c r="G58" s="5" t="s">
        <v>85</v>
      </c>
      <c r="H58" s="5" t="s">
        <v>86</v>
      </c>
      <c r="I58" s="5"/>
      <c r="J58" s="5"/>
      <c r="K58" s="5">
        <v>209</v>
      </c>
      <c r="L58" s="5">
        <v>23</v>
      </c>
      <c r="M58" s="5">
        <v>3</v>
      </c>
      <c r="N58" s="5" t="s">
        <v>3</v>
      </c>
      <c r="O58" s="5">
        <v>2</v>
      </c>
      <c r="P58" s="5"/>
      <c r="Q58" s="5"/>
      <c r="R58" s="5"/>
      <c r="S58" s="5"/>
      <c r="T58" s="5"/>
      <c r="U58" s="5"/>
      <c r="V58" s="5"/>
      <c r="W58" s="5">
        <v>0</v>
      </c>
      <c r="X58" s="5">
        <v>1</v>
      </c>
      <c r="Y58" s="5">
        <v>0</v>
      </c>
      <c r="Z58" s="5"/>
      <c r="AA58" s="5"/>
      <c r="AB58" s="5"/>
    </row>
    <row r="59" spans="1:28" x14ac:dyDescent="0.2">
      <c r="A59" s="5">
        <v>50</v>
      </c>
      <c r="B59" s="5">
        <v>0</v>
      </c>
      <c r="C59" s="5">
        <v>0</v>
      </c>
      <c r="D59" s="5">
        <v>1</v>
      </c>
      <c r="E59" s="5">
        <v>233</v>
      </c>
      <c r="F59" s="5">
        <f>ROUND(Source!BD34,O59)</f>
        <v>0</v>
      </c>
      <c r="G59" s="5" t="s">
        <v>87</v>
      </c>
      <c r="H59" s="5" t="s">
        <v>88</v>
      </c>
      <c r="I59" s="5"/>
      <c r="J59" s="5"/>
      <c r="K59" s="5">
        <v>233</v>
      </c>
      <c r="L59" s="5">
        <v>24</v>
      </c>
      <c r="M59" s="5">
        <v>3</v>
      </c>
      <c r="N59" s="5" t="s">
        <v>3</v>
      </c>
      <c r="O59" s="5">
        <v>2</v>
      </c>
      <c r="P59" s="5"/>
      <c r="Q59" s="5"/>
      <c r="R59" s="5"/>
      <c r="S59" s="5"/>
      <c r="T59" s="5"/>
      <c r="U59" s="5"/>
      <c r="V59" s="5"/>
      <c r="W59" s="5">
        <v>0</v>
      </c>
      <c r="X59" s="5">
        <v>1</v>
      </c>
      <c r="Y59" s="5">
        <v>0</v>
      </c>
      <c r="Z59" s="5"/>
      <c r="AA59" s="5"/>
      <c r="AB59" s="5"/>
    </row>
    <row r="60" spans="1:28" x14ac:dyDescent="0.2">
      <c r="A60" s="5">
        <v>50</v>
      </c>
      <c r="B60" s="5">
        <v>0</v>
      </c>
      <c r="C60" s="5">
        <v>0</v>
      </c>
      <c r="D60" s="5">
        <v>1</v>
      </c>
      <c r="E60" s="5">
        <v>210</v>
      </c>
      <c r="F60" s="5">
        <f>ROUND(Source!X34,O60)</f>
        <v>87074.82</v>
      </c>
      <c r="G60" s="5" t="s">
        <v>89</v>
      </c>
      <c r="H60" s="5" t="s">
        <v>90</v>
      </c>
      <c r="I60" s="5"/>
      <c r="J60" s="5"/>
      <c r="K60" s="5">
        <v>210</v>
      </c>
      <c r="L60" s="5">
        <v>25</v>
      </c>
      <c r="M60" s="5">
        <v>3</v>
      </c>
      <c r="N60" s="5" t="s">
        <v>3</v>
      </c>
      <c r="O60" s="5">
        <v>2</v>
      </c>
      <c r="P60" s="5"/>
      <c r="Q60" s="5"/>
      <c r="R60" s="5"/>
      <c r="S60" s="5"/>
      <c r="T60" s="5"/>
      <c r="U60" s="5"/>
      <c r="V60" s="5"/>
      <c r="W60" s="5">
        <v>87074.82</v>
      </c>
      <c r="X60" s="5">
        <v>1</v>
      </c>
      <c r="Y60" s="5">
        <v>87074.82</v>
      </c>
      <c r="Z60" s="5"/>
      <c r="AA60" s="5"/>
      <c r="AB60" s="5"/>
    </row>
    <row r="61" spans="1:28" x14ac:dyDescent="0.2">
      <c r="A61" s="5">
        <v>50</v>
      </c>
      <c r="B61" s="5">
        <v>0</v>
      </c>
      <c r="C61" s="5">
        <v>0</v>
      </c>
      <c r="D61" s="5">
        <v>1</v>
      </c>
      <c r="E61" s="5">
        <v>211</v>
      </c>
      <c r="F61" s="5">
        <f>ROUND(Source!Y34,O61)</f>
        <v>12439.26</v>
      </c>
      <c r="G61" s="5" t="s">
        <v>91</v>
      </c>
      <c r="H61" s="5" t="s">
        <v>92</v>
      </c>
      <c r="I61" s="5"/>
      <c r="J61" s="5"/>
      <c r="K61" s="5">
        <v>211</v>
      </c>
      <c r="L61" s="5">
        <v>26</v>
      </c>
      <c r="M61" s="5">
        <v>3</v>
      </c>
      <c r="N61" s="5" t="s">
        <v>3</v>
      </c>
      <c r="O61" s="5">
        <v>2</v>
      </c>
      <c r="P61" s="5"/>
      <c r="Q61" s="5"/>
      <c r="R61" s="5"/>
      <c r="S61" s="5"/>
      <c r="T61" s="5"/>
      <c r="U61" s="5"/>
      <c r="V61" s="5"/>
      <c r="W61" s="5">
        <v>12439.26</v>
      </c>
      <c r="X61" s="5">
        <v>1</v>
      </c>
      <c r="Y61" s="5">
        <v>12439.26</v>
      </c>
      <c r="Z61" s="5"/>
      <c r="AA61" s="5"/>
      <c r="AB61" s="5"/>
    </row>
    <row r="62" spans="1:28" x14ac:dyDescent="0.2">
      <c r="A62" s="5">
        <v>50</v>
      </c>
      <c r="B62" s="5">
        <v>0</v>
      </c>
      <c r="C62" s="5">
        <v>0</v>
      </c>
      <c r="D62" s="5">
        <v>1</v>
      </c>
      <c r="E62" s="5">
        <v>224</v>
      </c>
      <c r="F62" s="5">
        <f>ROUND(Source!AR34,O62)</f>
        <v>268888.51</v>
      </c>
      <c r="G62" s="5" t="s">
        <v>93</v>
      </c>
      <c r="H62" s="5" t="s">
        <v>94</v>
      </c>
      <c r="I62" s="5"/>
      <c r="J62" s="5"/>
      <c r="K62" s="5">
        <v>224</v>
      </c>
      <c r="L62" s="5">
        <v>27</v>
      </c>
      <c r="M62" s="5">
        <v>3</v>
      </c>
      <c r="N62" s="5" t="s">
        <v>3</v>
      </c>
      <c r="O62" s="5">
        <v>2</v>
      </c>
      <c r="P62" s="5"/>
      <c r="Q62" s="5"/>
      <c r="R62" s="5"/>
      <c r="S62" s="5"/>
      <c r="T62" s="5"/>
      <c r="U62" s="5"/>
      <c r="V62" s="5"/>
      <c r="W62" s="5">
        <v>268888.51</v>
      </c>
      <c r="X62" s="5">
        <v>1</v>
      </c>
      <c r="Y62" s="5">
        <v>268888.51</v>
      </c>
      <c r="Z62" s="5"/>
      <c r="AA62" s="5"/>
      <c r="AB62" s="5"/>
    </row>
    <row r="63" spans="1:28" x14ac:dyDescent="0.2">
      <c r="A63" s="5">
        <v>50</v>
      </c>
      <c r="B63" s="5">
        <v>1</v>
      </c>
      <c r="C63" s="5">
        <v>0</v>
      </c>
      <c r="D63" s="5">
        <v>2</v>
      </c>
      <c r="E63" s="5">
        <v>0</v>
      </c>
      <c r="F63" s="5">
        <f>ROUND(F62*0.22,O63)</f>
        <v>59155.47</v>
      </c>
      <c r="G63" s="5" t="s">
        <v>95</v>
      </c>
      <c r="H63" s="5" t="s">
        <v>96</v>
      </c>
      <c r="I63" s="5"/>
      <c r="J63" s="5"/>
      <c r="K63" s="5">
        <v>212</v>
      </c>
      <c r="L63" s="5">
        <v>28</v>
      </c>
      <c r="M63" s="5">
        <v>0</v>
      </c>
      <c r="N63" s="5" t="s">
        <v>3</v>
      </c>
      <c r="O63" s="5">
        <v>2</v>
      </c>
      <c r="P63" s="5"/>
      <c r="Q63" s="5"/>
      <c r="R63" s="5"/>
      <c r="S63" s="5"/>
      <c r="T63" s="5"/>
      <c r="U63" s="5"/>
      <c r="V63" s="5"/>
      <c r="W63" s="5">
        <v>59155.47</v>
      </c>
      <c r="X63" s="5">
        <v>1</v>
      </c>
      <c r="Y63" s="5">
        <v>59155.47</v>
      </c>
      <c r="Z63" s="5"/>
      <c r="AA63" s="5"/>
      <c r="AB63" s="5"/>
    </row>
    <row r="64" spans="1:28" x14ac:dyDescent="0.2">
      <c r="A64" s="5">
        <v>50</v>
      </c>
      <c r="B64" s="5">
        <v>1</v>
      </c>
      <c r="C64" s="5">
        <v>0</v>
      </c>
      <c r="D64" s="5">
        <v>2</v>
      </c>
      <c r="E64" s="5">
        <v>0</v>
      </c>
      <c r="F64" s="5">
        <f>ROUND(F62*1.2,O64)</f>
        <v>322666.21000000002</v>
      </c>
      <c r="G64" s="5" t="s">
        <v>97</v>
      </c>
      <c r="H64" s="5" t="s">
        <v>98</v>
      </c>
      <c r="I64" s="5"/>
      <c r="J64" s="5"/>
      <c r="K64" s="5">
        <v>212</v>
      </c>
      <c r="L64" s="5">
        <v>29</v>
      </c>
      <c r="M64" s="5">
        <v>0</v>
      </c>
      <c r="N64" s="5" t="s">
        <v>3</v>
      </c>
      <c r="O64" s="5">
        <v>2</v>
      </c>
      <c r="P64" s="5"/>
      <c r="Q64" s="5"/>
      <c r="R64" s="5"/>
      <c r="S64" s="5"/>
      <c r="T64" s="5"/>
      <c r="U64" s="5"/>
      <c r="V64" s="5"/>
      <c r="W64" s="5">
        <v>322666.21000000002</v>
      </c>
      <c r="X64" s="5">
        <v>1</v>
      </c>
      <c r="Y64" s="5">
        <v>322666.21000000002</v>
      </c>
      <c r="Z64" s="5"/>
      <c r="AA64" s="5"/>
      <c r="AB64" s="5"/>
    </row>
    <row r="66" spans="1:255" x14ac:dyDescent="0.2">
      <c r="A66" s="1">
        <v>4</v>
      </c>
      <c r="B66" s="1">
        <v>1</v>
      </c>
      <c r="C66" s="1"/>
      <c r="D66" s="1">
        <f>ROW(A72)</f>
        <v>72</v>
      </c>
      <c r="E66" s="1"/>
      <c r="F66" s="1" t="s">
        <v>13</v>
      </c>
      <c r="G66" s="1" t="s">
        <v>99</v>
      </c>
      <c r="H66" s="1" t="s">
        <v>3</v>
      </c>
      <c r="I66" s="1">
        <v>0</v>
      </c>
      <c r="J66" s="1"/>
      <c r="K66" s="1">
        <v>0</v>
      </c>
      <c r="L66" s="1"/>
      <c r="M66" s="1" t="s">
        <v>3</v>
      </c>
      <c r="N66" s="1"/>
      <c r="O66" s="1"/>
      <c r="P66" s="1"/>
      <c r="Q66" s="1"/>
      <c r="R66" s="1"/>
      <c r="S66" s="1">
        <v>0</v>
      </c>
      <c r="T66" s="1"/>
      <c r="U66" s="1" t="s">
        <v>3</v>
      </c>
      <c r="V66" s="1">
        <v>0</v>
      </c>
      <c r="W66" s="1"/>
      <c r="X66" s="1"/>
      <c r="Y66" s="1"/>
      <c r="Z66" s="1"/>
      <c r="AA66" s="1"/>
      <c r="AB66" s="1" t="s">
        <v>3</v>
      </c>
      <c r="AC66" s="1" t="s">
        <v>3</v>
      </c>
      <c r="AD66" s="1" t="s">
        <v>3</v>
      </c>
      <c r="AE66" s="1" t="s">
        <v>3</v>
      </c>
      <c r="AF66" s="1" t="s">
        <v>3</v>
      </c>
      <c r="AG66" s="1" t="s">
        <v>3</v>
      </c>
      <c r="AH66" s="1"/>
      <c r="AI66" s="1"/>
      <c r="AJ66" s="1"/>
      <c r="AK66" s="1"/>
      <c r="AL66" s="1"/>
      <c r="AM66" s="1"/>
      <c r="AN66" s="1"/>
      <c r="AO66" s="1"/>
      <c r="AP66" s="1" t="s">
        <v>3</v>
      </c>
      <c r="AQ66" s="1" t="s">
        <v>3</v>
      </c>
      <c r="AR66" s="1" t="s">
        <v>3</v>
      </c>
      <c r="AS66" s="1"/>
      <c r="AT66" s="1"/>
      <c r="AU66" s="1"/>
      <c r="AV66" s="1"/>
      <c r="AW66" s="1"/>
      <c r="AX66" s="1"/>
      <c r="AY66" s="1"/>
      <c r="AZ66" s="1" t="s">
        <v>3</v>
      </c>
      <c r="BA66" s="1"/>
      <c r="BB66" s="1" t="s">
        <v>3</v>
      </c>
      <c r="BC66" s="1" t="s">
        <v>3</v>
      </c>
      <c r="BD66" s="1" t="s">
        <v>3</v>
      </c>
      <c r="BE66" s="1" t="s">
        <v>3</v>
      </c>
      <c r="BF66" s="1" t="s">
        <v>3</v>
      </c>
      <c r="BG66" s="1" t="s">
        <v>3</v>
      </c>
      <c r="BH66" s="1" t="s">
        <v>3</v>
      </c>
      <c r="BI66" s="1" t="s">
        <v>3</v>
      </c>
      <c r="BJ66" s="1" t="s">
        <v>3</v>
      </c>
      <c r="BK66" s="1" t="s">
        <v>3</v>
      </c>
      <c r="BL66" s="1" t="s">
        <v>3</v>
      </c>
      <c r="BM66" s="1" t="s">
        <v>3</v>
      </c>
      <c r="BN66" s="1" t="s">
        <v>3</v>
      </c>
      <c r="BO66" s="1" t="s">
        <v>3</v>
      </c>
      <c r="BP66" s="1" t="s">
        <v>3</v>
      </c>
      <c r="BQ66" s="1"/>
      <c r="BR66" s="1"/>
      <c r="BS66" s="1"/>
      <c r="BT66" s="1"/>
      <c r="BU66" s="1"/>
      <c r="BV66" s="1"/>
      <c r="BW66" s="1"/>
      <c r="BX66" s="1">
        <v>0</v>
      </c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>
        <v>0</v>
      </c>
    </row>
    <row r="68" spans="1:255" x14ac:dyDescent="0.2">
      <c r="A68" s="3">
        <v>52</v>
      </c>
      <c r="B68" s="3">
        <f t="shared" ref="B68:G68" si="27">B72</f>
        <v>1</v>
      </c>
      <c r="C68" s="3">
        <f t="shared" si="27"/>
        <v>4</v>
      </c>
      <c r="D68" s="3">
        <f t="shared" si="27"/>
        <v>66</v>
      </c>
      <c r="E68" s="3">
        <f t="shared" si="27"/>
        <v>0</v>
      </c>
      <c r="F68" s="3" t="str">
        <f t="shared" si="27"/>
        <v>Новый раздел</v>
      </c>
      <c r="G68" s="3" t="str">
        <f t="shared" si="27"/>
        <v>Ремонт кабинета</v>
      </c>
      <c r="H68" s="3"/>
      <c r="I68" s="3"/>
      <c r="J68" s="3"/>
      <c r="K68" s="3"/>
      <c r="L68" s="3"/>
      <c r="M68" s="3"/>
      <c r="N68" s="3"/>
      <c r="O68" s="3">
        <f t="shared" ref="O68:AT68" si="28">O72</f>
        <v>32440.17</v>
      </c>
      <c r="P68" s="3">
        <f t="shared" si="28"/>
        <v>2808.88</v>
      </c>
      <c r="Q68" s="3">
        <f t="shared" si="28"/>
        <v>0</v>
      </c>
      <c r="R68" s="3">
        <f t="shared" si="28"/>
        <v>0</v>
      </c>
      <c r="S68" s="3">
        <f t="shared" si="28"/>
        <v>29631.29</v>
      </c>
      <c r="T68" s="3">
        <f t="shared" si="28"/>
        <v>0</v>
      </c>
      <c r="U68" s="3">
        <f t="shared" si="28"/>
        <v>38.714999999999996</v>
      </c>
      <c r="V68" s="3">
        <f t="shared" si="28"/>
        <v>0</v>
      </c>
      <c r="W68" s="3">
        <f t="shared" si="28"/>
        <v>0</v>
      </c>
      <c r="X68" s="3">
        <f t="shared" si="28"/>
        <v>20741.900000000001</v>
      </c>
      <c r="Y68" s="3">
        <f t="shared" si="28"/>
        <v>2963.13</v>
      </c>
      <c r="Z68" s="3">
        <f t="shared" si="28"/>
        <v>0</v>
      </c>
      <c r="AA68" s="3">
        <f t="shared" si="28"/>
        <v>0</v>
      </c>
      <c r="AB68" s="3">
        <f t="shared" si="28"/>
        <v>32440.17</v>
      </c>
      <c r="AC68" s="3">
        <f t="shared" si="28"/>
        <v>2808.88</v>
      </c>
      <c r="AD68" s="3">
        <f t="shared" si="28"/>
        <v>0</v>
      </c>
      <c r="AE68" s="3">
        <f t="shared" si="28"/>
        <v>0</v>
      </c>
      <c r="AF68" s="3">
        <f t="shared" si="28"/>
        <v>29631.29</v>
      </c>
      <c r="AG68" s="3">
        <f t="shared" si="28"/>
        <v>0</v>
      </c>
      <c r="AH68" s="3">
        <f t="shared" si="28"/>
        <v>38.714999999999996</v>
      </c>
      <c r="AI68" s="3">
        <f t="shared" si="28"/>
        <v>0</v>
      </c>
      <c r="AJ68" s="3">
        <f t="shared" si="28"/>
        <v>0</v>
      </c>
      <c r="AK68" s="3">
        <f t="shared" si="28"/>
        <v>20741.900000000001</v>
      </c>
      <c r="AL68" s="3">
        <f t="shared" si="28"/>
        <v>2963.13</v>
      </c>
      <c r="AM68" s="3">
        <f t="shared" si="28"/>
        <v>0</v>
      </c>
      <c r="AN68" s="3">
        <f t="shared" si="28"/>
        <v>0</v>
      </c>
      <c r="AO68" s="3">
        <f t="shared" si="28"/>
        <v>0</v>
      </c>
      <c r="AP68" s="3">
        <f t="shared" si="28"/>
        <v>0</v>
      </c>
      <c r="AQ68" s="3">
        <f t="shared" si="28"/>
        <v>0</v>
      </c>
      <c r="AR68" s="3">
        <f t="shared" si="28"/>
        <v>56145.2</v>
      </c>
      <c r="AS68" s="3">
        <f t="shared" si="28"/>
        <v>0</v>
      </c>
      <c r="AT68" s="3">
        <f t="shared" si="28"/>
        <v>0</v>
      </c>
      <c r="AU68" s="3">
        <f t="shared" ref="AU68:BZ68" si="29">AU72</f>
        <v>56145.2</v>
      </c>
      <c r="AV68" s="3">
        <f t="shared" si="29"/>
        <v>2808.88</v>
      </c>
      <c r="AW68" s="3">
        <f t="shared" si="29"/>
        <v>2808.88</v>
      </c>
      <c r="AX68" s="3">
        <f t="shared" si="29"/>
        <v>0</v>
      </c>
      <c r="AY68" s="3">
        <f t="shared" si="29"/>
        <v>2808.88</v>
      </c>
      <c r="AZ68" s="3">
        <f t="shared" si="29"/>
        <v>0</v>
      </c>
      <c r="BA68" s="3">
        <f t="shared" si="29"/>
        <v>0</v>
      </c>
      <c r="BB68" s="3">
        <f t="shared" si="29"/>
        <v>0</v>
      </c>
      <c r="BC68" s="3">
        <f t="shared" si="29"/>
        <v>0</v>
      </c>
      <c r="BD68" s="3">
        <f t="shared" si="29"/>
        <v>0</v>
      </c>
      <c r="BE68" s="3">
        <f t="shared" si="29"/>
        <v>0</v>
      </c>
      <c r="BF68" s="3">
        <f t="shared" si="29"/>
        <v>0</v>
      </c>
      <c r="BG68" s="3">
        <f t="shared" si="29"/>
        <v>0</v>
      </c>
      <c r="BH68" s="3">
        <f t="shared" si="29"/>
        <v>0</v>
      </c>
      <c r="BI68" s="3">
        <f t="shared" si="29"/>
        <v>0</v>
      </c>
      <c r="BJ68" s="3">
        <f t="shared" si="29"/>
        <v>0</v>
      </c>
      <c r="BK68" s="3">
        <f t="shared" si="29"/>
        <v>0</v>
      </c>
      <c r="BL68" s="3">
        <f t="shared" si="29"/>
        <v>0</v>
      </c>
      <c r="BM68" s="3">
        <f t="shared" si="29"/>
        <v>0</v>
      </c>
      <c r="BN68" s="3">
        <f t="shared" si="29"/>
        <v>0</v>
      </c>
      <c r="BO68" s="3">
        <f t="shared" si="29"/>
        <v>0</v>
      </c>
      <c r="BP68" s="3">
        <f t="shared" si="29"/>
        <v>0</v>
      </c>
      <c r="BQ68" s="3">
        <f t="shared" si="29"/>
        <v>0</v>
      </c>
      <c r="BR68" s="3">
        <f t="shared" si="29"/>
        <v>0</v>
      </c>
      <c r="BS68" s="3">
        <f t="shared" si="29"/>
        <v>0</v>
      </c>
      <c r="BT68" s="3">
        <f t="shared" si="29"/>
        <v>0</v>
      </c>
      <c r="BU68" s="3">
        <f t="shared" si="29"/>
        <v>0</v>
      </c>
      <c r="BV68" s="3">
        <f t="shared" si="29"/>
        <v>0</v>
      </c>
      <c r="BW68" s="3">
        <f t="shared" si="29"/>
        <v>0</v>
      </c>
      <c r="BX68" s="3">
        <f t="shared" si="29"/>
        <v>0</v>
      </c>
      <c r="BY68" s="3">
        <f t="shared" si="29"/>
        <v>0</v>
      </c>
      <c r="BZ68" s="3">
        <f t="shared" si="29"/>
        <v>0</v>
      </c>
      <c r="CA68" s="3">
        <f t="shared" ref="CA68:DF68" si="30">CA72</f>
        <v>56145.2</v>
      </c>
      <c r="CB68" s="3">
        <f t="shared" si="30"/>
        <v>0</v>
      </c>
      <c r="CC68" s="3">
        <f t="shared" si="30"/>
        <v>0</v>
      </c>
      <c r="CD68" s="3">
        <f t="shared" si="30"/>
        <v>56145.2</v>
      </c>
      <c r="CE68" s="3">
        <f t="shared" si="30"/>
        <v>2808.88</v>
      </c>
      <c r="CF68" s="3">
        <f t="shared" si="30"/>
        <v>2808.88</v>
      </c>
      <c r="CG68" s="3">
        <f t="shared" si="30"/>
        <v>0</v>
      </c>
      <c r="CH68" s="3">
        <f t="shared" si="30"/>
        <v>2808.88</v>
      </c>
      <c r="CI68" s="3">
        <f t="shared" si="30"/>
        <v>0</v>
      </c>
      <c r="CJ68" s="3">
        <f t="shared" si="30"/>
        <v>0</v>
      </c>
      <c r="CK68" s="3">
        <f t="shared" si="30"/>
        <v>0</v>
      </c>
      <c r="CL68" s="3">
        <f t="shared" si="30"/>
        <v>0</v>
      </c>
      <c r="CM68" s="3">
        <f t="shared" si="30"/>
        <v>0</v>
      </c>
      <c r="CN68" s="3">
        <f t="shared" si="30"/>
        <v>0</v>
      </c>
      <c r="CO68" s="3">
        <f t="shared" si="30"/>
        <v>0</v>
      </c>
      <c r="CP68" s="3">
        <f t="shared" si="30"/>
        <v>0</v>
      </c>
      <c r="CQ68" s="3">
        <f t="shared" si="30"/>
        <v>0</v>
      </c>
      <c r="CR68" s="3">
        <f t="shared" si="30"/>
        <v>0</v>
      </c>
      <c r="CS68" s="3">
        <f t="shared" si="30"/>
        <v>0</v>
      </c>
      <c r="CT68" s="3">
        <f t="shared" si="30"/>
        <v>0</v>
      </c>
      <c r="CU68" s="3">
        <f t="shared" si="30"/>
        <v>0</v>
      </c>
      <c r="CV68" s="3">
        <f t="shared" si="30"/>
        <v>0</v>
      </c>
      <c r="CW68" s="3">
        <f t="shared" si="30"/>
        <v>0</v>
      </c>
      <c r="CX68" s="3">
        <f t="shared" si="30"/>
        <v>0</v>
      </c>
      <c r="CY68" s="3">
        <f t="shared" si="30"/>
        <v>0</v>
      </c>
      <c r="CZ68" s="3">
        <f t="shared" si="30"/>
        <v>0</v>
      </c>
      <c r="DA68" s="3">
        <f t="shared" si="30"/>
        <v>0</v>
      </c>
      <c r="DB68" s="3">
        <f t="shared" si="30"/>
        <v>0</v>
      </c>
      <c r="DC68" s="3">
        <f t="shared" si="30"/>
        <v>0</v>
      </c>
      <c r="DD68" s="3">
        <f t="shared" si="30"/>
        <v>0</v>
      </c>
      <c r="DE68" s="3">
        <f t="shared" si="30"/>
        <v>0</v>
      </c>
      <c r="DF68" s="3">
        <f t="shared" si="30"/>
        <v>0</v>
      </c>
      <c r="DG68" s="4">
        <f t="shared" ref="DG68:EL68" si="31">DG72</f>
        <v>0</v>
      </c>
      <c r="DH68" s="4">
        <f t="shared" si="31"/>
        <v>0</v>
      </c>
      <c r="DI68" s="4">
        <f t="shared" si="31"/>
        <v>0</v>
      </c>
      <c r="DJ68" s="4">
        <f t="shared" si="31"/>
        <v>0</v>
      </c>
      <c r="DK68" s="4">
        <f t="shared" si="31"/>
        <v>0</v>
      </c>
      <c r="DL68" s="4">
        <f t="shared" si="31"/>
        <v>0</v>
      </c>
      <c r="DM68" s="4">
        <f t="shared" si="31"/>
        <v>0</v>
      </c>
      <c r="DN68" s="4">
        <f t="shared" si="31"/>
        <v>0</v>
      </c>
      <c r="DO68" s="4">
        <f t="shared" si="31"/>
        <v>0</v>
      </c>
      <c r="DP68" s="4">
        <f t="shared" si="31"/>
        <v>0</v>
      </c>
      <c r="DQ68" s="4">
        <f t="shared" si="31"/>
        <v>0</v>
      </c>
      <c r="DR68" s="4">
        <f t="shared" si="31"/>
        <v>0</v>
      </c>
      <c r="DS68" s="4">
        <f t="shared" si="31"/>
        <v>0</v>
      </c>
      <c r="DT68" s="4">
        <f t="shared" si="31"/>
        <v>0</v>
      </c>
      <c r="DU68" s="4">
        <f t="shared" si="31"/>
        <v>0</v>
      </c>
      <c r="DV68" s="4">
        <f t="shared" si="31"/>
        <v>0</v>
      </c>
      <c r="DW68" s="4">
        <f t="shared" si="31"/>
        <v>0</v>
      </c>
      <c r="DX68" s="4">
        <f t="shared" si="31"/>
        <v>0</v>
      </c>
      <c r="DY68" s="4">
        <f t="shared" si="31"/>
        <v>0</v>
      </c>
      <c r="DZ68" s="4">
        <f t="shared" si="31"/>
        <v>0</v>
      </c>
      <c r="EA68" s="4">
        <f t="shared" si="31"/>
        <v>0</v>
      </c>
      <c r="EB68" s="4">
        <f t="shared" si="31"/>
        <v>0</v>
      </c>
      <c r="EC68" s="4">
        <f t="shared" si="31"/>
        <v>0</v>
      </c>
      <c r="ED68" s="4">
        <f t="shared" si="31"/>
        <v>0</v>
      </c>
      <c r="EE68" s="4">
        <f t="shared" si="31"/>
        <v>0</v>
      </c>
      <c r="EF68" s="4">
        <f t="shared" si="31"/>
        <v>0</v>
      </c>
      <c r="EG68" s="4">
        <f t="shared" si="31"/>
        <v>0</v>
      </c>
      <c r="EH68" s="4">
        <f t="shared" si="31"/>
        <v>0</v>
      </c>
      <c r="EI68" s="4">
        <f t="shared" si="31"/>
        <v>0</v>
      </c>
      <c r="EJ68" s="4">
        <f t="shared" si="31"/>
        <v>0</v>
      </c>
      <c r="EK68" s="4">
        <f t="shared" si="31"/>
        <v>0</v>
      </c>
      <c r="EL68" s="4">
        <f t="shared" si="31"/>
        <v>0</v>
      </c>
      <c r="EM68" s="4">
        <f t="shared" ref="EM68:FR68" si="32">EM72</f>
        <v>0</v>
      </c>
      <c r="EN68" s="4">
        <f t="shared" si="32"/>
        <v>0</v>
      </c>
      <c r="EO68" s="4">
        <f t="shared" si="32"/>
        <v>0</v>
      </c>
      <c r="EP68" s="4">
        <f t="shared" si="32"/>
        <v>0</v>
      </c>
      <c r="EQ68" s="4">
        <f t="shared" si="32"/>
        <v>0</v>
      </c>
      <c r="ER68" s="4">
        <f t="shared" si="32"/>
        <v>0</v>
      </c>
      <c r="ES68" s="4">
        <f t="shared" si="32"/>
        <v>0</v>
      </c>
      <c r="ET68" s="4">
        <f t="shared" si="32"/>
        <v>0</v>
      </c>
      <c r="EU68" s="4">
        <f t="shared" si="32"/>
        <v>0</v>
      </c>
      <c r="EV68" s="4">
        <f t="shared" si="32"/>
        <v>0</v>
      </c>
      <c r="EW68" s="4">
        <f t="shared" si="32"/>
        <v>0</v>
      </c>
      <c r="EX68" s="4">
        <f t="shared" si="32"/>
        <v>0</v>
      </c>
      <c r="EY68" s="4">
        <f t="shared" si="32"/>
        <v>0</v>
      </c>
      <c r="EZ68" s="4">
        <f t="shared" si="32"/>
        <v>0</v>
      </c>
      <c r="FA68" s="4">
        <f t="shared" si="32"/>
        <v>0</v>
      </c>
      <c r="FB68" s="4">
        <f t="shared" si="32"/>
        <v>0</v>
      </c>
      <c r="FC68" s="4">
        <f t="shared" si="32"/>
        <v>0</v>
      </c>
      <c r="FD68" s="4">
        <f t="shared" si="32"/>
        <v>0</v>
      </c>
      <c r="FE68" s="4">
        <f t="shared" si="32"/>
        <v>0</v>
      </c>
      <c r="FF68" s="4">
        <f t="shared" si="32"/>
        <v>0</v>
      </c>
      <c r="FG68" s="4">
        <f t="shared" si="32"/>
        <v>0</v>
      </c>
      <c r="FH68" s="4">
        <f t="shared" si="32"/>
        <v>0</v>
      </c>
      <c r="FI68" s="4">
        <f t="shared" si="32"/>
        <v>0</v>
      </c>
      <c r="FJ68" s="4">
        <f t="shared" si="32"/>
        <v>0</v>
      </c>
      <c r="FK68" s="4">
        <f t="shared" si="32"/>
        <v>0</v>
      </c>
      <c r="FL68" s="4">
        <f t="shared" si="32"/>
        <v>0</v>
      </c>
      <c r="FM68" s="4">
        <f t="shared" si="32"/>
        <v>0</v>
      </c>
      <c r="FN68" s="4">
        <f t="shared" si="32"/>
        <v>0</v>
      </c>
      <c r="FO68" s="4">
        <f t="shared" si="32"/>
        <v>0</v>
      </c>
      <c r="FP68" s="4">
        <f t="shared" si="32"/>
        <v>0</v>
      </c>
      <c r="FQ68" s="4">
        <f t="shared" si="32"/>
        <v>0</v>
      </c>
      <c r="FR68" s="4">
        <f t="shared" si="32"/>
        <v>0</v>
      </c>
      <c r="FS68" s="4">
        <f t="shared" ref="FS68:GX68" si="33">FS72</f>
        <v>0</v>
      </c>
      <c r="FT68" s="4">
        <f t="shared" si="33"/>
        <v>0</v>
      </c>
      <c r="FU68" s="4">
        <f t="shared" si="33"/>
        <v>0</v>
      </c>
      <c r="FV68" s="4">
        <f t="shared" si="33"/>
        <v>0</v>
      </c>
      <c r="FW68" s="4">
        <f t="shared" si="33"/>
        <v>0</v>
      </c>
      <c r="FX68" s="4">
        <f t="shared" si="33"/>
        <v>0</v>
      </c>
      <c r="FY68" s="4">
        <f t="shared" si="33"/>
        <v>0</v>
      </c>
      <c r="FZ68" s="4">
        <f t="shared" si="33"/>
        <v>0</v>
      </c>
      <c r="GA68" s="4">
        <f t="shared" si="33"/>
        <v>0</v>
      </c>
      <c r="GB68" s="4">
        <f t="shared" si="33"/>
        <v>0</v>
      </c>
      <c r="GC68" s="4">
        <f t="shared" si="33"/>
        <v>0</v>
      </c>
      <c r="GD68" s="4">
        <f t="shared" si="33"/>
        <v>0</v>
      </c>
      <c r="GE68" s="4">
        <f t="shared" si="33"/>
        <v>0</v>
      </c>
      <c r="GF68" s="4">
        <f t="shared" si="33"/>
        <v>0</v>
      </c>
      <c r="GG68" s="4">
        <f t="shared" si="33"/>
        <v>0</v>
      </c>
      <c r="GH68" s="4">
        <f t="shared" si="33"/>
        <v>0</v>
      </c>
      <c r="GI68" s="4">
        <f t="shared" si="33"/>
        <v>0</v>
      </c>
      <c r="GJ68" s="4">
        <f t="shared" si="33"/>
        <v>0</v>
      </c>
      <c r="GK68" s="4">
        <f t="shared" si="33"/>
        <v>0</v>
      </c>
      <c r="GL68" s="4">
        <f t="shared" si="33"/>
        <v>0</v>
      </c>
      <c r="GM68" s="4">
        <f t="shared" si="33"/>
        <v>0</v>
      </c>
      <c r="GN68" s="4">
        <f t="shared" si="33"/>
        <v>0</v>
      </c>
      <c r="GO68" s="4">
        <f t="shared" si="33"/>
        <v>0</v>
      </c>
      <c r="GP68" s="4">
        <f t="shared" si="33"/>
        <v>0</v>
      </c>
      <c r="GQ68" s="4">
        <f t="shared" si="33"/>
        <v>0</v>
      </c>
      <c r="GR68" s="4">
        <f t="shared" si="33"/>
        <v>0</v>
      </c>
      <c r="GS68" s="4">
        <f t="shared" si="33"/>
        <v>0</v>
      </c>
      <c r="GT68" s="4">
        <f t="shared" si="33"/>
        <v>0</v>
      </c>
      <c r="GU68" s="4">
        <f t="shared" si="33"/>
        <v>0</v>
      </c>
      <c r="GV68" s="4">
        <f t="shared" si="33"/>
        <v>0</v>
      </c>
      <c r="GW68" s="4">
        <f t="shared" si="33"/>
        <v>0</v>
      </c>
      <c r="GX68" s="4">
        <f t="shared" si="33"/>
        <v>0</v>
      </c>
    </row>
    <row r="70" spans="1:255" x14ac:dyDescent="0.2">
      <c r="A70" s="2">
        <v>17</v>
      </c>
      <c r="B70" s="2">
        <v>1</v>
      </c>
      <c r="C70" s="2"/>
      <c r="D70" s="2"/>
      <c r="E70" s="2" t="s">
        <v>100</v>
      </c>
      <c r="F70" s="2" t="s">
        <v>29</v>
      </c>
      <c r="G70" s="2" t="s">
        <v>30</v>
      </c>
      <c r="H70" s="2" t="s">
        <v>26</v>
      </c>
      <c r="I70" s="2">
        <f>ROUND(43.5/10,9)</f>
        <v>4.3499999999999996</v>
      </c>
      <c r="J70" s="2">
        <v>0</v>
      </c>
      <c r="K70" s="2">
        <f>ROUND(43.5/10,9)</f>
        <v>4.3499999999999996</v>
      </c>
      <c r="L70" s="2"/>
      <c r="M70" s="2"/>
      <c r="N70" s="2"/>
      <c r="O70" s="2">
        <f>ROUND(CP70,2)</f>
        <v>32440.17</v>
      </c>
      <c r="P70" s="2">
        <f>ROUND(CQ70*I70,2)</f>
        <v>2808.88</v>
      </c>
      <c r="Q70" s="2">
        <f>ROUND(CR70*I70,2)</f>
        <v>0</v>
      </c>
      <c r="R70" s="2">
        <f>ROUND(CS70*I70,2)</f>
        <v>0</v>
      </c>
      <c r="S70" s="2">
        <f>ROUND(CT70*I70,2)</f>
        <v>29631.29</v>
      </c>
      <c r="T70" s="2">
        <f>ROUND(CU70*I70,2)</f>
        <v>0</v>
      </c>
      <c r="U70" s="2">
        <f>CV70*I70</f>
        <v>38.714999999999996</v>
      </c>
      <c r="V70" s="2">
        <f>CW70*I70</f>
        <v>0</v>
      </c>
      <c r="W70" s="2">
        <f>ROUND(CX70*I70,2)</f>
        <v>0</v>
      </c>
      <c r="X70" s="2">
        <f>ROUND(CY70,2)</f>
        <v>20741.900000000001</v>
      </c>
      <c r="Y70" s="2">
        <f>ROUND(CZ70,2)</f>
        <v>2963.13</v>
      </c>
      <c r="Z70" s="2"/>
      <c r="AA70" s="2">
        <v>61825561</v>
      </c>
      <c r="AB70" s="2">
        <f>ROUND((AC70+AD70+AF70),6)</f>
        <v>7457.51</v>
      </c>
      <c r="AC70" s="2">
        <f>ROUND((ES70),6)</f>
        <v>645.72</v>
      </c>
      <c r="AD70" s="2">
        <f>ROUND((((ET70)-(EU70))+AE70),6)</f>
        <v>0</v>
      </c>
      <c r="AE70" s="2">
        <f>ROUND((EU70),6)</f>
        <v>0</v>
      </c>
      <c r="AF70" s="2">
        <f>ROUND((EV70),6)</f>
        <v>6811.79</v>
      </c>
      <c r="AG70" s="2">
        <f>ROUND((AP70),6)</f>
        <v>0</v>
      </c>
      <c r="AH70" s="2">
        <f>(EW70)</f>
        <v>8.9</v>
      </c>
      <c r="AI70" s="2">
        <f>(EX70)</f>
        <v>0</v>
      </c>
      <c r="AJ70" s="2">
        <f>(AS70)</f>
        <v>0</v>
      </c>
      <c r="AK70" s="2">
        <v>7457.51</v>
      </c>
      <c r="AL70" s="2">
        <v>645.72</v>
      </c>
      <c r="AM70" s="2">
        <v>0</v>
      </c>
      <c r="AN70" s="2">
        <v>0</v>
      </c>
      <c r="AO70" s="2">
        <v>6811.79</v>
      </c>
      <c r="AP70" s="2">
        <v>0</v>
      </c>
      <c r="AQ70" s="2">
        <v>8.9</v>
      </c>
      <c r="AR70" s="2">
        <v>0</v>
      </c>
      <c r="AS70" s="2">
        <v>0</v>
      </c>
      <c r="AT70" s="2">
        <v>70</v>
      </c>
      <c r="AU70" s="2">
        <v>10</v>
      </c>
      <c r="AV70" s="2">
        <v>1</v>
      </c>
      <c r="AW70" s="2">
        <v>1</v>
      </c>
      <c r="AX70" s="2"/>
      <c r="AY70" s="2"/>
      <c r="AZ70" s="2">
        <v>1</v>
      </c>
      <c r="BA70" s="2">
        <v>1</v>
      </c>
      <c r="BB70" s="2">
        <v>1</v>
      </c>
      <c r="BC70" s="2">
        <v>1</v>
      </c>
      <c r="BD70" s="2" t="s">
        <v>3</v>
      </c>
      <c r="BE70" s="2" t="s">
        <v>3</v>
      </c>
      <c r="BF70" s="2" t="s">
        <v>3</v>
      </c>
      <c r="BG70" s="2" t="s">
        <v>3</v>
      </c>
      <c r="BH70" s="2">
        <v>0</v>
      </c>
      <c r="BI70" s="2">
        <v>4</v>
      </c>
      <c r="BJ70" s="2" t="s">
        <v>31</v>
      </c>
      <c r="BK70" s="2"/>
      <c r="BL70" s="2"/>
      <c r="BM70" s="2">
        <v>0</v>
      </c>
      <c r="BN70" s="2">
        <v>0</v>
      </c>
      <c r="BO70" s="2" t="s">
        <v>3</v>
      </c>
      <c r="BP70" s="2">
        <v>0</v>
      </c>
      <c r="BQ70" s="2">
        <v>1</v>
      </c>
      <c r="BR70" s="2">
        <v>0</v>
      </c>
      <c r="BS70" s="2">
        <v>1</v>
      </c>
      <c r="BT70" s="2">
        <v>1</v>
      </c>
      <c r="BU70" s="2">
        <v>1</v>
      </c>
      <c r="BV70" s="2">
        <v>1</v>
      </c>
      <c r="BW70" s="2">
        <v>1</v>
      </c>
      <c r="BX70" s="2">
        <v>1</v>
      </c>
      <c r="BY70" s="2" t="s">
        <v>3</v>
      </c>
      <c r="BZ70" s="2">
        <v>70</v>
      </c>
      <c r="CA70" s="2">
        <v>10</v>
      </c>
      <c r="CB70" s="2" t="s">
        <v>3</v>
      </c>
      <c r="CC70" s="2"/>
      <c r="CD70" s="2"/>
      <c r="CE70" s="2">
        <v>0</v>
      </c>
      <c r="CF70" s="2">
        <v>0</v>
      </c>
      <c r="CG70" s="2">
        <v>0</v>
      </c>
      <c r="CH70" s="2"/>
      <c r="CI70" s="2"/>
      <c r="CJ70" s="2"/>
      <c r="CK70" s="2"/>
      <c r="CL70" s="2"/>
      <c r="CM70" s="2">
        <v>0</v>
      </c>
      <c r="CN70" s="2" t="s">
        <v>3</v>
      </c>
      <c r="CO70" s="2">
        <v>0</v>
      </c>
      <c r="CP70" s="2">
        <f>(P70+Q70+S70)</f>
        <v>32440.170000000002</v>
      </c>
      <c r="CQ70" s="2">
        <f>(AC70*BC70*AW70)</f>
        <v>645.72</v>
      </c>
      <c r="CR70" s="2">
        <f>((((ET70)*BB70-(EU70)*BS70)+AE70*BS70)*AV70)</f>
        <v>0</v>
      </c>
      <c r="CS70" s="2">
        <f>(AE70*BS70*AV70)</f>
        <v>0</v>
      </c>
      <c r="CT70" s="2">
        <f>(AF70*BA70*AV70)</f>
        <v>6811.79</v>
      </c>
      <c r="CU70" s="2">
        <f>AG70</f>
        <v>0</v>
      </c>
      <c r="CV70" s="2">
        <f>(AH70*AV70)</f>
        <v>8.9</v>
      </c>
      <c r="CW70" s="2">
        <f>AI70</f>
        <v>0</v>
      </c>
      <c r="CX70" s="2">
        <f>AJ70</f>
        <v>0</v>
      </c>
      <c r="CY70" s="2">
        <f>((S70*BZ70)/100)</f>
        <v>20741.903000000002</v>
      </c>
      <c r="CZ70" s="2">
        <f>((S70*CA70)/100)</f>
        <v>2963.1290000000004</v>
      </c>
      <c r="DA70" s="2"/>
      <c r="DB70" s="2"/>
      <c r="DC70" s="2" t="s">
        <v>3</v>
      </c>
      <c r="DD70" s="2" t="s">
        <v>3</v>
      </c>
      <c r="DE70" s="2" t="s">
        <v>3</v>
      </c>
      <c r="DF70" s="2" t="s">
        <v>3</v>
      </c>
      <c r="DG70" s="2" t="s">
        <v>3</v>
      </c>
      <c r="DH70" s="2" t="s">
        <v>3</v>
      </c>
      <c r="DI70" s="2" t="s">
        <v>3</v>
      </c>
      <c r="DJ70" s="2" t="s">
        <v>3</v>
      </c>
      <c r="DK70" s="2" t="s">
        <v>3</v>
      </c>
      <c r="DL70" s="2" t="s">
        <v>3</v>
      </c>
      <c r="DM70" s="2" t="s">
        <v>3</v>
      </c>
      <c r="DN70" s="2">
        <v>0</v>
      </c>
      <c r="DO70" s="2">
        <v>0</v>
      </c>
      <c r="DP70" s="2">
        <v>1</v>
      </c>
      <c r="DQ70" s="2">
        <v>1</v>
      </c>
      <c r="DR70" s="2"/>
      <c r="DS70" s="2"/>
      <c r="DT70" s="2"/>
      <c r="DU70" s="2">
        <v>1005</v>
      </c>
      <c r="DV70" s="2" t="s">
        <v>26</v>
      </c>
      <c r="DW70" s="2" t="s">
        <v>26</v>
      </c>
      <c r="DX70" s="2">
        <v>10</v>
      </c>
      <c r="DY70" s="2"/>
      <c r="DZ70" s="2" t="s">
        <v>3</v>
      </c>
      <c r="EA70" s="2" t="s">
        <v>3</v>
      </c>
      <c r="EB70" s="2" t="s">
        <v>3</v>
      </c>
      <c r="EC70" s="2" t="s">
        <v>3</v>
      </c>
      <c r="ED70" s="2"/>
      <c r="EE70" s="2">
        <v>61266886</v>
      </c>
      <c r="EF70" s="2">
        <v>1</v>
      </c>
      <c r="EG70" s="2" t="s">
        <v>20</v>
      </c>
      <c r="EH70" s="2">
        <v>0</v>
      </c>
      <c r="EI70" s="2" t="s">
        <v>3</v>
      </c>
      <c r="EJ70" s="2">
        <v>4</v>
      </c>
      <c r="EK70" s="2">
        <v>0</v>
      </c>
      <c r="EL70" s="2" t="s">
        <v>21</v>
      </c>
      <c r="EM70" s="2" t="s">
        <v>22</v>
      </c>
      <c r="EN70" s="2"/>
      <c r="EO70" s="2" t="s">
        <v>3</v>
      </c>
      <c r="EP70" s="2"/>
      <c r="EQ70" s="2">
        <v>0</v>
      </c>
      <c r="ER70" s="2">
        <v>7457.51</v>
      </c>
      <c r="ES70" s="2">
        <v>645.72</v>
      </c>
      <c r="ET70" s="2">
        <v>0</v>
      </c>
      <c r="EU70" s="2">
        <v>0</v>
      </c>
      <c r="EV70" s="2">
        <v>6811.79</v>
      </c>
      <c r="EW70" s="2">
        <v>8.9</v>
      </c>
      <c r="EX70" s="2">
        <v>0</v>
      </c>
      <c r="EY70" s="2">
        <v>0</v>
      </c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>
        <v>0</v>
      </c>
      <c r="FR70" s="2">
        <v>0</v>
      </c>
      <c r="FS70" s="2">
        <v>0</v>
      </c>
      <c r="FT70" s="2"/>
      <c r="FU70" s="2"/>
      <c r="FV70" s="2"/>
      <c r="FW70" s="2"/>
      <c r="FX70" s="2">
        <v>70</v>
      </c>
      <c r="FY70" s="2">
        <v>10</v>
      </c>
      <c r="FZ70" s="2"/>
      <c r="GA70" s="2" t="s">
        <v>3</v>
      </c>
      <c r="GB70" s="2"/>
      <c r="GC70" s="2"/>
      <c r="GD70" s="2">
        <v>0</v>
      </c>
      <c r="GE70" s="2"/>
      <c r="GF70" s="2">
        <v>-81775314</v>
      </c>
      <c r="GG70" s="2">
        <v>2</v>
      </c>
      <c r="GH70" s="2">
        <v>1</v>
      </c>
      <c r="GI70" s="2">
        <v>-2</v>
      </c>
      <c r="GJ70" s="2">
        <v>0</v>
      </c>
      <c r="GK70" s="2">
        <f>ROUND(R70*(R12)/100,2)</f>
        <v>0</v>
      </c>
      <c r="GL70" s="2">
        <f>ROUND(IF(AND(BH70=3,BI70=3,FS70&lt;&gt;0),P70,0),2)</f>
        <v>0</v>
      </c>
      <c r="GM70" s="2">
        <f>ROUND(O70+X70+Y70+GK70,2)+GX70</f>
        <v>56145.2</v>
      </c>
      <c r="GN70" s="2">
        <f>IF(OR(BI70=0,BI70=1),GM70-GX70,0)</f>
        <v>0</v>
      </c>
      <c r="GO70" s="2">
        <f>IF(BI70=2,GM70-GX70,0)</f>
        <v>0</v>
      </c>
      <c r="GP70" s="2">
        <f>IF(BI70=4,GM70-GX70,0)</f>
        <v>56145.2</v>
      </c>
      <c r="GQ70" s="2"/>
      <c r="GR70" s="2">
        <v>0</v>
      </c>
      <c r="GS70" s="2">
        <v>0</v>
      </c>
      <c r="GT70" s="2">
        <v>0</v>
      </c>
      <c r="GU70" s="2" t="s">
        <v>3</v>
      </c>
      <c r="GV70" s="2">
        <f>ROUND((GT70),6)</f>
        <v>0</v>
      </c>
      <c r="GW70" s="2">
        <v>1</v>
      </c>
      <c r="GX70" s="2">
        <f>ROUND(HC70*I70,2)</f>
        <v>0</v>
      </c>
      <c r="GY70" s="2"/>
      <c r="GZ70" s="2"/>
      <c r="HA70" s="2">
        <v>0</v>
      </c>
      <c r="HB70" s="2">
        <v>0</v>
      </c>
      <c r="HC70" s="2">
        <f>GV70*GW70</f>
        <v>0</v>
      </c>
      <c r="HD70" s="2"/>
      <c r="HE70" s="2" t="s">
        <v>3</v>
      </c>
      <c r="HF70" s="2" t="s">
        <v>3</v>
      </c>
      <c r="HG70" s="2"/>
      <c r="HH70" s="2"/>
      <c r="HI70" s="2"/>
      <c r="HJ70" s="2"/>
      <c r="HK70" s="2"/>
      <c r="HL70" s="2"/>
      <c r="HM70" s="2" t="s">
        <v>3</v>
      </c>
      <c r="HN70" s="2" t="s">
        <v>3</v>
      </c>
      <c r="HO70" s="2" t="s">
        <v>3</v>
      </c>
      <c r="HP70" s="2" t="s">
        <v>3</v>
      </c>
      <c r="HQ70" s="2" t="s">
        <v>3</v>
      </c>
      <c r="HR70" s="2"/>
      <c r="HS70" s="2">
        <v>0</v>
      </c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>
        <v>0</v>
      </c>
      <c r="IL70" s="2"/>
      <c r="IM70" s="2"/>
      <c r="IN70" s="2"/>
      <c r="IO70" s="2"/>
      <c r="IP70" s="2"/>
      <c r="IQ70" s="2"/>
      <c r="IR70" s="2"/>
      <c r="IS70" s="2"/>
      <c r="IT70" s="2"/>
      <c r="IU70" s="2"/>
    </row>
    <row r="72" spans="1:255" x14ac:dyDescent="0.2">
      <c r="A72" s="3">
        <v>51</v>
      </c>
      <c r="B72" s="3">
        <f>B66</f>
        <v>1</v>
      </c>
      <c r="C72" s="3">
        <f>A66</f>
        <v>4</v>
      </c>
      <c r="D72" s="3">
        <f>ROW(A66)</f>
        <v>66</v>
      </c>
      <c r="E72" s="3"/>
      <c r="F72" s="3" t="str">
        <f>IF(F66&lt;&gt;"",F66,"")</f>
        <v>Новый раздел</v>
      </c>
      <c r="G72" s="3" t="str">
        <f>IF(G66&lt;&gt;"",G66,"")</f>
        <v>Ремонт кабинета</v>
      </c>
      <c r="H72" s="3">
        <v>0</v>
      </c>
      <c r="I72" s="3"/>
      <c r="J72" s="3"/>
      <c r="K72" s="3"/>
      <c r="L72" s="3"/>
      <c r="M72" s="3"/>
      <c r="N72" s="3"/>
      <c r="O72" s="3">
        <f t="shared" ref="O72:T72" si="34">ROUND(AB72,2)</f>
        <v>32440.17</v>
      </c>
      <c r="P72" s="3">
        <f t="shared" si="34"/>
        <v>2808.88</v>
      </c>
      <c r="Q72" s="3">
        <f t="shared" si="34"/>
        <v>0</v>
      </c>
      <c r="R72" s="3">
        <f t="shared" si="34"/>
        <v>0</v>
      </c>
      <c r="S72" s="3">
        <f t="shared" si="34"/>
        <v>29631.29</v>
      </c>
      <c r="T72" s="3">
        <f t="shared" si="34"/>
        <v>0</v>
      </c>
      <c r="U72" s="3">
        <f>AH72</f>
        <v>38.714999999999996</v>
      </c>
      <c r="V72" s="3">
        <f>AI72</f>
        <v>0</v>
      </c>
      <c r="W72" s="3">
        <f>ROUND(AJ72,2)</f>
        <v>0</v>
      </c>
      <c r="X72" s="3">
        <f>ROUND(AK72,2)</f>
        <v>20741.900000000001</v>
      </c>
      <c r="Y72" s="3">
        <f>ROUND(AL72,2)</f>
        <v>2963.13</v>
      </c>
      <c r="Z72" s="3"/>
      <c r="AA72" s="3"/>
      <c r="AB72" s="3">
        <f>ROUND(SUMIF(AA70:AA70,"=61825561",O70:O70),2)</f>
        <v>32440.17</v>
      </c>
      <c r="AC72" s="3">
        <f>ROUND(SUMIF(AA70:AA70,"=61825561",P70:P70),2)</f>
        <v>2808.88</v>
      </c>
      <c r="AD72" s="3">
        <f>ROUND(SUMIF(AA70:AA70,"=61825561",Q70:Q70),2)</f>
        <v>0</v>
      </c>
      <c r="AE72" s="3">
        <f>ROUND(SUMIF(AA70:AA70,"=61825561",R70:R70),2)</f>
        <v>0</v>
      </c>
      <c r="AF72" s="3">
        <f>ROUND(SUMIF(AA70:AA70,"=61825561",S70:S70),2)</f>
        <v>29631.29</v>
      </c>
      <c r="AG72" s="3">
        <f>ROUND(SUMIF(AA70:AA70,"=61825561",T70:T70),2)</f>
        <v>0</v>
      </c>
      <c r="AH72" s="3">
        <f>SUMIF(AA70:AA70,"=61825561",U70:U70)</f>
        <v>38.714999999999996</v>
      </c>
      <c r="AI72" s="3">
        <f>SUMIF(AA70:AA70,"=61825561",V70:V70)</f>
        <v>0</v>
      </c>
      <c r="AJ72" s="3">
        <f>ROUND(SUMIF(AA70:AA70,"=61825561",W70:W70),2)</f>
        <v>0</v>
      </c>
      <c r="AK72" s="3">
        <f>ROUND(SUMIF(AA70:AA70,"=61825561",X70:X70),2)</f>
        <v>20741.900000000001</v>
      </c>
      <c r="AL72" s="3">
        <f>ROUND(SUMIF(AA70:AA70,"=61825561",Y70:Y70),2)</f>
        <v>2963.13</v>
      </c>
      <c r="AM72" s="3"/>
      <c r="AN72" s="3"/>
      <c r="AO72" s="3">
        <f t="shared" ref="AO72:BD72" si="35">ROUND(BX72,2)</f>
        <v>0</v>
      </c>
      <c r="AP72" s="3">
        <f t="shared" si="35"/>
        <v>0</v>
      </c>
      <c r="AQ72" s="3">
        <f t="shared" si="35"/>
        <v>0</v>
      </c>
      <c r="AR72" s="3">
        <f t="shared" si="35"/>
        <v>56145.2</v>
      </c>
      <c r="AS72" s="3">
        <f t="shared" si="35"/>
        <v>0</v>
      </c>
      <c r="AT72" s="3">
        <f t="shared" si="35"/>
        <v>0</v>
      </c>
      <c r="AU72" s="3">
        <f t="shared" si="35"/>
        <v>56145.2</v>
      </c>
      <c r="AV72" s="3">
        <f t="shared" si="35"/>
        <v>2808.88</v>
      </c>
      <c r="AW72" s="3">
        <f t="shared" si="35"/>
        <v>2808.88</v>
      </c>
      <c r="AX72" s="3">
        <f t="shared" si="35"/>
        <v>0</v>
      </c>
      <c r="AY72" s="3">
        <f t="shared" si="35"/>
        <v>2808.88</v>
      </c>
      <c r="AZ72" s="3">
        <f t="shared" si="35"/>
        <v>0</v>
      </c>
      <c r="BA72" s="3">
        <f t="shared" si="35"/>
        <v>0</v>
      </c>
      <c r="BB72" s="3">
        <f t="shared" si="35"/>
        <v>0</v>
      </c>
      <c r="BC72" s="3">
        <f t="shared" si="35"/>
        <v>0</v>
      </c>
      <c r="BD72" s="3">
        <f t="shared" si="35"/>
        <v>0</v>
      </c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>
        <f>ROUND(SUMIF(AA70:AA70,"=61825561",FQ70:FQ70),2)</f>
        <v>0</v>
      </c>
      <c r="BY72" s="3">
        <f>ROUND(SUMIF(AA70:AA70,"=61825561",FR70:FR70),2)</f>
        <v>0</v>
      </c>
      <c r="BZ72" s="3">
        <f>ROUND(SUMIF(AA70:AA70,"=61825561",GL70:GL70),2)</f>
        <v>0</v>
      </c>
      <c r="CA72" s="3">
        <f>ROUND(SUMIF(AA70:AA70,"=61825561",GM70:GM70),2)</f>
        <v>56145.2</v>
      </c>
      <c r="CB72" s="3">
        <f>ROUND(SUMIF(AA70:AA70,"=61825561",GN70:GN70),2)</f>
        <v>0</v>
      </c>
      <c r="CC72" s="3">
        <f>ROUND(SUMIF(AA70:AA70,"=61825561",GO70:GO70),2)</f>
        <v>0</v>
      </c>
      <c r="CD72" s="3">
        <f>ROUND(SUMIF(AA70:AA70,"=61825561",GP70:GP70),2)</f>
        <v>56145.2</v>
      </c>
      <c r="CE72" s="3">
        <f>AC72-BX72</f>
        <v>2808.88</v>
      </c>
      <c r="CF72" s="3">
        <f>AC72-BY72</f>
        <v>2808.88</v>
      </c>
      <c r="CG72" s="3">
        <f>BX72-BZ72</f>
        <v>0</v>
      </c>
      <c r="CH72" s="3">
        <f>AC72-BX72-BY72+BZ72</f>
        <v>2808.88</v>
      </c>
      <c r="CI72" s="3">
        <f>BY72-BZ72</f>
        <v>0</v>
      </c>
      <c r="CJ72" s="3">
        <f>ROUND(SUMIF(AA70:AA70,"=61825561",GX70:GX70),2)</f>
        <v>0</v>
      </c>
      <c r="CK72" s="3">
        <f>ROUND(SUMIF(AA70:AA70,"=61825561",GY70:GY70),2)</f>
        <v>0</v>
      </c>
      <c r="CL72" s="3">
        <f>ROUND(SUMIF(AA70:AA70,"=61825561",GZ70:GZ70),2)</f>
        <v>0</v>
      </c>
      <c r="CM72" s="3">
        <f>ROUND(SUMIF(AA70:AA70,"=61825561",HD70:HD70),2)</f>
        <v>0</v>
      </c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>
        <v>0</v>
      </c>
    </row>
    <row r="74" spans="1:255" x14ac:dyDescent="0.2">
      <c r="A74" s="5">
        <v>50</v>
      </c>
      <c r="B74" s="5">
        <v>0</v>
      </c>
      <c r="C74" s="5">
        <v>0</v>
      </c>
      <c r="D74" s="5">
        <v>1</v>
      </c>
      <c r="E74" s="5">
        <v>201</v>
      </c>
      <c r="F74" s="5">
        <f>ROUND(Source!O72,O74)</f>
        <v>32440.17</v>
      </c>
      <c r="G74" s="5" t="s">
        <v>41</v>
      </c>
      <c r="H74" s="5" t="s">
        <v>42</v>
      </c>
      <c r="I74" s="5"/>
      <c r="J74" s="5"/>
      <c r="K74" s="5">
        <v>201</v>
      </c>
      <c r="L74" s="5">
        <v>1</v>
      </c>
      <c r="M74" s="5">
        <v>3</v>
      </c>
      <c r="N74" s="5" t="s">
        <v>3</v>
      </c>
      <c r="O74" s="5">
        <v>2</v>
      </c>
      <c r="P74" s="5"/>
      <c r="Q74" s="5"/>
      <c r="R74" s="5"/>
      <c r="S74" s="5"/>
      <c r="T74" s="5"/>
      <c r="U74" s="5"/>
      <c r="V74" s="5"/>
      <c r="W74" s="5">
        <v>32440.17</v>
      </c>
      <c r="X74" s="5">
        <v>1</v>
      </c>
      <c r="Y74" s="5">
        <v>32440.17</v>
      </c>
      <c r="Z74" s="5"/>
      <c r="AA74" s="5"/>
      <c r="AB74" s="5"/>
    </row>
    <row r="75" spans="1:255" x14ac:dyDescent="0.2">
      <c r="A75" s="5">
        <v>50</v>
      </c>
      <c r="B75" s="5">
        <v>0</v>
      </c>
      <c r="C75" s="5">
        <v>0</v>
      </c>
      <c r="D75" s="5">
        <v>1</v>
      </c>
      <c r="E75" s="5">
        <v>202</v>
      </c>
      <c r="F75" s="5">
        <f>ROUND(Source!P72,O75)</f>
        <v>2808.88</v>
      </c>
      <c r="G75" s="5" t="s">
        <v>43</v>
      </c>
      <c r="H75" s="5" t="s">
        <v>44</v>
      </c>
      <c r="I75" s="5"/>
      <c r="J75" s="5"/>
      <c r="K75" s="5">
        <v>202</v>
      </c>
      <c r="L75" s="5">
        <v>2</v>
      </c>
      <c r="M75" s="5">
        <v>3</v>
      </c>
      <c r="N75" s="5" t="s">
        <v>3</v>
      </c>
      <c r="O75" s="5">
        <v>2</v>
      </c>
      <c r="P75" s="5"/>
      <c r="Q75" s="5"/>
      <c r="R75" s="5"/>
      <c r="S75" s="5"/>
      <c r="T75" s="5"/>
      <c r="U75" s="5"/>
      <c r="V75" s="5"/>
      <c r="W75" s="5">
        <v>2808.88</v>
      </c>
      <c r="X75" s="5">
        <v>1</v>
      </c>
      <c r="Y75" s="5">
        <v>2808.88</v>
      </c>
      <c r="Z75" s="5"/>
      <c r="AA75" s="5"/>
      <c r="AB75" s="5"/>
    </row>
    <row r="76" spans="1:255" x14ac:dyDescent="0.2">
      <c r="A76" s="5">
        <v>50</v>
      </c>
      <c r="B76" s="5">
        <v>0</v>
      </c>
      <c r="C76" s="5">
        <v>0</v>
      </c>
      <c r="D76" s="5">
        <v>1</v>
      </c>
      <c r="E76" s="5">
        <v>222</v>
      </c>
      <c r="F76" s="5">
        <f>ROUND(Source!AO72,O76)</f>
        <v>0</v>
      </c>
      <c r="G76" s="5" t="s">
        <v>45</v>
      </c>
      <c r="H76" s="5" t="s">
        <v>46</v>
      </c>
      <c r="I76" s="5"/>
      <c r="J76" s="5"/>
      <c r="K76" s="5">
        <v>222</v>
      </c>
      <c r="L76" s="5">
        <v>3</v>
      </c>
      <c r="M76" s="5">
        <v>3</v>
      </c>
      <c r="N76" s="5" t="s">
        <v>3</v>
      </c>
      <c r="O76" s="5">
        <v>2</v>
      </c>
      <c r="P76" s="5"/>
      <c r="Q76" s="5"/>
      <c r="R76" s="5"/>
      <c r="S76" s="5"/>
      <c r="T76" s="5"/>
      <c r="U76" s="5"/>
      <c r="V76" s="5"/>
      <c r="W76" s="5">
        <v>0</v>
      </c>
      <c r="X76" s="5">
        <v>1</v>
      </c>
      <c r="Y76" s="5">
        <v>0</v>
      </c>
      <c r="Z76" s="5"/>
      <c r="AA76" s="5"/>
      <c r="AB76" s="5"/>
    </row>
    <row r="77" spans="1:255" x14ac:dyDescent="0.2">
      <c r="A77" s="5">
        <v>50</v>
      </c>
      <c r="B77" s="5">
        <v>0</v>
      </c>
      <c r="C77" s="5">
        <v>0</v>
      </c>
      <c r="D77" s="5">
        <v>1</v>
      </c>
      <c r="E77" s="5">
        <v>225</v>
      </c>
      <c r="F77" s="5">
        <f>ROUND(Source!AV72,O77)</f>
        <v>2808.88</v>
      </c>
      <c r="G77" s="5" t="s">
        <v>47</v>
      </c>
      <c r="H77" s="5" t="s">
        <v>48</v>
      </c>
      <c r="I77" s="5"/>
      <c r="J77" s="5"/>
      <c r="K77" s="5">
        <v>225</v>
      </c>
      <c r="L77" s="5">
        <v>4</v>
      </c>
      <c r="M77" s="5">
        <v>3</v>
      </c>
      <c r="N77" s="5" t="s">
        <v>3</v>
      </c>
      <c r="O77" s="5">
        <v>2</v>
      </c>
      <c r="P77" s="5"/>
      <c r="Q77" s="5"/>
      <c r="R77" s="5"/>
      <c r="S77" s="5"/>
      <c r="T77" s="5"/>
      <c r="U77" s="5"/>
      <c r="V77" s="5"/>
      <c r="W77" s="5">
        <v>2808.88</v>
      </c>
      <c r="X77" s="5">
        <v>1</v>
      </c>
      <c r="Y77" s="5">
        <v>2808.88</v>
      </c>
      <c r="Z77" s="5"/>
      <c r="AA77" s="5"/>
      <c r="AB77" s="5"/>
    </row>
    <row r="78" spans="1:255" x14ac:dyDescent="0.2">
      <c r="A78" s="5">
        <v>50</v>
      </c>
      <c r="B78" s="5">
        <v>0</v>
      </c>
      <c r="C78" s="5">
        <v>0</v>
      </c>
      <c r="D78" s="5">
        <v>1</v>
      </c>
      <c r="E78" s="5">
        <v>226</v>
      </c>
      <c r="F78" s="5">
        <f>ROUND(Source!AW72,O78)</f>
        <v>2808.88</v>
      </c>
      <c r="G78" s="5" t="s">
        <v>49</v>
      </c>
      <c r="H78" s="5" t="s">
        <v>50</v>
      </c>
      <c r="I78" s="5"/>
      <c r="J78" s="5"/>
      <c r="K78" s="5">
        <v>226</v>
      </c>
      <c r="L78" s="5">
        <v>5</v>
      </c>
      <c r="M78" s="5">
        <v>3</v>
      </c>
      <c r="N78" s="5" t="s">
        <v>3</v>
      </c>
      <c r="O78" s="5">
        <v>2</v>
      </c>
      <c r="P78" s="5"/>
      <c r="Q78" s="5"/>
      <c r="R78" s="5"/>
      <c r="S78" s="5"/>
      <c r="T78" s="5"/>
      <c r="U78" s="5"/>
      <c r="V78" s="5"/>
      <c r="W78" s="5">
        <v>2808.88</v>
      </c>
      <c r="X78" s="5">
        <v>1</v>
      </c>
      <c r="Y78" s="5">
        <v>2808.88</v>
      </c>
      <c r="Z78" s="5"/>
      <c r="AA78" s="5"/>
      <c r="AB78" s="5"/>
    </row>
    <row r="79" spans="1:255" x14ac:dyDescent="0.2">
      <c r="A79" s="5">
        <v>50</v>
      </c>
      <c r="B79" s="5">
        <v>0</v>
      </c>
      <c r="C79" s="5">
        <v>0</v>
      </c>
      <c r="D79" s="5">
        <v>1</v>
      </c>
      <c r="E79" s="5">
        <v>227</v>
      </c>
      <c r="F79" s="5">
        <f>ROUND(Source!AX72,O79)</f>
        <v>0</v>
      </c>
      <c r="G79" s="5" t="s">
        <v>51</v>
      </c>
      <c r="H79" s="5" t="s">
        <v>52</v>
      </c>
      <c r="I79" s="5"/>
      <c r="J79" s="5"/>
      <c r="K79" s="5">
        <v>227</v>
      </c>
      <c r="L79" s="5">
        <v>6</v>
      </c>
      <c r="M79" s="5">
        <v>3</v>
      </c>
      <c r="N79" s="5" t="s">
        <v>3</v>
      </c>
      <c r="O79" s="5">
        <v>2</v>
      </c>
      <c r="P79" s="5"/>
      <c r="Q79" s="5"/>
      <c r="R79" s="5"/>
      <c r="S79" s="5"/>
      <c r="T79" s="5"/>
      <c r="U79" s="5"/>
      <c r="V79" s="5"/>
      <c r="W79" s="5">
        <v>0</v>
      </c>
      <c r="X79" s="5">
        <v>1</v>
      </c>
      <c r="Y79" s="5">
        <v>0</v>
      </c>
      <c r="Z79" s="5"/>
      <c r="AA79" s="5"/>
      <c r="AB79" s="5"/>
    </row>
    <row r="80" spans="1:255" x14ac:dyDescent="0.2">
      <c r="A80" s="5">
        <v>50</v>
      </c>
      <c r="B80" s="5">
        <v>0</v>
      </c>
      <c r="C80" s="5">
        <v>0</v>
      </c>
      <c r="D80" s="5">
        <v>1</v>
      </c>
      <c r="E80" s="5">
        <v>228</v>
      </c>
      <c r="F80" s="5">
        <f>ROUND(Source!AY72,O80)</f>
        <v>2808.88</v>
      </c>
      <c r="G80" s="5" t="s">
        <v>53</v>
      </c>
      <c r="H80" s="5" t="s">
        <v>54</v>
      </c>
      <c r="I80" s="5"/>
      <c r="J80" s="5"/>
      <c r="K80" s="5">
        <v>228</v>
      </c>
      <c r="L80" s="5">
        <v>7</v>
      </c>
      <c r="M80" s="5">
        <v>3</v>
      </c>
      <c r="N80" s="5" t="s">
        <v>3</v>
      </c>
      <c r="O80" s="5">
        <v>2</v>
      </c>
      <c r="P80" s="5"/>
      <c r="Q80" s="5"/>
      <c r="R80" s="5"/>
      <c r="S80" s="5"/>
      <c r="T80" s="5"/>
      <c r="U80" s="5"/>
      <c r="V80" s="5"/>
      <c r="W80" s="5">
        <v>2808.88</v>
      </c>
      <c r="X80" s="5">
        <v>1</v>
      </c>
      <c r="Y80" s="5">
        <v>2808.88</v>
      </c>
      <c r="Z80" s="5"/>
      <c r="AA80" s="5"/>
      <c r="AB80" s="5"/>
    </row>
    <row r="81" spans="1:28" x14ac:dyDescent="0.2">
      <c r="A81" s="5">
        <v>50</v>
      </c>
      <c r="B81" s="5">
        <v>0</v>
      </c>
      <c r="C81" s="5">
        <v>0</v>
      </c>
      <c r="D81" s="5">
        <v>1</v>
      </c>
      <c r="E81" s="5">
        <v>216</v>
      </c>
      <c r="F81" s="5">
        <f>ROUND(Source!AP72,O81)</f>
        <v>0</v>
      </c>
      <c r="G81" s="5" t="s">
        <v>55</v>
      </c>
      <c r="H81" s="5" t="s">
        <v>56</v>
      </c>
      <c r="I81" s="5"/>
      <c r="J81" s="5"/>
      <c r="K81" s="5">
        <v>216</v>
      </c>
      <c r="L81" s="5">
        <v>8</v>
      </c>
      <c r="M81" s="5">
        <v>3</v>
      </c>
      <c r="N81" s="5" t="s">
        <v>3</v>
      </c>
      <c r="O81" s="5">
        <v>2</v>
      </c>
      <c r="P81" s="5"/>
      <c r="Q81" s="5"/>
      <c r="R81" s="5"/>
      <c r="S81" s="5"/>
      <c r="T81" s="5"/>
      <c r="U81" s="5"/>
      <c r="V81" s="5"/>
      <c r="W81" s="5">
        <v>0</v>
      </c>
      <c r="X81" s="5">
        <v>1</v>
      </c>
      <c r="Y81" s="5">
        <v>0</v>
      </c>
      <c r="Z81" s="5"/>
      <c r="AA81" s="5"/>
      <c r="AB81" s="5"/>
    </row>
    <row r="82" spans="1:28" x14ac:dyDescent="0.2">
      <c r="A82" s="5">
        <v>50</v>
      </c>
      <c r="B82" s="5">
        <v>0</v>
      </c>
      <c r="C82" s="5">
        <v>0</v>
      </c>
      <c r="D82" s="5">
        <v>1</v>
      </c>
      <c r="E82" s="5">
        <v>223</v>
      </c>
      <c r="F82" s="5">
        <f>ROUND(Source!AQ72,O82)</f>
        <v>0</v>
      </c>
      <c r="G82" s="5" t="s">
        <v>57</v>
      </c>
      <c r="H82" s="5" t="s">
        <v>58</v>
      </c>
      <c r="I82" s="5"/>
      <c r="J82" s="5"/>
      <c r="K82" s="5">
        <v>223</v>
      </c>
      <c r="L82" s="5">
        <v>9</v>
      </c>
      <c r="M82" s="5">
        <v>3</v>
      </c>
      <c r="N82" s="5" t="s">
        <v>3</v>
      </c>
      <c r="O82" s="5">
        <v>2</v>
      </c>
      <c r="P82" s="5"/>
      <c r="Q82" s="5"/>
      <c r="R82" s="5"/>
      <c r="S82" s="5"/>
      <c r="T82" s="5"/>
      <c r="U82" s="5"/>
      <c r="V82" s="5"/>
      <c r="W82" s="5">
        <v>0</v>
      </c>
      <c r="X82" s="5">
        <v>1</v>
      </c>
      <c r="Y82" s="5">
        <v>0</v>
      </c>
      <c r="Z82" s="5"/>
      <c r="AA82" s="5"/>
      <c r="AB82" s="5"/>
    </row>
    <row r="83" spans="1:28" x14ac:dyDescent="0.2">
      <c r="A83" s="5">
        <v>50</v>
      </c>
      <c r="B83" s="5">
        <v>0</v>
      </c>
      <c r="C83" s="5">
        <v>0</v>
      </c>
      <c r="D83" s="5">
        <v>1</v>
      </c>
      <c r="E83" s="5">
        <v>229</v>
      </c>
      <c r="F83" s="5">
        <f>ROUND(Source!AZ72,O83)</f>
        <v>0</v>
      </c>
      <c r="G83" s="5" t="s">
        <v>59</v>
      </c>
      <c r="H83" s="5" t="s">
        <v>60</v>
      </c>
      <c r="I83" s="5"/>
      <c r="J83" s="5"/>
      <c r="K83" s="5">
        <v>229</v>
      </c>
      <c r="L83" s="5">
        <v>10</v>
      </c>
      <c r="M83" s="5">
        <v>3</v>
      </c>
      <c r="N83" s="5" t="s">
        <v>3</v>
      </c>
      <c r="O83" s="5">
        <v>2</v>
      </c>
      <c r="P83" s="5"/>
      <c r="Q83" s="5"/>
      <c r="R83" s="5"/>
      <c r="S83" s="5"/>
      <c r="T83" s="5"/>
      <c r="U83" s="5"/>
      <c r="V83" s="5"/>
      <c r="W83" s="5">
        <v>0</v>
      </c>
      <c r="X83" s="5">
        <v>1</v>
      </c>
      <c r="Y83" s="5">
        <v>0</v>
      </c>
      <c r="Z83" s="5"/>
      <c r="AA83" s="5"/>
      <c r="AB83" s="5"/>
    </row>
    <row r="84" spans="1:28" x14ac:dyDescent="0.2">
      <c r="A84" s="5">
        <v>50</v>
      </c>
      <c r="B84" s="5">
        <v>0</v>
      </c>
      <c r="C84" s="5">
        <v>0</v>
      </c>
      <c r="D84" s="5">
        <v>1</v>
      </c>
      <c r="E84" s="5">
        <v>203</v>
      </c>
      <c r="F84" s="5">
        <f>ROUND(Source!Q72,O84)</f>
        <v>0</v>
      </c>
      <c r="G84" s="5" t="s">
        <v>61</v>
      </c>
      <c r="H84" s="5" t="s">
        <v>62</v>
      </c>
      <c r="I84" s="5"/>
      <c r="J84" s="5"/>
      <c r="K84" s="5">
        <v>203</v>
      </c>
      <c r="L84" s="5">
        <v>11</v>
      </c>
      <c r="M84" s="5">
        <v>3</v>
      </c>
      <c r="N84" s="5" t="s">
        <v>3</v>
      </c>
      <c r="O84" s="5">
        <v>2</v>
      </c>
      <c r="P84" s="5"/>
      <c r="Q84" s="5"/>
      <c r="R84" s="5"/>
      <c r="S84" s="5"/>
      <c r="T84" s="5"/>
      <c r="U84" s="5"/>
      <c r="V84" s="5"/>
      <c r="W84" s="5">
        <v>0</v>
      </c>
      <c r="X84" s="5">
        <v>1</v>
      </c>
      <c r="Y84" s="5">
        <v>0</v>
      </c>
      <c r="Z84" s="5"/>
      <c r="AA84" s="5"/>
      <c r="AB84" s="5"/>
    </row>
    <row r="85" spans="1:28" x14ac:dyDescent="0.2">
      <c r="A85" s="5">
        <v>50</v>
      </c>
      <c r="B85" s="5">
        <v>0</v>
      </c>
      <c r="C85" s="5">
        <v>0</v>
      </c>
      <c r="D85" s="5">
        <v>1</v>
      </c>
      <c r="E85" s="5">
        <v>231</v>
      </c>
      <c r="F85" s="5">
        <f>ROUND(Source!BB72,O85)</f>
        <v>0</v>
      </c>
      <c r="G85" s="5" t="s">
        <v>63</v>
      </c>
      <c r="H85" s="5" t="s">
        <v>64</v>
      </c>
      <c r="I85" s="5"/>
      <c r="J85" s="5"/>
      <c r="K85" s="5">
        <v>231</v>
      </c>
      <c r="L85" s="5">
        <v>12</v>
      </c>
      <c r="M85" s="5">
        <v>3</v>
      </c>
      <c r="N85" s="5" t="s">
        <v>3</v>
      </c>
      <c r="O85" s="5">
        <v>2</v>
      </c>
      <c r="P85" s="5"/>
      <c r="Q85" s="5"/>
      <c r="R85" s="5"/>
      <c r="S85" s="5"/>
      <c r="T85" s="5"/>
      <c r="U85" s="5"/>
      <c r="V85" s="5"/>
      <c r="W85" s="5">
        <v>0</v>
      </c>
      <c r="X85" s="5">
        <v>1</v>
      </c>
      <c r="Y85" s="5">
        <v>0</v>
      </c>
      <c r="Z85" s="5"/>
      <c r="AA85" s="5"/>
      <c r="AB85" s="5"/>
    </row>
    <row r="86" spans="1:28" x14ac:dyDescent="0.2">
      <c r="A86" s="5">
        <v>50</v>
      </c>
      <c r="B86" s="5">
        <v>0</v>
      </c>
      <c r="C86" s="5">
        <v>0</v>
      </c>
      <c r="D86" s="5">
        <v>1</v>
      </c>
      <c r="E86" s="5">
        <v>204</v>
      </c>
      <c r="F86" s="5">
        <f>ROUND(Source!R72,O86)</f>
        <v>0</v>
      </c>
      <c r="G86" s="5" t="s">
        <v>65</v>
      </c>
      <c r="H86" s="5" t="s">
        <v>66</v>
      </c>
      <c r="I86" s="5"/>
      <c r="J86" s="5"/>
      <c r="K86" s="5">
        <v>204</v>
      </c>
      <c r="L86" s="5">
        <v>13</v>
      </c>
      <c r="M86" s="5">
        <v>3</v>
      </c>
      <c r="N86" s="5" t="s">
        <v>3</v>
      </c>
      <c r="O86" s="5">
        <v>2</v>
      </c>
      <c r="P86" s="5"/>
      <c r="Q86" s="5"/>
      <c r="R86" s="5"/>
      <c r="S86" s="5"/>
      <c r="T86" s="5"/>
      <c r="U86" s="5"/>
      <c r="V86" s="5"/>
      <c r="W86" s="5">
        <v>0</v>
      </c>
      <c r="X86" s="5">
        <v>1</v>
      </c>
      <c r="Y86" s="5">
        <v>0</v>
      </c>
      <c r="Z86" s="5"/>
      <c r="AA86" s="5"/>
      <c r="AB86" s="5"/>
    </row>
    <row r="87" spans="1:28" x14ac:dyDescent="0.2">
      <c r="A87" s="5">
        <v>50</v>
      </c>
      <c r="B87" s="5">
        <v>0</v>
      </c>
      <c r="C87" s="5">
        <v>0</v>
      </c>
      <c r="D87" s="5">
        <v>1</v>
      </c>
      <c r="E87" s="5">
        <v>205</v>
      </c>
      <c r="F87" s="5">
        <f>ROUND(Source!S72,O87)</f>
        <v>29631.29</v>
      </c>
      <c r="G87" s="5" t="s">
        <v>67</v>
      </c>
      <c r="H87" s="5" t="s">
        <v>68</v>
      </c>
      <c r="I87" s="5"/>
      <c r="J87" s="5"/>
      <c r="K87" s="5">
        <v>205</v>
      </c>
      <c r="L87" s="5">
        <v>14</v>
      </c>
      <c r="M87" s="5">
        <v>3</v>
      </c>
      <c r="N87" s="5" t="s">
        <v>3</v>
      </c>
      <c r="O87" s="5">
        <v>2</v>
      </c>
      <c r="P87" s="5"/>
      <c r="Q87" s="5"/>
      <c r="R87" s="5"/>
      <c r="S87" s="5"/>
      <c r="T87" s="5"/>
      <c r="U87" s="5"/>
      <c r="V87" s="5"/>
      <c r="W87" s="5">
        <v>29631.29</v>
      </c>
      <c r="X87" s="5">
        <v>1</v>
      </c>
      <c r="Y87" s="5">
        <v>29631.29</v>
      </c>
      <c r="Z87" s="5"/>
      <c r="AA87" s="5"/>
      <c r="AB87" s="5"/>
    </row>
    <row r="88" spans="1:28" x14ac:dyDescent="0.2">
      <c r="A88" s="5">
        <v>50</v>
      </c>
      <c r="B88" s="5">
        <v>0</v>
      </c>
      <c r="C88" s="5">
        <v>0</v>
      </c>
      <c r="D88" s="5">
        <v>1</v>
      </c>
      <c r="E88" s="5">
        <v>232</v>
      </c>
      <c r="F88" s="5">
        <f>ROUND(Source!BC72,O88)</f>
        <v>0</v>
      </c>
      <c r="G88" s="5" t="s">
        <v>69</v>
      </c>
      <c r="H88" s="5" t="s">
        <v>70</v>
      </c>
      <c r="I88" s="5"/>
      <c r="J88" s="5"/>
      <c r="K88" s="5">
        <v>232</v>
      </c>
      <c r="L88" s="5">
        <v>15</v>
      </c>
      <c r="M88" s="5">
        <v>3</v>
      </c>
      <c r="N88" s="5" t="s">
        <v>3</v>
      </c>
      <c r="O88" s="5">
        <v>2</v>
      </c>
      <c r="P88" s="5"/>
      <c r="Q88" s="5"/>
      <c r="R88" s="5"/>
      <c r="S88" s="5"/>
      <c r="T88" s="5"/>
      <c r="U88" s="5"/>
      <c r="V88" s="5"/>
      <c r="W88" s="5">
        <v>0</v>
      </c>
      <c r="X88" s="5">
        <v>1</v>
      </c>
      <c r="Y88" s="5">
        <v>0</v>
      </c>
      <c r="Z88" s="5"/>
      <c r="AA88" s="5"/>
      <c r="AB88" s="5"/>
    </row>
    <row r="89" spans="1:28" x14ac:dyDescent="0.2">
      <c r="A89" s="5">
        <v>50</v>
      </c>
      <c r="B89" s="5">
        <v>0</v>
      </c>
      <c r="C89" s="5">
        <v>0</v>
      </c>
      <c r="D89" s="5">
        <v>1</v>
      </c>
      <c r="E89" s="5">
        <v>214</v>
      </c>
      <c r="F89" s="5">
        <f>ROUND(Source!AS72,O89)</f>
        <v>0</v>
      </c>
      <c r="G89" s="5" t="s">
        <v>71</v>
      </c>
      <c r="H89" s="5" t="s">
        <v>72</v>
      </c>
      <c r="I89" s="5"/>
      <c r="J89" s="5"/>
      <c r="K89" s="5">
        <v>214</v>
      </c>
      <c r="L89" s="5">
        <v>16</v>
      </c>
      <c r="M89" s="5">
        <v>3</v>
      </c>
      <c r="N89" s="5" t="s">
        <v>3</v>
      </c>
      <c r="O89" s="5">
        <v>2</v>
      </c>
      <c r="P89" s="5"/>
      <c r="Q89" s="5"/>
      <c r="R89" s="5"/>
      <c r="S89" s="5"/>
      <c r="T89" s="5"/>
      <c r="U89" s="5"/>
      <c r="V89" s="5"/>
      <c r="W89" s="5">
        <v>0</v>
      </c>
      <c r="X89" s="5">
        <v>1</v>
      </c>
      <c r="Y89" s="5">
        <v>0</v>
      </c>
      <c r="Z89" s="5"/>
      <c r="AA89" s="5"/>
      <c r="AB89" s="5"/>
    </row>
    <row r="90" spans="1:28" x14ac:dyDescent="0.2">
      <c r="A90" s="5">
        <v>50</v>
      </c>
      <c r="B90" s="5">
        <v>0</v>
      </c>
      <c r="C90" s="5">
        <v>0</v>
      </c>
      <c r="D90" s="5">
        <v>1</v>
      </c>
      <c r="E90" s="5">
        <v>215</v>
      </c>
      <c r="F90" s="5">
        <f>ROUND(Source!AT72,O90)</f>
        <v>0</v>
      </c>
      <c r="G90" s="5" t="s">
        <v>73</v>
      </c>
      <c r="H90" s="5" t="s">
        <v>74</v>
      </c>
      <c r="I90" s="5"/>
      <c r="J90" s="5"/>
      <c r="K90" s="5">
        <v>215</v>
      </c>
      <c r="L90" s="5">
        <v>17</v>
      </c>
      <c r="M90" s="5">
        <v>3</v>
      </c>
      <c r="N90" s="5" t="s">
        <v>3</v>
      </c>
      <c r="O90" s="5">
        <v>2</v>
      </c>
      <c r="P90" s="5"/>
      <c r="Q90" s="5"/>
      <c r="R90" s="5"/>
      <c r="S90" s="5"/>
      <c r="T90" s="5"/>
      <c r="U90" s="5"/>
      <c r="V90" s="5"/>
      <c r="W90" s="5">
        <v>0</v>
      </c>
      <c r="X90" s="5">
        <v>1</v>
      </c>
      <c r="Y90" s="5">
        <v>0</v>
      </c>
      <c r="Z90" s="5"/>
      <c r="AA90" s="5"/>
      <c r="AB90" s="5"/>
    </row>
    <row r="91" spans="1:28" x14ac:dyDescent="0.2">
      <c r="A91" s="5">
        <v>50</v>
      </c>
      <c r="B91" s="5">
        <v>0</v>
      </c>
      <c r="C91" s="5">
        <v>0</v>
      </c>
      <c r="D91" s="5">
        <v>1</v>
      </c>
      <c r="E91" s="5">
        <v>217</v>
      </c>
      <c r="F91" s="5">
        <f>ROUND(Source!AU72,O91)</f>
        <v>56145.2</v>
      </c>
      <c r="G91" s="5" t="s">
        <v>75</v>
      </c>
      <c r="H91" s="5" t="s">
        <v>76</v>
      </c>
      <c r="I91" s="5"/>
      <c r="J91" s="5"/>
      <c r="K91" s="5">
        <v>217</v>
      </c>
      <c r="L91" s="5">
        <v>18</v>
      </c>
      <c r="M91" s="5">
        <v>3</v>
      </c>
      <c r="N91" s="5" t="s">
        <v>3</v>
      </c>
      <c r="O91" s="5">
        <v>2</v>
      </c>
      <c r="P91" s="5"/>
      <c r="Q91" s="5"/>
      <c r="R91" s="5"/>
      <c r="S91" s="5"/>
      <c r="T91" s="5"/>
      <c r="U91" s="5"/>
      <c r="V91" s="5"/>
      <c r="W91" s="5">
        <v>56145.2</v>
      </c>
      <c r="X91" s="5">
        <v>1</v>
      </c>
      <c r="Y91" s="5">
        <v>56145.2</v>
      </c>
      <c r="Z91" s="5"/>
      <c r="AA91" s="5"/>
      <c r="AB91" s="5"/>
    </row>
    <row r="92" spans="1:28" x14ac:dyDescent="0.2">
      <c r="A92" s="5">
        <v>50</v>
      </c>
      <c r="B92" s="5">
        <v>0</v>
      </c>
      <c r="C92" s="5">
        <v>0</v>
      </c>
      <c r="D92" s="5">
        <v>1</v>
      </c>
      <c r="E92" s="5">
        <v>230</v>
      </c>
      <c r="F92" s="5">
        <f>ROUND(Source!BA72,O92)</f>
        <v>0</v>
      </c>
      <c r="G92" s="5" t="s">
        <v>77</v>
      </c>
      <c r="H92" s="5" t="s">
        <v>78</v>
      </c>
      <c r="I92" s="5"/>
      <c r="J92" s="5"/>
      <c r="K92" s="5">
        <v>230</v>
      </c>
      <c r="L92" s="5">
        <v>19</v>
      </c>
      <c r="M92" s="5">
        <v>3</v>
      </c>
      <c r="N92" s="5" t="s">
        <v>3</v>
      </c>
      <c r="O92" s="5">
        <v>2</v>
      </c>
      <c r="P92" s="5"/>
      <c r="Q92" s="5"/>
      <c r="R92" s="5"/>
      <c r="S92" s="5"/>
      <c r="T92" s="5"/>
      <c r="U92" s="5"/>
      <c r="V92" s="5"/>
      <c r="W92" s="5">
        <v>0</v>
      </c>
      <c r="X92" s="5">
        <v>1</v>
      </c>
      <c r="Y92" s="5">
        <v>0</v>
      </c>
      <c r="Z92" s="5"/>
      <c r="AA92" s="5"/>
      <c r="AB92" s="5"/>
    </row>
    <row r="93" spans="1:28" x14ac:dyDescent="0.2">
      <c r="A93" s="5">
        <v>50</v>
      </c>
      <c r="B93" s="5">
        <v>0</v>
      </c>
      <c r="C93" s="5">
        <v>0</v>
      </c>
      <c r="D93" s="5">
        <v>1</v>
      </c>
      <c r="E93" s="5">
        <v>206</v>
      </c>
      <c r="F93" s="5">
        <f>ROUND(Source!T72,O93)</f>
        <v>0</v>
      </c>
      <c r="G93" s="5" t="s">
        <v>79</v>
      </c>
      <c r="H93" s="5" t="s">
        <v>80</v>
      </c>
      <c r="I93" s="5"/>
      <c r="J93" s="5"/>
      <c r="K93" s="5">
        <v>206</v>
      </c>
      <c r="L93" s="5">
        <v>20</v>
      </c>
      <c r="M93" s="5">
        <v>3</v>
      </c>
      <c r="N93" s="5" t="s">
        <v>3</v>
      </c>
      <c r="O93" s="5">
        <v>2</v>
      </c>
      <c r="P93" s="5"/>
      <c r="Q93" s="5"/>
      <c r="R93" s="5"/>
      <c r="S93" s="5"/>
      <c r="T93" s="5"/>
      <c r="U93" s="5"/>
      <c r="V93" s="5"/>
      <c r="W93" s="5">
        <v>0</v>
      </c>
      <c r="X93" s="5">
        <v>1</v>
      </c>
      <c r="Y93" s="5">
        <v>0</v>
      </c>
      <c r="Z93" s="5"/>
      <c r="AA93" s="5"/>
      <c r="AB93" s="5"/>
    </row>
    <row r="94" spans="1:28" x14ac:dyDescent="0.2">
      <c r="A94" s="5">
        <v>50</v>
      </c>
      <c r="B94" s="5">
        <v>0</v>
      </c>
      <c r="C94" s="5">
        <v>0</v>
      </c>
      <c r="D94" s="5">
        <v>1</v>
      </c>
      <c r="E94" s="5">
        <v>207</v>
      </c>
      <c r="F94" s="5">
        <f>Source!U72</f>
        <v>38.714999999999996</v>
      </c>
      <c r="G94" s="5" t="s">
        <v>81</v>
      </c>
      <c r="H94" s="5" t="s">
        <v>82</v>
      </c>
      <c r="I94" s="5"/>
      <c r="J94" s="5"/>
      <c r="K94" s="5">
        <v>207</v>
      </c>
      <c r="L94" s="5">
        <v>21</v>
      </c>
      <c r="M94" s="5">
        <v>3</v>
      </c>
      <c r="N94" s="5" t="s">
        <v>3</v>
      </c>
      <c r="O94" s="5">
        <v>-1</v>
      </c>
      <c r="P94" s="5"/>
      <c r="Q94" s="5"/>
      <c r="R94" s="5"/>
      <c r="S94" s="5"/>
      <c r="T94" s="5"/>
      <c r="U94" s="5"/>
      <c r="V94" s="5"/>
      <c r="W94" s="5">
        <v>38.715000000000003</v>
      </c>
      <c r="X94" s="5">
        <v>1</v>
      </c>
      <c r="Y94" s="5">
        <v>38.715000000000003</v>
      </c>
      <c r="Z94" s="5"/>
      <c r="AA94" s="5"/>
      <c r="AB94" s="5"/>
    </row>
    <row r="95" spans="1:28" x14ac:dyDescent="0.2">
      <c r="A95" s="5">
        <v>50</v>
      </c>
      <c r="B95" s="5">
        <v>0</v>
      </c>
      <c r="C95" s="5">
        <v>0</v>
      </c>
      <c r="D95" s="5">
        <v>1</v>
      </c>
      <c r="E95" s="5">
        <v>208</v>
      </c>
      <c r="F95" s="5">
        <f>Source!V72</f>
        <v>0</v>
      </c>
      <c r="G95" s="5" t="s">
        <v>83</v>
      </c>
      <c r="H95" s="5" t="s">
        <v>84</v>
      </c>
      <c r="I95" s="5"/>
      <c r="J95" s="5"/>
      <c r="K95" s="5">
        <v>208</v>
      </c>
      <c r="L95" s="5">
        <v>22</v>
      </c>
      <c r="M95" s="5">
        <v>3</v>
      </c>
      <c r="N95" s="5" t="s">
        <v>3</v>
      </c>
      <c r="O95" s="5">
        <v>-1</v>
      </c>
      <c r="P95" s="5"/>
      <c r="Q95" s="5"/>
      <c r="R95" s="5"/>
      <c r="S95" s="5"/>
      <c r="T95" s="5"/>
      <c r="U95" s="5"/>
      <c r="V95" s="5"/>
      <c r="W95" s="5">
        <v>0</v>
      </c>
      <c r="X95" s="5">
        <v>1</v>
      </c>
      <c r="Y95" s="5">
        <v>0</v>
      </c>
      <c r="Z95" s="5"/>
      <c r="AA95" s="5"/>
      <c r="AB95" s="5"/>
    </row>
    <row r="96" spans="1:28" x14ac:dyDescent="0.2">
      <c r="A96" s="5">
        <v>50</v>
      </c>
      <c r="B96" s="5">
        <v>0</v>
      </c>
      <c r="C96" s="5">
        <v>0</v>
      </c>
      <c r="D96" s="5">
        <v>1</v>
      </c>
      <c r="E96" s="5">
        <v>209</v>
      </c>
      <c r="F96" s="5">
        <f>ROUND(Source!W72,O96)</f>
        <v>0</v>
      </c>
      <c r="G96" s="5" t="s">
        <v>85</v>
      </c>
      <c r="H96" s="5" t="s">
        <v>86</v>
      </c>
      <c r="I96" s="5"/>
      <c r="J96" s="5"/>
      <c r="K96" s="5">
        <v>209</v>
      </c>
      <c r="L96" s="5">
        <v>23</v>
      </c>
      <c r="M96" s="5">
        <v>3</v>
      </c>
      <c r="N96" s="5" t="s">
        <v>3</v>
      </c>
      <c r="O96" s="5">
        <v>2</v>
      </c>
      <c r="P96" s="5"/>
      <c r="Q96" s="5"/>
      <c r="R96" s="5"/>
      <c r="S96" s="5"/>
      <c r="T96" s="5"/>
      <c r="U96" s="5"/>
      <c r="V96" s="5"/>
      <c r="W96" s="5">
        <v>0</v>
      </c>
      <c r="X96" s="5">
        <v>1</v>
      </c>
      <c r="Y96" s="5">
        <v>0</v>
      </c>
      <c r="Z96" s="5"/>
      <c r="AA96" s="5"/>
      <c r="AB96" s="5"/>
    </row>
    <row r="97" spans="1:206" x14ac:dyDescent="0.2">
      <c r="A97" s="5">
        <v>50</v>
      </c>
      <c r="B97" s="5">
        <v>0</v>
      </c>
      <c r="C97" s="5">
        <v>0</v>
      </c>
      <c r="D97" s="5">
        <v>1</v>
      </c>
      <c r="E97" s="5">
        <v>233</v>
      </c>
      <c r="F97" s="5">
        <f>ROUND(Source!BD72,O97)</f>
        <v>0</v>
      </c>
      <c r="G97" s="5" t="s">
        <v>87</v>
      </c>
      <c r="H97" s="5" t="s">
        <v>88</v>
      </c>
      <c r="I97" s="5"/>
      <c r="J97" s="5"/>
      <c r="K97" s="5">
        <v>233</v>
      </c>
      <c r="L97" s="5">
        <v>24</v>
      </c>
      <c r="M97" s="5">
        <v>3</v>
      </c>
      <c r="N97" s="5" t="s">
        <v>3</v>
      </c>
      <c r="O97" s="5">
        <v>2</v>
      </c>
      <c r="P97" s="5"/>
      <c r="Q97" s="5"/>
      <c r="R97" s="5"/>
      <c r="S97" s="5"/>
      <c r="T97" s="5"/>
      <c r="U97" s="5"/>
      <c r="V97" s="5"/>
      <c r="W97" s="5">
        <v>0</v>
      </c>
      <c r="X97" s="5">
        <v>1</v>
      </c>
      <c r="Y97" s="5">
        <v>0</v>
      </c>
      <c r="Z97" s="5"/>
      <c r="AA97" s="5"/>
      <c r="AB97" s="5"/>
    </row>
    <row r="98" spans="1:206" x14ac:dyDescent="0.2">
      <c r="A98" s="5">
        <v>50</v>
      </c>
      <c r="B98" s="5">
        <v>0</v>
      </c>
      <c r="C98" s="5">
        <v>0</v>
      </c>
      <c r="D98" s="5">
        <v>1</v>
      </c>
      <c r="E98" s="5">
        <v>210</v>
      </c>
      <c r="F98" s="5">
        <f>ROUND(Source!X72,O98)</f>
        <v>20741.900000000001</v>
      </c>
      <c r="G98" s="5" t="s">
        <v>89</v>
      </c>
      <c r="H98" s="5" t="s">
        <v>90</v>
      </c>
      <c r="I98" s="5"/>
      <c r="J98" s="5"/>
      <c r="K98" s="5">
        <v>210</v>
      </c>
      <c r="L98" s="5">
        <v>25</v>
      </c>
      <c r="M98" s="5">
        <v>3</v>
      </c>
      <c r="N98" s="5" t="s">
        <v>3</v>
      </c>
      <c r="O98" s="5">
        <v>2</v>
      </c>
      <c r="P98" s="5"/>
      <c r="Q98" s="5"/>
      <c r="R98" s="5"/>
      <c r="S98" s="5"/>
      <c r="T98" s="5"/>
      <c r="U98" s="5"/>
      <c r="V98" s="5"/>
      <c r="W98" s="5">
        <v>20741.900000000001</v>
      </c>
      <c r="X98" s="5">
        <v>1</v>
      </c>
      <c r="Y98" s="5">
        <v>20741.900000000001</v>
      </c>
      <c r="Z98" s="5"/>
      <c r="AA98" s="5"/>
      <c r="AB98" s="5"/>
    </row>
    <row r="99" spans="1:206" x14ac:dyDescent="0.2">
      <c r="A99" s="5">
        <v>50</v>
      </c>
      <c r="B99" s="5">
        <v>0</v>
      </c>
      <c r="C99" s="5">
        <v>0</v>
      </c>
      <c r="D99" s="5">
        <v>1</v>
      </c>
      <c r="E99" s="5">
        <v>211</v>
      </c>
      <c r="F99" s="5">
        <f>ROUND(Source!Y72,O99)</f>
        <v>2963.13</v>
      </c>
      <c r="G99" s="5" t="s">
        <v>91</v>
      </c>
      <c r="H99" s="5" t="s">
        <v>92</v>
      </c>
      <c r="I99" s="5"/>
      <c r="J99" s="5"/>
      <c r="K99" s="5">
        <v>211</v>
      </c>
      <c r="L99" s="5">
        <v>26</v>
      </c>
      <c r="M99" s="5">
        <v>3</v>
      </c>
      <c r="N99" s="5" t="s">
        <v>3</v>
      </c>
      <c r="O99" s="5">
        <v>2</v>
      </c>
      <c r="P99" s="5"/>
      <c r="Q99" s="5"/>
      <c r="R99" s="5"/>
      <c r="S99" s="5"/>
      <c r="T99" s="5"/>
      <c r="U99" s="5"/>
      <c r="V99" s="5"/>
      <c r="W99" s="5">
        <v>2963.13</v>
      </c>
      <c r="X99" s="5">
        <v>1</v>
      </c>
      <c r="Y99" s="5">
        <v>2963.13</v>
      </c>
      <c r="Z99" s="5"/>
      <c r="AA99" s="5"/>
      <c r="AB99" s="5"/>
    </row>
    <row r="100" spans="1:206" x14ac:dyDescent="0.2">
      <c r="A100" s="5">
        <v>50</v>
      </c>
      <c r="B100" s="5">
        <v>0</v>
      </c>
      <c r="C100" s="5">
        <v>0</v>
      </c>
      <c r="D100" s="5">
        <v>1</v>
      </c>
      <c r="E100" s="5">
        <v>224</v>
      </c>
      <c r="F100" s="5">
        <f>ROUND(Source!AR72,O100)</f>
        <v>56145.2</v>
      </c>
      <c r="G100" s="5" t="s">
        <v>93</v>
      </c>
      <c r="H100" s="5" t="s">
        <v>94</v>
      </c>
      <c r="I100" s="5"/>
      <c r="J100" s="5"/>
      <c r="K100" s="5">
        <v>224</v>
      </c>
      <c r="L100" s="5">
        <v>27</v>
      </c>
      <c r="M100" s="5">
        <v>3</v>
      </c>
      <c r="N100" s="5" t="s">
        <v>3</v>
      </c>
      <c r="O100" s="5">
        <v>2</v>
      </c>
      <c r="P100" s="5"/>
      <c r="Q100" s="5"/>
      <c r="R100" s="5"/>
      <c r="S100" s="5"/>
      <c r="T100" s="5"/>
      <c r="U100" s="5"/>
      <c r="V100" s="5"/>
      <c r="W100" s="5">
        <v>56145.2</v>
      </c>
      <c r="X100" s="5">
        <v>1</v>
      </c>
      <c r="Y100" s="5">
        <v>56145.2</v>
      </c>
      <c r="Z100" s="5"/>
      <c r="AA100" s="5"/>
      <c r="AB100" s="5"/>
    </row>
    <row r="101" spans="1:206" x14ac:dyDescent="0.2">
      <c r="A101" s="5">
        <v>50</v>
      </c>
      <c r="B101" s="5">
        <v>1</v>
      </c>
      <c r="C101" s="5">
        <v>0</v>
      </c>
      <c r="D101" s="5">
        <v>2</v>
      </c>
      <c r="E101" s="5">
        <v>0</v>
      </c>
      <c r="F101" s="5">
        <f>ROUND(F100*0.22,O101)</f>
        <v>12351.94</v>
      </c>
      <c r="G101" s="5" t="s">
        <v>95</v>
      </c>
      <c r="H101" s="5" t="s">
        <v>96</v>
      </c>
      <c r="I101" s="5"/>
      <c r="J101" s="5"/>
      <c r="K101" s="5">
        <v>212</v>
      </c>
      <c r="L101" s="5">
        <v>28</v>
      </c>
      <c r="M101" s="5">
        <v>0</v>
      </c>
      <c r="N101" s="5" t="s">
        <v>3</v>
      </c>
      <c r="O101" s="5">
        <v>2</v>
      </c>
      <c r="P101" s="5"/>
      <c r="Q101" s="5"/>
      <c r="R101" s="5"/>
      <c r="S101" s="5"/>
      <c r="T101" s="5"/>
      <c r="U101" s="5"/>
      <c r="V101" s="5"/>
      <c r="W101" s="5">
        <v>12351.94</v>
      </c>
      <c r="X101" s="5">
        <v>1</v>
      </c>
      <c r="Y101" s="5">
        <v>12351.94</v>
      </c>
      <c r="Z101" s="5"/>
      <c r="AA101" s="5"/>
      <c r="AB101" s="5"/>
    </row>
    <row r="102" spans="1:206" x14ac:dyDescent="0.2">
      <c r="A102" s="5">
        <v>50</v>
      </c>
      <c r="B102" s="5">
        <v>1</v>
      </c>
      <c r="C102" s="5">
        <v>0</v>
      </c>
      <c r="D102" s="5">
        <v>2</v>
      </c>
      <c r="E102" s="5">
        <v>0</v>
      </c>
      <c r="F102" s="5">
        <f>ROUND(F100*1.22,O102)</f>
        <v>68497.14</v>
      </c>
      <c r="G102" s="5" t="s">
        <v>97</v>
      </c>
      <c r="H102" s="5" t="s">
        <v>98</v>
      </c>
      <c r="I102" s="5"/>
      <c r="J102" s="5"/>
      <c r="K102" s="5">
        <v>212</v>
      </c>
      <c r="L102" s="5">
        <v>29</v>
      </c>
      <c r="M102" s="5">
        <v>0</v>
      </c>
      <c r="N102" s="5" t="s">
        <v>3</v>
      </c>
      <c r="O102" s="5">
        <v>2</v>
      </c>
      <c r="P102" s="5"/>
      <c r="Q102" s="5"/>
      <c r="R102" s="5"/>
      <c r="S102" s="5"/>
      <c r="T102" s="5"/>
      <c r="U102" s="5"/>
      <c r="V102" s="5"/>
      <c r="W102" s="5">
        <v>68497.14</v>
      </c>
      <c r="X102" s="5">
        <v>1</v>
      </c>
      <c r="Y102" s="5">
        <v>68497.14</v>
      </c>
      <c r="Z102" s="5"/>
      <c r="AA102" s="5"/>
      <c r="AB102" s="5"/>
    </row>
    <row r="104" spans="1:206" x14ac:dyDescent="0.2">
      <c r="A104" s="3">
        <v>51</v>
      </c>
      <c r="B104" s="3">
        <f>B20</f>
        <v>1</v>
      </c>
      <c r="C104" s="3">
        <f>A20</f>
        <v>3</v>
      </c>
      <c r="D104" s="3">
        <f>ROW(A20)</f>
        <v>20</v>
      </c>
      <c r="E104" s="3"/>
      <c r="F104" s="3" t="str">
        <f>IF(F20&lt;&gt;"",F20,"")</f>
        <v>Новая локальная смета</v>
      </c>
      <c r="G104" s="3" t="str">
        <f>IF(G20&lt;&gt;"",G20,"")</f>
        <v>Новая локальная смета</v>
      </c>
      <c r="H104" s="3">
        <v>0</v>
      </c>
      <c r="I104" s="3"/>
      <c r="J104" s="3"/>
      <c r="K104" s="3"/>
      <c r="L104" s="3"/>
      <c r="M104" s="3"/>
      <c r="N104" s="3"/>
      <c r="O104" s="3">
        <f t="shared" ref="O104:T104" si="36">ROUND(O34+O72+AB104,2)</f>
        <v>201814.54</v>
      </c>
      <c r="P104" s="3">
        <f t="shared" si="36"/>
        <v>47779.86</v>
      </c>
      <c r="Q104" s="3">
        <f t="shared" si="36"/>
        <v>10.8</v>
      </c>
      <c r="R104" s="3">
        <f t="shared" si="36"/>
        <v>0.05</v>
      </c>
      <c r="S104" s="3">
        <f t="shared" si="36"/>
        <v>154023.88</v>
      </c>
      <c r="T104" s="3">
        <f t="shared" si="36"/>
        <v>0</v>
      </c>
      <c r="U104" s="3">
        <f>U34+U72+AH104</f>
        <v>215.38950000000003</v>
      </c>
      <c r="V104" s="3">
        <f>V34+V72+AI104</f>
        <v>0</v>
      </c>
      <c r="W104" s="3">
        <f>ROUND(W34+W72+AJ104,2)</f>
        <v>0</v>
      </c>
      <c r="X104" s="3">
        <f>ROUND(X34+X72+AK104,2)</f>
        <v>107816.72</v>
      </c>
      <c r="Y104" s="3">
        <f>ROUND(Y34+Y72+AL104,2)</f>
        <v>15402.39</v>
      </c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>
        <f t="shared" ref="AO104:BD104" si="37">ROUND(AO34+AO72+BX104,2)</f>
        <v>0</v>
      </c>
      <c r="AP104" s="3">
        <f t="shared" si="37"/>
        <v>0</v>
      </c>
      <c r="AQ104" s="3">
        <f t="shared" si="37"/>
        <v>0</v>
      </c>
      <c r="AR104" s="3">
        <f t="shared" si="37"/>
        <v>325033.71000000002</v>
      </c>
      <c r="AS104" s="3">
        <f t="shared" si="37"/>
        <v>0</v>
      </c>
      <c r="AT104" s="3">
        <f t="shared" si="37"/>
        <v>0</v>
      </c>
      <c r="AU104" s="3">
        <f t="shared" si="37"/>
        <v>325033.71000000002</v>
      </c>
      <c r="AV104" s="3">
        <f t="shared" si="37"/>
        <v>47779.86</v>
      </c>
      <c r="AW104" s="3">
        <f t="shared" si="37"/>
        <v>47779.86</v>
      </c>
      <c r="AX104" s="3">
        <f t="shared" si="37"/>
        <v>0</v>
      </c>
      <c r="AY104" s="3">
        <f t="shared" si="37"/>
        <v>47779.86</v>
      </c>
      <c r="AZ104" s="3">
        <f t="shared" si="37"/>
        <v>0</v>
      </c>
      <c r="BA104" s="3">
        <f t="shared" si="37"/>
        <v>0</v>
      </c>
      <c r="BB104" s="3">
        <f t="shared" si="37"/>
        <v>0</v>
      </c>
      <c r="BC104" s="3">
        <f t="shared" si="37"/>
        <v>0</v>
      </c>
      <c r="BD104" s="3">
        <f t="shared" si="37"/>
        <v>0</v>
      </c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>
        <v>0</v>
      </c>
    </row>
    <row r="106" spans="1:206" x14ac:dyDescent="0.2">
      <c r="A106" s="5">
        <v>50</v>
      </c>
      <c r="B106" s="5">
        <v>0</v>
      </c>
      <c r="C106" s="5">
        <v>0</v>
      </c>
      <c r="D106" s="5">
        <v>1</v>
      </c>
      <c r="E106" s="5">
        <v>201</v>
      </c>
      <c r="F106" s="5">
        <f>ROUND(Source!O104,O106)</f>
        <v>201814.54</v>
      </c>
      <c r="G106" s="5" t="s">
        <v>41</v>
      </c>
      <c r="H106" s="5" t="s">
        <v>42</v>
      </c>
      <c r="I106" s="5"/>
      <c r="J106" s="5"/>
      <c r="K106" s="5">
        <v>201</v>
      </c>
      <c r="L106" s="5">
        <v>1</v>
      </c>
      <c r="M106" s="5">
        <v>3</v>
      </c>
      <c r="N106" s="5" t="s">
        <v>3</v>
      </c>
      <c r="O106" s="5">
        <v>2</v>
      </c>
      <c r="P106" s="5"/>
      <c r="Q106" s="5"/>
      <c r="R106" s="5"/>
      <c r="S106" s="5"/>
      <c r="T106" s="5"/>
      <c r="U106" s="5"/>
      <c r="V106" s="5"/>
      <c r="W106" s="5">
        <v>201814.54</v>
      </c>
      <c r="X106" s="5">
        <v>1</v>
      </c>
      <c r="Y106" s="5">
        <v>201814.54</v>
      </c>
      <c r="Z106" s="5"/>
      <c r="AA106" s="5"/>
      <c r="AB106" s="5"/>
    </row>
    <row r="107" spans="1:206" x14ac:dyDescent="0.2">
      <c r="A107" s="5">
        <v>50</v>
      </c>
      <c r="B107" s="5">
        <v>0</v>
      </c>
      <c r="C107" s="5">
        <v>0</v>
      </c>
      <c r="D107" s="5">
        <v>1</v>
      </c>
      <c r="E107" s="5">
        <v>202</v>
      </c>
      <c r="F107" s="5">
        <f>ROUND(Source!P104,O107)</f>
        <v>47779.86</v>
      </c>
      <c r="G107" s="5" t="s">
        <v>43</v>
      </c>
      <c r="H107" s="5" t="s">
        <v>44</v>
      </c>
      <c r="I107" s="5"/>
      <c r="J107" s="5"/>
      <c r="K107" s="5">
        <v>202</v>
      </c>
      <c r="L107" s="5">
        <v>2</v>
      </c>
      <c r="M107" s="5">
        <v>3</v>
      </c>
      <c r="N107" s="5" t="s">
        <v>3</v>
      </c>
      <c r="O107" s="5">
        <v>2</v>
      </c>
      <c r="P107" s="5"/>
      <c r="Q107" s="5"/>
      <c r="R107" s="5"/>
      <c r="S107" s="5"/>
      <c r="T107" s="5"/>
      <c r="U107" s="5"/>
      <c r="V107" s="5"/>
      <c r="W107" s="5">
        <v>47779.86</v>
      </c>
      <c r="X107" s="5">
        <v>1</v>
      </c>
      <c r="Y107" s="5">
        <v>47779.86</v>
      </c>
      <c r="Z107" s="5"/>
      <c r="AA107" s="5"/>
      <c r="AB107" s="5"/>
    </row>
    <row r="108" spans="1:206" x14ac:dyDescent="0.2">
      <c r="A108" s="5">
        <v>50</v>
      </c>
      <c r="B108" s="5">
        <v>0</v>
      </c>
      <c r="C108" s="5">
        <v>0</v>
      </c>
      <c r="D108" s="5">
        <v>1</v>
      </c>
      <c r="E108" s="5">
        <v>222</v>
      </c>
      <c r="F108" s="5">
        <f>ROUND(Source!AO104,O108)</f>
        <v>0</v>
      </c>
      <c r="G108" s="5" t="s">
        <v>45</v>
      </c>
      <c r="H108" s="5" t="s">
        <v>46</v>
      </c>
      <c r="I108" s="5"/>
      <c r="J108" s="5"/>
      <c r="K108" s="5">
        <v>222</v>
      </c>
      <c r="L108" s="5">
        <v>3</v>
      </c>
      <c r="M108" s="5">
        <v>3</v>
      </c>
      <c r="N108" s="5" t="s">
        <v>3</v>
      </c>
      <c r="O108" s="5">
        <v>2</v>
      </c>
      <c r="P108" s="5"/>
      <c r="Q108" s="5"/>
      <c r="R108" s="5"/>
      <c r="S108" s="5"/>
      <c r="T108" s="5"/>
      <c r="U108" s="5"/>
      <c r="V108" s="5"/>
      <c r="W108" s="5">
        <v>0</v>
      </c>
      <c r="X108" s="5">
        <v>1</v>
      </c>
      <c r="Y108" s="5">
        <v>0</v>
      </c>
      <c r="Z108" s="5"/>
      <c r="AA108" s="5"/>
      <c r="AB108" s="5"/>
    </row>
    <row r="109" spans="1:206" x14ac:dyDescent="0.2">
      <c r="A109" s="5">
        <v>50</v>
      </c>
      <c r="B109" s="5">
        <v>0</v>
      </c>
      <c r="C109" s="5">
        <v>0</v>
      </c>
      <c r="D109" s="5">
        <v>1</v>
      </c>
      <c r="E109" s="5">
        <v>225</v>
      </c>
      <c r="F109" s="5">
        <f>ROUND(Source!AV104,O109)</f>
        <v>47779.86</v>
      </c>
      <c r="G109" s="5" t="s">
        <v>47</v>
      </c>
      <c r="H109" s="5" t="s">
        <v>48</v>
      </c>
      <c r="I109" s="5"/>
      <c r="J109" s="5"/>
      <c r="K109" s="5">
        <v>225</v>
      </c>
      <c r="L109" s="5">
        <v>4</v>
      </c>
      <c r="M109" s="5">
        <v>3</v>
      </c>
      <c r="N109" s="5" t="s">
        <v>3</v>
      </c>
      <c r="O109" s="5">
        <v>2</v>
      </c>
      <c r="P109" s="5"/>
      <c r="Q109" s="5"/>
      <c r="R109" s="5"/>
      <c r="S109" s="5"/>
      <c r="T109" s="5"/>
      <c r="U109" s="5"/>
      <c r="V109" s="5"/>
      <c r="W109" s="5">
        <v>47779.86</v>
      </c>
      <c r="X109" s="5">
        <v>1</v>
      </c>
      <c r="Y109" s="5">
        <v>47779.86</v>
      </c>
      <c r="Z109" s="5"/>
      <c r="AA109" s="5"/>
      <c r="AB109" s="5"/>
    </row>
    <row r="110" spans="1:206" x14ac:dyDescent="0.2">
      <c r="A110" s="5">
        <v>50</v>
      </c>
      <c r="B110" s="5">
        <v>0</v>
      </c>
      <c r="C110" s="5">
        <v>0</v>
      </c>
      <c r="D110" s="5">
        <v>1</v>
      </c>
      <c r="E110" s="5">
        <v>226</v>
      </c>
      <c r="F110" s="5">
        <f>ROUND(Source!AW104,O110)</f>
        <v>47779.86</v>
      </c>
      <c r="G110" s="5" t="s">
        <v>49</v>
      </c>
      <c r="H110" s="5" t="s">
        <v>50</v>
      </c>
      <c r="I110" s="5"/>
      <c r="J110" s="5"/>
      <c r="K110" s="5">
        <v>226</v>
      </c>
      <c r="L110" s="5">
        <v>5</v>
      </c>
      <c r="M110" s="5">
        <v>3</v>
      </c>
      <c r="N110" s="5" t="s">
        <v>3</v>
      </c>
      <c r="O110" s="5">
        <v>2</v>
      </c>
      <c r="P110" s="5"/>
      <c r="Q110" s="5"/>
      <c r="R110" s="5"/>
      <c r="S110" s="5"/>
      <c r="T110" s="5"/>
      <c r="U110" s="5"/>
      <c r="V110" s="5"/>
      <c r="W110" s="5">
        <v>47779.86</v>
      </c>
      <c r="X110" s="5">
        <v>1</v>
      </c>
      <c r="Y110" s="5">
        <v>47779.86</v>
      </c>
      <c r="Z110" s="5"/>
      <c r="AA110" s="5"/>
      <c r="AB110" s="5"/>
    </row>
    <row r="111" spans="1:206" x14ac:dyDescent="0.2">
      <c r="A111" s="5">
        <v>50</v>
      </c>
      <c r="B111" s="5">
        <v>0</v>
      </c>
      <c r="C111" s="5">
        <v>0</v>
      </c>
      <c r="D111" s="5">
        <v>1</v>
      </c>
      <c r="E111" s="5">
        <v>227</v>
      </c>
      <c r="F111" s="5">
        <f>ROUND(Source!AX104,O111)</f>
        <v>0</v>
      </c>
      <c r="G111" s="5" t="s">
        <v>51</v>
      </c>
      <c r="H111" s="5" t="s">
        <v>52</v>
      </c>
      <c r="I111" s="5"/>
      <c r="J111" s="5"/>
      <c r="K111" s="5">
        <v>227</v>
      </c>
      <c r="L111" s="5">
        <v>6</v>
      </c>
      <c r="M111" s="5">
        <v>3</v>
      </c>
      <c r="N111" s="5" t="s">
        <v>3</v>
      </c>
      <c r="O111" s="5">
        <v>2</v>
      </c>
      <c r="P111" s="5"/>
      <c r="Q111" s="5"/>
      <c r="R111" s="5"/>
      <c r="S111" s="5"/>
      <c r="T111" s="5"/>
      <c r="U111" s="5"/>
      <c r="V111" s="5"/>
      <c r="W111" s="5">
        <v>0</v>
      </c>
      <c r="X111" s="5">
        <v>1</v>
      </c>
      <c r="Y111" s="5">
        <v>0</v>
      </c>
      <c r="Z111" s="5"/>
      <c r="AA111" s="5"/>
      <c r="AB111" s="5"/>
    </row>
    <row r="112" spans="1:206" x14ac:dyDescent="0.2">
      <c r="A112" s="5">
        <v>50</v>
      </c>
      <c r="B112" s="5">
        <v>0</v>
      </c>
      <c r="C112" s="5">
        <v>0</v>
      </c>
      <c r="D112" s="5">
        <v>1</v>
      </c>
      <c r="E112" s="5">
        <v>228</v>
      </c>
      <c r="F112" s="5">
        <f>ROUND(Source!AY104,O112)</f>
        <v>47779.86</v>
      </c>
      <c r="G112" s="5" t="s">
        <v>53</v>
      </c>
      <c r="H112" s="5" t="s">
        <v>54</v>
      </c>
      <c r="I112" s="5"/>
      <c r="J112" s="5"/>
      <c r="K112" s="5">
        <v>228</v>
      </c>
      <c r="L112" s="5">
        <v>7</v>
      </c>
      <c r="M112" s="5">
        <v>3</v>
      </c>
      <c r="N112" s="5" t="s">
        <v>3</v>
      </c>
      <c r="O112" s="5">
        <v>2</v>
      </c>
      <c r="P112" s="5"/>
      <c r="Q112" s="5"/>
      <c r="R112" s="5"/>
      <c r="S112" s="5"/>
      <c r="T112" s="5"/>
      <c r="U112" s="5"/>
      <c r="V112" s="5"/>
      <c r="W112" s="5">
        <v>47779.86</v>
      </c>
      <c r="X112" s="5">
        <v>1</v>
      </c>
      <c r="Y112" s="5">
        <v>47779.86</v>
      </c>
      <c r="Z112" s="5"/>
      <c r="AA112" s="5"/>
      <c r="AB112" s="5"/>
    </row>
    <row r="113" spans="1:28" x14ac:dyDescent="0.2">
      <c r="A113" s="5">
        <v>50</v>
      </c>
      <c r="B113" s="5">
        <v>0</v>
      </c>
      <c r="C113" s="5">
        <v>0</v>
      </c>
      <c r="D113" s="5">
        <v>1</v>
      </c>
      <c r="E113" s="5">
        <v>216</v>
      </c>
      <c r="F113" s="5">
        <f>ROUND(Source!AP104,O113)</f>
        <v>0</v>
      </c>
      <c r="G113" s="5" t="s">
        <v>55</v>
      </c>
      <c r="H113" s="5" t="s">
        <v>56</v>
      </c>
      <c r="I113" s="5"/>
      <c r="J113" s="5"/>
      <c r="K113" s="5">
        <v>216</v>
      </c>
      <c r="L113" s="5">
        <v>8</v>
      </c>
      <c r="M113" s="5">
        <v>3</v>
      </c>
      <c r="N113" s="5" t="s">
        <v>3</v>
      </c>
      <c r="O113" s="5">
        <v>2</v>
      </c>
      <c r="P113" s="5"/>
      <c r="Q113" s="5"/>
      <c r="R113" s="5"/>
      <c r="S113" s="5"/>
      <c r="T113" s="5"/>
      <c r="U113" s="5"/>
      <c r="V113" s="5"/>
      <c r="W113" s="5">
        <v>0</v>
      </c>
      <c r="X113" s="5">
        <v>1</v>
      </c>
      <c r="Y113" s="5">
        <v>0</v>
      </c>
      <c r="Z113" s="5"/>
      <c r="AA113" s="5"/>
      <c r="AB113" s="5"/>
    </row>
    <row r="114" spans="1:28" x14ac:dyDescent="0.2">
      <c r="A114" s="5">
        <v>50</v>
      </c>
      <c r="B114" s="5">
        <v>0</v>
      </c>
      <c r="C114" s="5">
        <v>0</v>
      </c>
      <c r="D114" s="5">
        <v>1</v>
      </c>
      <c r="E114" s="5">
        <v>223</v>
      </c>
      <c r="F114" s="5">
        <f>ROUND(Source!AQ104,O114)</f>
        <v>0</v>
      </c>
      <c r="G114" s="5" t="s">
        <v>57</v>
      </c>
      <c r="H114" s="5" t="s">
        <v>58</v>
      </c>
      <c r="I114" s="5"/>
      <c r="J114" s="5"/>
      <c r="K114" s="5">
        <v>223</v>
      </c>
      <c r="L114" s="5">
        <v>9</v>
      </c>
      <c r="M114" s="5">
        <v>3</v>
      </c>
      <c r="N114" s="5" t="s">
        <v>3</v>
      </c>
      <c r="O114" s="5">
        <v>2</v>
      </c>
      <c r="P114" s="5"/>
      <c r="Q114" s="5"/>
      <c r="R114" s="5"/>
      <c r="S114" s="5"/>
      <c r="T114" s="5"/>
      <c r="U114" s="5"/>
      <c r="V114" s="5"/>
      <c r="W114" s="5">
        <v>0</v>
      </c>
      <c r="X114" s="5">
        <v>1</v>
      </c>
      <c r="Y114" s="5">
        <v>0</v>
      </c>
      <c r="Z114" s="5"/>
      <c r="AA114" s="5"/>
      <c r="AB114" s="5"/>
    </row>
    <row r="115" spans="1:28" x14ac:dyDescent="0.2">
      <c r="A115" s="5">
        <v>50</v>
      </c>
      <c r="B115" s="5">
        <v>0</v>
      </c>
      <c r="C115" s="5">
        <v>0</v>
      </c>
      <c r="D115" s="5">
        <v>1</v>
      </c>
      <c r="E115" s="5">
        <v>229</v>
      </c>
      <c r="F115" s="5">
        <f>ROUND(Source!AZ104,O115)</f>
        <v>0</v>
      </c>
      <c r="G115" s="5" t="s">
        <v>59</v>
      </c>
      <c r="H115" s="5" t="s">
        <v>60</v>
      </c>
      <c r="I115" s="5"/>
      <c r="J115" s="5"/>
      <c r="K115" s="5">
        <v>229</v>
      </c>
      <c r="L115" s="5">
        <v>10</v>
      </c>
      <c r="M115" s="5">
        <v>3</v>
      </c>
      <c r="N115" s="5" t="s">
        <v>3</v>
      </c>
      <c r="O115" s="5">
        <v>2</v>
      </c>
      <c r="P115" s="5"/>
      <c r="Q115" s="5"/>
      <c r="R115" s="5"/>
      <c r="S115" s="5"/>
      <c r="T115" s="5"/>
      <c r="U115" s="5"/>
      <c r="V115" s="5"/>
      <c r="W115" s="5">
        <v>0</v>
      </c>
      <c r="X115" s="5">
        <v>1</v>
      </c>
      <c r="Y115" s="5">
        <v>0</v>
      </c>
      <c r="Z115" s="5"/>
      <c r="AA115" s="5"/>
      <c r="AB115" s="5"/>
    </row>
    <row r="116" spans="1:28" x14ac:dyDescent="0.2">
      <c r="A116" s="5">
        <v>50</v>
      </c>
      <c r="B116" s="5">
        <v>0</v>
      </c>
      <c r="C116" s="5">
        <v>0</v>
      </c>
      <c r="D116" s="5">
        <v>1</v>
      </c>
      <c r="E116" s="5">
        <v>203</v>
      </c>
      <c r="F116" s="5">
        <f>ROUND(Source!Q104,O116)</f>
        <v>10.8</v>
      </c>
      <c r="G116" s="5" t="s">
        <v>61</v>
      </c>
      <c r="H116" s="5" t="s">
        <v>62</v>
      </c>
      <c r="I116" s="5"/>
      <c r="J116" s="5"/>
      <c r="K116" s="5">
        <v>203</v>
      </c>
      <c r="L116" s="5">
        <v>11</v>
      </c>
      <c r="M116" s="5">
        <v>3</v>
      </c>
      <c r="N116" s="5" t="s">
        <v>3</v>
      </c>
      <c r="O116" s="5">
        <v>2</v>
      </c>
      <c r="P116" s="5"/>
      <c r="Q116" s="5"/>
      <c r="R116" s="5"/>
      <c r="S116" s="5"/>
      <c r="T116" s="5"/>
      <c r="U116" s="5"/>
      <c r="V116" s="5"/>
      <c r="W116" s="5">
        <v>10.8</v>
      </c>
      <c r="X116" s="5">
        <v>1</v>
      </c>
      <c r="Y116" s="5">
        <v>10.8</v>
      </c>
      <c r="Z116" s="5"/>
      <c r="AA116" s="5"/>
      <c r="AB116" s="5"/>
    </row>
    <row r="117" spans="1:28" x14ac:dyDescent="0.2">
      <c r="A117" s="5">
        <v>50</v>
      </c>
      <c r="B117" s="5">
        <v>0</v>
      </c>
      <c r="C117" s="5">
        <v>0</v>
      </c>
      <c r="D117" s="5">
        <v>1</v>
      </c>
      <c r="E117" s="5">
        <v>231</v>
      </c>
      <c r="F117" s="5">
        <f>ROUND(Source!BB104,O117)</f>
        <v>0</v>
      </c>
      <c r="G117" s="5" t="s">
        <v>63</v>
      </c>
      <c r="H117" s="5" t="s">
        <v>64</v>
      </c>
      <c r="I117" s="5"/>
      <c r="J117" s="5"/>
      <c r="K117" s="5">
        <v>231</v>
      </c>
      <c r="L117" s="5">
        <v>12</v>
      </c>
      <c r="M117" s="5">
        <v>3</v>
      </c>
      <c r="N117" s="5" t="s">
        <v>3</v>
      </c>
      <c r="O117" s="5">
        <v>2</v>
      </c>
      <c r="P117" s="5"/>
      <c r="Q117" s="5"/>
      <c r="R117" s="5"/>
      <c r="S117" s="5"/>
      <c r="T117" s="5"/>
      <c r="U117" s="5"/>
      <c r="V117" s="5"/>
      <c r="W117" s="5">
        <v>0</v>
      </c>
      <c r="X117" s="5">
        <v>1</v>
      </c>
      <c r="Y117" s="5">
        <v>0</v>
      </c>
      <c r="Z117" s="5"/>
      <c r="AA117" s="5"/>
      <c r="AB117" s="5"/>
    </row>
    <row r="118" spans="1:28" x14ac:dyDescent="0.2">
      <c r="A118" s="5">
        <v>50</v>
      </c>
      <c r="B118" s="5">
        <v>0</v>
      </c>
      <c r="C118" s="5">
        <v>0</v>
      </c>
      <c r="D118" s="5">
        <v>1</v>
      </c>
      <c r="E118" s="5">
        <v>204</v>
      </c>
      <c r="F118" s="5">
        <f>ROUND(Source!R104,O118)</f>
        <v>0.05</v>
      </c>
      <c r="G118" s="5" t="s">
        <v>65</v>
      </c>
      <c r="H118" s="5" t="s">
        <v>66</v>
      </c>
      <c r="I118" s="5"/>
      <c r="J118" s="5"/>
      <c r="K118" s="5">
        <v>204</v>
      </c>
      <c r="L118" s="5">
        <v>13</v>
      </c>
      <c r="M118" s="5">
        <v>3</v>
      </c>
      <c r="N118" s="5" t="s">
        <v>3</v>
      </c>
      <c r="O118" s="5">
        <v>2</v>
      </c>
      <c r="P118" s="5"/>
      <c r="Q118" s="5"/>
      <c r="R118" s="5"/>
      <c r="S118" s="5"/>
      <c r="T118" s="5"/>
      <c r="U118" s="5"/>
      <c r="V118" s="5"/>
      <c r="W118" s="5">
        <v>0.05</v>
      </c>
      <c r="X118" s="5">
        <v>1</v>
      </c>
      <c r="Y118" s="5">
        <v>0.05</v>
      </c>
      <c r="Z118" s="5"/>
      <c r="AA118" s="5"/>
      <c r="AB118" s="5"/>
    </row>
    <row r="119" spans="1:28" x14ac:dyDescent="0.2">
      <c r="A119" s="5">
        <v>50</v>
      </c>
      <c r="B119" s="5">
        <v>0</v>
      </c>
      <c r="C119" s="5">
        <v>0</v>
      </c>
      <c r="D119" s="5">
        <v>1</v>
      </c>
      <c r="E119" s="5">
        <v>205</v>
      </c>
      <c r="F119" s="5">
        <f>ROUND(Source!S104,O119)</f>
        <v>154023.88</v>
      </c>
      <c r="G119" s="5" t="s">
        <v>67</v>
      </c>
      <c r="H119" s="5" t="s">
        <v>68</v>
      </c>
      <c r="I119" s="5"/>
      <c r="J119" s="5"/>
      <c r="K119" s="5">
        <v>205</v>
      </c>
      <c r="L119" s="5">
        <v>14</v>
      </c>
      <c r="M119" s="5">
        <v>3</v>
      </c>
      <c r="N119" s="5" t="s">
        <v>3</v>
      </c>
      <c r="O119" s="5">
        <v>2</v>
      </c>
      <c r="P119" s="5"/>
      <c r="Q119" s="5"/>
      <c r="R119" s="5"/>
      <c r="S119" s="5"/>
      <c r="T119" s="5"/>
      <c r="U119" s="5"/>
      <c r="V119" s="5"/>
      <c r="W119" s="5">
        <v>154023.88</v>
      </c>
      <c r="X119" s="5">
        <v>1</v>
      </c>
      <c r="Y119" s="5">
        <v>154023.88</v>
      </c>
      <c r="Z119" s="5"/>
      <c r="AA119" s="5"/>
      <c r="AB119" s="5"/>
    </row>
    <row r="120" spans="1:28" x14ac:dyDescent="0.2">
      <c r="A120" s="5">
        <v>50</v>
      </c>
      <c r="B120" s="5">
        <v>0</v>
      </c>
      <c r="C120" s="5">
        <v>0</v>
      </c>
      <c r="D120" s="5">
        <v>1</v>
      </c>
      <c r="E120" s="5">
        <v>232</v>
      </c>
      <c r="F120" s="5">
        <f>ROUND(Source!BC104,O120)</f>
        <v>0</v>
      </c>
      <c r="G120" s="5" t="s">
        <v>69</v>
      </c>
      <c r="H120" s="5" t="s">
        <v>70</v>
      </c>
      <c r="I120" s="5"/>
      <c r="J120" s="5"/>
      <c r="K120" s="5">
        <v>232</v>
      </c>
      <c r="L120" s="5">
        <v>15</v>
      </c>
      <c r="M120" s="5">
        <v>3</v>
      </c>
      <c r="N120" s="5" t="s">
        <v>3</v>
      </c>
      <c r="O120" s="5">
        <v>2</v>
      </c>
      <c r="P120" s="5"/>
      <c r="Q120" s="5"/>
      <c r="R120" s="5"/>
      <c r="S120" s="5"/>
      <c r="T120" s="5"/>
      <c r="U120" s="5"/>
      <c r="V120" s="5"/>
      <c r="W120" s="5">
        <v>0</v>
      </c>
      <c r="X120" s="5">
        <v>1</v>
      </c>
      <c r="Y120" s="5">
        <v>0</v>
      </c>
      <c r="Z120" s="5"/>
      <c r="AA120" s="5"/>
      <c r="AB120" s="5"/>
    </row>
    <row r="121" spans="1:28" x14ac:dyDescent="0.2">
      <c r="A121" s="5">
        <v>50</v>
      </c>
      <c r="B121" s="5">
        <v>0</v>
      </c>
      <c r="C121" s="5">
        <v>0</v>
      </c>
      <c r="D121" s="5">
        <v>1</v>
      </c>
      <c r="E121" s="5">
        <v>214</v>
      </c>
      <c r="F121" s="5">
        <f>ROUND(Source!AS104,O121)</f>
        <v>0</v>
      </c>
      <c r="G121" s="5" t="s">
        <v>71</v>
      </c>
      <c r="H121" s="5" t="s">
        <v>72</v>
      </c>
      <c r="I121" s="5"/>
      <c r="J121" s="5"/>
      <c r="K121" s="5">
        <v>214</v>
      </c>
      <c r="L121" s="5">
        <v>16</v>
      </c>
      <c r="M121" s="5">
        <v>3</v>
      </c>
      <c r="N121" s="5" t="s">
        <v>3</v>
      </c>
      <c r="O121" s="5">
        <v>2</v>
      </c>
      <c r="P121" s="5"/>
      <c r="Q121" s="5"/>
      <c r="R121" s="5"/>
      <c r="S121" s="5"/>
      <c r="T121" s="5"/>
      <c r="U121" s="5"/>
      <c r="V121" s="5"/>
      <c r="W121" s="5">
        <v>0</v>
      </c>
      <c r="X121" s="5">
        <v>1</v>
      </c>
      <c r="Y121" s="5">
        <v>0</v>
      </c>
      <c r="Z121" s="5"/>
      <c r="AA121" s="5"/>
      <c r="AB121" s="5"/>
    </row>
    <row r="122" spans="1:28" x14ac:dyDescent="0.2">
      <c r="A122" s="5">
        <v>50</v>
      </c>
      <c r="B122" s="5">
        <v>0</v>
      </c>
      <c r="C122" s="5">
        <v>0</v>
      </c>
      <c r="D122" s="5">
        <v>1</v>
      </c>
      <c r="E122" s="5">
        <v>215</v>
      </c>
      <c r="F122" s="5">
        <f>ROUND(Source!AT104,O122)</f>
        <v>0</v>
      </c>
      <c r="G122" s="5" t="s">
        <v>73</v>
      </c>
      <c r="H122" s="5" t="s">
        <v>74</v>
      </c>
      <c r="I122" s="5"/>
      <c r="J122" s="5"/>
      <c r="K122" s="5">
        <v>215</v>
      </c>
      <c r="L122" s="5">
        <v>17</v>
      </c>
      <c r="M122" s="5">
        <v>3</v>
      </c>
      <c r="N122" s="5" t="s">
        <v>3</v>
      </c>
      <c r="O122" s="5">
        <v>2</v>
      </c>
      <c r="P122" s="5"/>
      <c r="Q122" s="5"/>
      <c r="R122" s="5"/>
      <c r="S122" s="5"/>
      <c r="T122" s="5"/>
      <c r="U122" s="5"/>
      <c r="V122" s="5"/>
      <c r="W122" s="5">
        <v>0</v>
      </c>
      <c r="X122" s="5">
        <v>1</v>
      </c>
      <c r="Y122" s="5">
        <v>0</v>
      </c>
      <c r="Z122" s="5"/>
      <c r="AA122" s="5"/>
      <c r="AB122" s="5"/>
    </row>
    <row r="123" spans="1:28" x14ac:dyDescent="0.2">
      <c r="A123" s="5">
        <v>50</v>
      </c>
      <c r="B123" s="5">
        <v>0</v>
      </c>
      <c r="C123" s="5">
        <v>0</v>
      </c>
      <c r="D123" s="5">
        <v>1</v>
      </c>
      <c r="E123" s="5">
        <v>217</v>
      </c>
      <c r="F123" s="5">
        <f>ROUND(Source!AU104,O123)</f>
        <v>325033.71000000002</v>
      </c>
      <c r="G123" s="5" t="s">
        <v>75</v>
      </c>
      <c r="H123" s="5" t="s">
        <v>76</v>
      </c>
      <c r="I123" s="5"/>
      <c r="J123" s="5"/>
      <c r="K123" s="5">
        <v>217</v>
      </c>
      <c r="L123" s="5">
        <v>18</v>
      </c>
      <c r="M123" s="5">
        <v>3</v>
      </c>
      <c r="N123" s="5" t="s">
        <v>3</v>
      </c>
      <c r="O123" s="5">
        <v>2</v>
      </c>
      <c r="P123" s="5"/>
      <c r="Q123" s="5"/>
      <c r="R123" s="5"/>
      <c r="S123" s="5"/>
      <c r="T123" s="5"/>
      <c r="U123" s="5"/>
      <c r="V123" s="5"/>
      <c r="W123" s="5">
        <v>325033.71000000002</v>
      </c>
      <c r="X123" s="5">
        <v>1</v>
      </c>
      <c r="Y123" s="5">
        <v>325033.71000000002</v>
      </c>
      <c r="Z123" s="5"/>
      <c r="AA123" s="5"/>
      <c r="AB123" s="5"/>
    </row>
    <row r="124" spans="1:28" x14ac:dyDescent="0.2">
      <c r="A124" s="5">
        <v>50</v>
      </c>
      <c r="B124" s="5">
        <v>0</v>
      </c>
      <c r="C124" s="5">
        <v>0</v>
      </c>
      <c r="D124" s="5">
        <v>1</v>
      </c>
      <c r="E124" s="5">
        <v>230</v>
      </c>
      <c r="F124" s="5">
        <f>ROUND(Source!BA104,O124)</f>
        <v>0</v>
      </c>
      <c r="G124" s="5" t="s">
        <v>77</v>
      </c>
      <c r="H124" s="5" t="s">
        <v>78</v>
      </c>
      <c r="I124" s="5"/>
      <c r="J124" s="5"/>
      <c r="K124" s="5">
        <v>230</v>
      </c>
      <c r="L124" s="5">
        <v>19</v>
      </c>
      <c r="M124" s="5">
        <v>3</v>
      </c>
      <c r="N124" s="5" t="s">
        <v>3</v>
      </c>
      <c r="O124" s="5">
        <v>2</v>
      </c>
      <c r="P124" s="5"/>
      <c r="Q124" s="5"/>
      <c r="R124" s="5"/>
      <c r="S124" s="5"/>
      <c r="T124" s="5"/>
      <c r="U124" s="5"/>
      <c r="V124" s="5"/>
      <c r="W124" s="5">
        <v>0</v>
      </c>
      <c r="X124" s="5">
        <v>1</v>
      </c>
      <c r="Y124" s="5">
        <v>0</v>
      </c>
      <c r="Z124" s="5"/>
      <c r="AA124" s="5"/>
      <c r="AB124" s="5"/>
    </row>
    <row r="125" spans="1:28" x14ac:dyDescent="0.2">
      <c r="A125" s="5">
        <v>50</v>
      </c>
      <c r="B125" s="5">
        <v>0</v>
      </c>
      <c r="C125" s="5">
        <v>0</v>
      </c>
      <c r="D125" s="5">
        <v>1</v>
      </c>
      <c r="E125" s="5">
        <v>206</v>
      </c>
      <c r="F125" s="5">
        <f>ROUND(Source!T104,O125)</f>
        <v>0</v>
      </c>
      <c r="G125" s="5" t="s">
        <v>79</v>
      </c>
      <c r="H125" s="5" t="s">
        <v>80</v>
      </c>
      <c r="I125" s="5"/>
      <c r="J125" s="5"/>
      <c r="K125" s="5">
        <v>206</v>
      </c>
      <c r="L125" s="5">
        <v>20</v>
      </c>
      <c r="M125" s="5">
        <v>3</v>
      </c>
      <c r="N125" s="5" t="s">
        <v>3</v>
      </c>
      <c r="O125" s="5">
        <v>2</v>
      </c>
      <c r="P125" s="5"/>
      <c r="Q125" s="5"/>
      <c r="R125" s="5"/>
      <c r="S125" s="5"/>
      <c r="T125" s="5"/>
      <c r="U125" s="5"/>
      <c r="V125" s="5"/>
      <c r="W125" s="5">
        <v>0</v>
      </c>
      <c r="X125" s="5">
        <v>1</v>
      </c>
      <c r="Y125" s="5">
        <v>0</v>
      </c>
      <c r="Z125" s="5"/>
      <c r="AA125" s="5"/>
      <c r="AB125" s="5"/>
    </row>
    <row r="126" spans="1:28" x14ac:dyDescent="0.2">
      <c r="A126" s="5">
        <v>50</v>
      </c>
      <c r="B126" s="5">
        <v>0</v>
      </c>
      <c r="C126" s="5">
        <v>0</v>
      </c>
      <c r="D126" s="5">
        <v>1</v>
      </c>
      <c r="E126" s="5">
        <v>207</v>
      </c>
      <c r="F126" s="5">
        <f>Source!U104</f>
        <v>215.38950000000003</v>
      </c>
      <c r="G126" s="5" t="s">
        <v>81</v>
      </c>
      <c r="H126" s="5" t="s">
        <v>82</v>
      </c>
      <c r="I126" s="5"/>
      <c r="J126" s="5"/>
      <c r="K126" s="5">
        <v>207</v>
      </c>
      <c r="L126" s="5">
        <v>21</v>
      </c>
      <c r="M126" s="5">
        <v>3</v>
      </c>
      <c r="N126" s="5" t="s">
        <v>3</v>
      </c>
      <c r="O126" s="5">
        <v>-1</v>
      </c>
      <c r="P126" s="5"/>
      <c r="Q126" s="5"/>
      <c r="R126" s="5"/>
      <c r="S126" s="5"/>
      <c r="T126" s="5"/>
      <c r="U126" s="5"/>
      <c r="V126" s="5"/>
      <c r="W126" s="5">
        <v>215.38950000000003</v>
      </c>
      <c r="X126" s="5">
        <v>1</v>
      </c>
      <c r="Y126" s="5">
        <v>215.38950000000003</v>
      </c>
      <c r="Z126" s="5"/>
      <c r="AA126" s="5"/>
      <c r="AB126" s="5"/>
    </row>
    <row r="127" spans="1:28" x14ac:dyDescent="0.2">
      <c r="A127" s="5">
        <v>50</v>
      </c>
      <c r="B127" s="5">
        <v>0</v>
      </c>
      <c r="C127" s="5">
        <v>0</v>
      </c>
      <c r="D127" s="5">
        <v>1</v>
      </c>
      <c r="E127" s="5">
        <v>208</v>
      </c>
      <c r="F127" s="5">
        <f>Source!V104</f>
        <v>0</v>
      </c>
      <c r="G127" s="5" t="s">
        <v>83</v>
      </c>
      <c r="H127" s="5" t="s">
        <v>84</v>
      </c>
      <c r="I127" s="5"/>
      <c r="J127" s="5"/>
      <c r="K127" s="5">
        <v>208</v>
      </c>
      <c r="L127" s="5">
        <v>22</v>
      </c>
      <c r="M127" s="5">
        <v>3</v>
      </c>
      <c r="N127" s="5" t="s">
        <v>3</v>
      </c>
      <c r="O127" s="5">
        <v>-1</v>
      </c>
      <c r="P127" s="5"/>
      <c r="Q127" s="5"/>
      <c r="R127" s="5"/>
      <c r="S127" s="5"/>
      <c r="T127" s="5"/>
      <c r="U127" s="5"/>
      <c r="V127" s="5"/>
      <c r="W127" s="5">
        <v>0</v>
      </c>
      <c r="X127" s="5">
        <v>1</v>
      </c>
      <c r="Y127" s="5">
        <v>0</v>
      </c>
      <c r="Z127" s="5"/>
      <c r="AA127" s="5"/>
      <c r="AB127" s="5"/>
    </row>
    <row r="128" spans="1:28" x14ac:dyDescent="0.2">
      <c r="A128" s="5">
        <v>50</v>
      </c>
      <c r="B128" s="5">
        <v>0</v>
      </c>
      <c r="C128" s="5">
        <v>0</v>
      </c>
      <c r="D128" s="5">
        <v>1</v>
      </c>
      <c r="E128" s="5">
        <v>209</v>
      </c>
      <c r="F128" s="5">
        <f>ROUND(Source!W104,O128)</f>
        <v>0</v>
      </c>
      <c r="G128" s="5" t="s">
        <v>85</v>
      </c>
      <c r="H128" s="5" t="s">
        <v>86</v>
      </c>
      <c r="I128" s="5"/>
      <c r="J128" s="5"/>
      <c r="K128" s="5">
        <v>209</v>
      </c>
      <c r="L128" s="5">
        <v>23</v>
      </c>
      <c r="M128" s="5">
        <v>3</v>
      </c>
      <c r="N128" s="5" t="s">
        <v>3</v>
      </c>
      <c r="O128" s="5">
        <v>2</v>
      </c>
      <c r="P128" s="5"/>
      <c r="Q128" s="5"/>
      <c r="R128" s="5"/>
      <c r="S128" s="5"/>
      <c r="T128" s="5"/>
      <c r="U128" s="5"/>
      <c r="V128" s="5"/>
      <c r="W128" s="5">
        <v>0</v>
      </c>
      <c r="X128" s="5">
        <v>1</v>
      </c>
      <c r="Y128" s="5">
        <v>0</v>
      </c>
      <c r="Z128" s="5"/>
      <c r="AA128" s="5"/>
      <c r="AB128" s="5"/>
    </row>
    <row r="129" spans="1:206" x14ac:dyDescent="0.2">
      <c r="A129" s="5">
        <v>50</v>
      </c>
      <c r="B129" s="5">
        <v>0</v>
      </c>
      <c r="C129" s="5">
        <v>0</v>
      </c>
      <c r="D129" s="5">
        <v>1</v>
      </c>
      <c r="E129" s="5">
        <v>233</v>
      </c>
      <c r="F129" s="5">
        <f>ROUND(Source!BD104,O129)</f>
        <v>0</v>
      </c>
      <c r="G129" s="5" t="s">
        <v>87</v>
      </c>
      <c r="H129" s="5" t="s">
        <v>88</v>
      </c>
      <c r="I129" s="5"/>
      <c r="J129" s="5"/>
      <c r="K129" s="5">
        <v>233</v>
      </c>
      <c r="L129" s="5">
        <v>24</v>
      </c>
      <c r="M129" s="5">
        <v>3</v>
      </c>
      <c r="N129" s="5" t="s">
        <v>3</v>
      </c>
      <c r="O129" s="5">
        <v>2</v>
      </c>
      <c r="P129" s="5"/>
      <c r="Q129" s="5"/>
      <c r="R129" s="5"/>
      <c r="S129" s="5"/>
      <c r="T129" s="5"/>
      <c r="U129" s="5"/>
      <c r="V129" s="5"/>
      <c r="W129" s="5">
        <v>0</v>
      </c>
      <c r="X129" s="5">
        <v>1</v>
      </c>
      <c r="Y129" s="5">
        <v>0</v>
      </c>
      <c r="Z129" s="5"/>
      <c r="AA129" s="5"/>
      <c r="AB129" s="5"/>
    </row>
    <row r="130" spans="1:206" x14ac:dyDescent="0.2">
      <c r="A130" s="5">
        <v>50</v>
      </c>
      <c r="B130" s="5">
        <v>0</v>
      </c>
      <c r="C130" s="5">
        <v>0</v>
      </c>
      <c r="D130" s="5">
        <v>1</v>
      </c>
      <c r="E130" s="5">
        <v>210</v>
      </c>
      <c r="F130" s="5">
        <f>ROUND(Source!X104,O130)</f>
        <v>107816.72</v>
      </c>
      <c r="G130" s="5" t="s">
        <v>89</v>
      </c>
      <c r="H130" s="5" t="s">
        <v>90</v>
      </c>
      <c r="I130" s="5"/>
      <c r="J130" s="5"/>
      <c r="K130" s="5">
        <v>210</v>
      </c>
      <c r="L130" s="5">
        <v>25</v>
      </c>
      <c r="M130" s="5">
        <v>3</v>
      </c>
      <c r="N130" s="5" t="s">
        <v>3</v>
      </c>
      <c r="O130" s="5">
        <v>2</v>
      </c>
      <c r="P130" s="5"/>
      <c r="Q130" s="5"/>
      <c r="R130" s="5"/>
      <c r="S130" s="5"/>
      <c r="T130" s="5"/>
      <c r="U130" s="5"/>
      <c r="V130" s="5"/>
      <c r="W130" s="5">
        <v>107816.72</v>
      </c>
      <c r="X130" s="5">
        <v>1</v>
      </c>
      <c r="Y130" s="5">
        <v>107816.72</v>
      </c>
      <c r="Z130" s="5"/>
      <c r="AA130" s="5"/>
      <c r="AB130" s="5"/>
    </row>
    <row r="131" spans="1:206" x14ac:dyDescent="0.2">
      <c r="A131" s="5">
        <v>50</v>
      </c>
      <c r="B131" s="5">
        <v>0</v>
      </c>
      <c r="C131" s="5">
        <v>0</v>
      </c>
      <c r="D131" s="5">
        <v>1</v>
      </c>
      <c r="E131" s="5">
        <v>211</v>
      </c>
      <c r="F131" s="5">
        <f>ROUND(Source!Y104,O131)</f>
        <v>15402.39</v>
      </c>
      <c r="G131" s="5" t="s">
        <v>91</v>
      </c>
      <c r="H131" s="5" t="s">
        <v>92</v>
      </c>
      <c r="I131" s="5"/>
      <c r="J131" s="5"/>
      <c r="K131" s="5">
        <v>211</v>
      </c>
      <c r="L131" s="5">
        <v>26</v>
      </c>
      <c r="M131" s="5">
        <v>3</v>
      </c>
      <c r="N131" s="5" t="s">
        <v>3</v>
      </c>
      <c r="O131" s="5">
        <v>2</v>
      </c>
      <c r="P131" s="5"/>
      <c r="Q131" s="5"/>
      <c r="R131" s="5"/>
      <c r="S131" s="5"/>
      <c r="T131" s="5"/>
      <c r="U131" s="5"/>
      <c r="V131" s="5"/>
      <c r="W131" s="5">
        <v>15402.39</v>
      </c>
      <c r="X131" s="5">
        <v>1</v>
      </c>
      <c r="Y131" s="5">
        <v>15402.39</v>
      </c>
      <c r="Z131" s="5"/>
      <c r="AA131" s="5"/>
      <c r="AB131" s="5"/>
    </row>
    <row r="132" spans="1:206" x14ac:dyDescent="0.2">
      <c r="A132" s="5">
        <v>50</v>
      </c>
      <c r="B132" s="5">
        <v>0</v>
      </c>
      <c r="C132" s="5">
        <v>0</v>
      </c>
      <c r="D132" s="5">
        <v>1</v>
      </c>
      <c r="E132" s="5">
        <v>224</v>
      </c>
      <c r="F132" s="5">
        <f>ROUND(Source!AR104,O132)</f>
        <v>325033.71000000002</v>
      </c>
      <c r="G132" s="5" t="s">
        <v>93</v>
      </c>
      <c r="H132" s="5" t="s">
        <v>94</v>
      </c>
      <c r="I132" s="5"/>
      <c r="J132" s="5"/>
      <c r="K132" s="5">
        <v>224</v>
      </c>
      <c r="L132" s="5">
        <v>27</v>
      </c>
      <c r="M132" s="5">
        <v>3</v>
      </c>
      <c r="N132" s="5" t="s">
        <v>3</v>
      </c>
      <c r="O132" s="5">
        <v>2</v>
      </c>
      <c r="P132" s="5"/>
      <c r="Q132" s="5"/>
      <c r="R132" s="5"/>
      <c r="S132" s="5"/>
      <c r="T132" s="5"/>
      <c r="U132" s="5"/>
      <c r="V132" s="5"/>
      <c r="W132" s="5">
        <v>325033.71000000002</v>
      </c>
      <c r="X132" s="5">
        <v>1</v>
      </c>
      <c r="Y132" s="5">
        <v>325033.71000000002</v>
      </c>
      <c r="Z132" s="5"/>
      <c r="AA132" s="5"/>
      <c r="AB132" s="5"/>
    </row>
    <row r="133" spans="1:206" x14ac:dyDescent="0.2">
      <c r="A133" s="5">
        <v>50</v>
      </c>
      <c r="B133" s="5">
        <v>1</v>
      </c>
      <c r="C133" s="5">
        <v>0</v>
      </c>
      <c r="D133" s="5">
        <v>2</v>
      </c>
      <c r="E133" s="5">
        <v>0</v>
      </c>
      <c r="F133" s="5">
        <f>ROUND(F132*0.22,O133)</f>
        <v>71507.42</v>
      </c>
      <c r="G133" s="5" t="s">
        <v>95</v>
      </c>
      <c r="H133" s="5" t="s">
        <v>96</v>
      </c>
      <c r="I133" s="5"/>
      <c r="J133" s="5"/>
      <c r="K133" s="5">
        <v>212</v>
      </c>
      <c r="L133" s="5">
        <v>28</v>
      </c>
      <c r="M133" s="5">
        <v>0</v>
      </c>
      <c r="N133" s="5" t="s">
        <v>3</v>
      </c>
      <c r="O133" s="5">
        <v>2</v>
      </c>
      <c r="P133" s="5"/>
      <c r="Q133" s="5"/>
      <c r="R133" s="5"/>
      <c r="S133" s="5"/>
      <c r="T133" s="5"/>
      <c r="U133" s="5"/>
      <c r="V133" s="5"/>
      <c r="W133" s="5">
        <v>71507.42</v>
      </c>
      <c r="X133" s="5">
        <v>1</v>
      </c>
      <c r="Y133" s="5">
        <v>71507.42</v>
      </c>
      <c r="Z133" s="5"/>
      <c r="AA133" s="5"/>
      <c r="AB133" s="5"/>
    </row>
    <row r="134" spans="1:206" x14ac:dyDescent="0.2">
      <c r="A134" s="5">
        <v>50</v>
      </c>
      <c r="B134" s="5">
        <v>1</v>
      </c>
      <c r="C134" s="5">
        <v>0</v>
      </c>
      <c r="D134" s="5">
        <v>2</v>
      </c>
      <c r="E134" s="5">
        <v>0</v>
      </c>
      <c r="F134" s="5">
        <f>ROUND(F132*1.2,O134)</f>
        <v>390040.45</v>
      </c>
      <c r="G134" s="5" t="s">
        <v>97</v>
      </c>
      <c r="H134" s="5" t="s">
        <v>98</v>
      </c>
      <c r="I134" s="5"/>
      <c r="J134" s="5"/>
      <c r="K134" s="5">
        <v>212</v>
      </c>
      <c r="L134" s="5">
        <v>29</v>
      </c>
      <c r="M134" s="5">
        <v>0</v>
      </c>
      <c r="N134" s="5" t="s">
        <v>3</v>
      </c>
      <c r="O134" s="5">
        <v>2</v>
      </c>
      <c r="P134" s="5"/>
      <c r="Q134" s="5"/>
      <c r="R134" s="5"/>
      <c r="S134" s="5"/>
      <c r="T134" s="5"/>
      <c r="U134" s="5"/>
      <c r="V134" s="5"/>
      <c r="W134" s="5">
        <v>390040.45</v>
      </c>
      <c r="X134" s="5">
        <v>1</v>
      </c>
      <c r="Y134" s="5">
        <v>390040.45</v>
      </c>
      <c r="Z134" s="5"/>
      <c r="AA134" s="5"/>
      <c r="AB134" s="5"/>
    </row>
    <row r="136" spans="1:206" x14ac:dyDescent="0.2">
      <c r="A136" s="3">
        <v>51</v>
      </c>
      <c r="B136" s="3">
        <f>B12</f>
        <v>171</v>
      </c>
      <c r="C136" s="3">
        <f>A12</f>
        <v>1</v>
      </c>
      <c r="D136" s="3">
        <f>ROW(A12)</f>
        <v>12</v>
      </c>
      <c r="E136" s="3"/>
      <c r="F136" s="3" t="str">
        <f>IF(F12&lt;&gt;"",F12,"")</f>
        <v>Новый объект</v>
      </c>
      <c r="G136" s="3" t="str">
        <f>IF(G12&lt;&gt;"",G12,"")</f>
        <v>Ремонт входной группы трудовой инспекции</v>
      </c>
      <c r="H136" s="3">
        <v>0</v>
      </c>
      <c r="I136" s="3"/>
      <c r="J136" s="3"/>
      <c r="K136" s="3"/>
      <c r="L136" s="3"/>
      <c r="M136" s="3"/>
      <c r="N136" s="3"/>
      <c r="O136" s="3">
        <f t="shared" ref="O136:T136" si="38">ROUND(O104,2)</f>
        <v>201814.54</v>
      </c>
      <c r="P136" s="3">
        <f t="shared" si="38"/>
        <v>47779.86</v>
      </c>
      <c r="Q136" s="3">
        <f t="shared" si="38"/>
        <v>10.8</v>
      </c>
      <c r="R136" s="3">
        <f t="shared" si="38"/>
        <v>0.05</v>
      </c>
      <c r="S136" s="3">
        <f t="shared" si="38"/>
        <v>154023.88</v>
      </c>
      <c r="T136" s="3">
        <f t="shared" si="38"/>
        <v>0</v>
      </c>
      <c r="U136" s="3">
        <f>U104</f>
        <v>215.38950000000003</v>
      </c>
      <c r="V136" s="3">
        <f>V104</f>
        <v>0</v>
      </c>
      <c r="W136" s="3">
        <f>ROUND(W104,2)</f>
        <v>0</v>
      </c>
      <c r="X136" s="3">
        <f>ROUND(X104,2)</f>
        <v>107816.72</v>
      </c>
      <c r="Y136" s="3">
        <f>ROUND(Y104,2)</f>
        <v>15402.39</v>
      </c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>
        <f t="shared" ref="AO136:BD136" si="39">ROUND(AO104,2)</f>
        <v>0</v>
      </c>
      <c r="AP136" s="3">
        <f t="shared" si="39"/>
        <v>0</v>
      </c>
      <c r="AQ136" s="3">
        <f t="shared" si="39"/>
        <v>0</v>
      </c>
      <c r="AR136" s="3">
        <f t="shared" si="39"/>
        <v>325033.71000000002</v>
      </c>
      <c r="AS136" s="3">
        <f t="shared" si="39"/>
        <v>0</v>
      </c>
      <c r="AT136" s="3">
        <f t="shared" si="39"/>
        <v>0</v>
      </c>
      <c r="AU136" s="3">
        <f t="shared" si="39"/>
        <v>325033.71000000002</v>
      </c>
      <c r="AV136" s="3">
        <f t="shared" si="39"/>
        <v>47779.86</v>
      </c>
      <c r="AW136" s="3">
        <f t="shared" si="39"/>
        <v>47779.86</v>
      </c>
      <c r="AX136" s="3">
        <f t="shared" si="39"/>
        <v>0</v>
      </c>
      <c r="AY136" s="3">
        <f t="shared" si="39"/>
        <v>47779.86</v>
      </c>
      <c r="AZ136" s="3">
        <f t="shared" si="39"/>
        <v>0</v>
      </c>
      <c r="BA136" s="3">
        <f t="shared" si="39"/>
        <v>0</v>
      </c>
      <c r="BB136" s="3">
        <f t="shared" si="39"/>
        <v>0</v>
      </c>
      <c r="BC136" s="3">
        <f t="shared" si="39"/>
        <v>0</v>
      </c>
      <c r="BD136" s="3">
        <f t="shared" si="39"/>
        <v>0</v>
      </c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>
        <v>0</v>
      </c>
    </row>
    <row r="138" spans="1:206" x14ac:dyDescent="0.2">
      <c r="A138" s="5">
        <v>50</v>
      </c>
      <c r="B138" s="5">
        <v>0</v>
      </c>
      <c r="C138" s="5">
        <v>0</v>
      </c>
      <c r="D138" s="5">
        <v>1</v>
      </c>
      <c r="E138" s="5">
        <v>201</v>
      </c>
      <c r="F138" s="5">
        <f>ROUND(Source!O136,O138)</f>
        <v>201814.54</v>
      </c>
      <c r="G138" s="5" t="s">
        <v>41</v>
      </c>
      <c r="H138" s="5" t="s">
        <v>42</v>
      </c>
      <c r="I138" s="5"/>
      <c r="J138" s="5"/>
      <c r="K138" s="5">
        <v>201</v>
      </c>
      <c r="L138" s="5">
        <v>1</v>
      </c>
      <c r="M138" s="5">
        <v>3</v>
      </c>
      <c r="N138" s="5" t="s">
        <v>3</v>
      </c>
      <c r="O138" s="5">
        <v>2</v>
      </c>
      <c r="P138" s="5"/>
      <c r="Q138" s="5"/>
      <c r="R138" s="5"/>
      <c r="S138" s="5"/>
      <c r="T138" s="5"/>
      <c r="U138" s="5"/>
      <c r="V138" s="5"/>
      <c r="W138" s="5">
        <v>201814.54</v>
      </c>
      <c r="X138" s="5">
        <v>1</v>
      </c>
      <c r="Y138" s="5">
        <v>201814.54</v>
      </c>
      <c r="Z138" s="5"/>
      <c r="AA138" s="5"/>
      <c r="AB138" s="5"/>
    </row>
    <row r="139" spans="1:206" x14ac:dyDescent="0.2">
      <c r="A139" s="5">
        <v>50</v>
      </c>
      <c r="B139" s="5">
        <v>0</v>
      </c>
      <c r="C139" s="5">
        <v>0</v>
      </c>
      <c r="D139" s="5">
        <v>1</v>
      </c>
      <c r="E139" s="5">
        <v>202</v>
      </c>
      <c r="F139" s="5">
        <f>ROUND(Source!P136,O139)</f>
        <v>47779.86</v>
      </c>
      <c r="G139" s="5" t="s">
        <v>43</v>
      </c>
      <c r="H139" s="5" t="s">
        <v>44</v>
      </c>
      <c r="I139" s="5"/>
      <c r="J139" s="5"/>
      <c r="K139" s="5">
        <v>202</v>
      </c>
      <c r="L139" s="5">
        <v>2</v>
      </c>
      <c r="M139" s="5">
        <v>3</v>
      </c>
      <c r="N139" s="5" t="s">
        <v>3</v>
      </c>
      <c r="O139" s="5">
        <v>2</v>
      </c>
      <c r="P139" s="5"/>
      <c r="Q139" s="5"/>
      <c r="R139" s="5"/>
      <c r="S139" s="5"/>
      <c r="T139" s="5"/>
      <c r="U139" s="5"/>
      <c r="V139" s="5"/>
      <c r="W139" s="5">
        <v>47779.86</v>
      </c>
      <c r="X139" s="5">
        <v>1</v>
      </c>
      <c r="Y139" s="5">
        <v>47779.86</v>
      </c>
      <c r="Z139" s="5"/>
      <c r="AA139" s="5"/>
      <c r="AB139" s="5"/>
    </row>
    <row r="140" spans="1:206" x14ac:dyDescent="0.2">
      <c r="A140" s="5">
        <v>50</v>
      </c>
      <c r="B140" s="5">
        <v>0</v>
      </c>
      <c r="C140" s="5">
        <v>0</v>
      </c>
      <c r="D140" s="5">
        <v>1</v>
      </c>
      <c r="E140" s="5">
        <v>222</v>
      </c>
      <c r="F140" s="5">
        <f>ROUND(Source!AO136,O140)</f>
        <v>0</v>
      </c>
      <c r="G140" s="5" t="s">
        <v>45</v>
      </c>
      <c r="H140" s="5" t="s">
        <v>46</v>
      </c>
      <c r="I140" s="5"/>
      <c r="J140" s="5"/>
      <c r="K140" s="5">
        <v>222</v>
      </c>
      <c r="L140" s="5">
        <v>3</v>
      </c>
      <c r="M140" s="5">
        <v>3</v>
      </c>
      <c r="N140" s="5" t="s">
        <v>3</v>
      </c>
      <c r="O140" s="5">
        <v>2</v>
      </c>
      <c r="P140" s="5"/>
      <c r="Q140" s="5"/>
      <c r="R140" s="5"/>
      <c r="S140" s="5"/>
      <c r="T140" s="5"/>
      <c r="U140" s="5"/>
      <c r="V140" s="5"/>
      <c r="W140" s="5">
        <v>0</v>
      </c>
      <c r="X140" s="5">
        <v>1</v>
      </c>
      <c r="Y140" s="5">
        <v>0</v>
      </c>
      <c r="Z140" s="5"/>
      <c r="AA140" s="5"/>
      <c r="AB140" s="5"/>
    </row>
    <row r="141" spans="1:206" x14ac:dyDescent="0.2">
      <c r="A141" s="5">
        <v>50</v>
      </c>
      <c r="B141" s="5">
        <v>0</v>
      </c>
      <c r="C141" s="5">
        <v>0</v>
      </c>
      <c r="D141" s="5">
        <v>1</v>
      </c>
      <c r="E141" s="5">
        <v>225</v>
      </c>
      <c r="F141" s="5">
        <f>ROUND(Source!AV136,O141)</f>
        <v>47779.86</v>
      </c>
      <c r="G141" s="5" t="s">
        <v>47</v>
      </c>
      <c r="H141" s="5" t="s">
        <v>48</v>
      </c>
      <c r="I141" s="5"/>
      <c r="J141" s="5"/>
      <c r="K141" s="5">
        <v>225</v>
      </c>
      <c r="L141" s="5">
        <v>4</v>
      </c>
      <c r="M141" s="5">
        <v>3</v>
      </c>
      <c r="N141" s="5" t="s">
        <v>3</v>
      </c>
      <c r="O141" s="5">
        <v>2</v>
      </c>
      <c r="P141" s="5"/>
      <c r="Q141" s="5"/>
      <c r="R141" s="5"/>
      <c r="S141" s="5"/>
      <c r="T141" s="5"/>
      <c r="U141" s="5"/>
      <c r="V141" s="5"/>
      <c r="W141" s="5">
        <v>47779.86</v>
      </c>
      <c r="X141" s="5">
        <v>1</v>
      </c>
      <c r="Y141" s="5">
        <v>47779.86</v>
      </c>
      <c r="Z141" s="5"/>
      <c r="AA141" s="5"/>
      <c r="AB141" s="5"/>
    </row>
    <row r="142" spans="1:206" x14ac:dyDescent="0.2">
      <c r="A142" s="5">
        <v>50</v>
      </c>
      <c r="B142" s="5">
        <v>0</v>
      </c>
      <c r="C142" s="5">
        <v>0</v>
      </c>
      <c r="D142" s="5">
        <v>1</v>
      </c>
      <c r="E142" s="5">
        <v>226</v>
      </c>
      <c r="F142" s="5">
        <f>ROUND(Source!AW136,O142)</f>
        <v>47779.86</v>
      </c>
      <c r="G142" s="5" t="s">
        <v>49</v>
      </c>
      <c r="H142" s="5" t="s">
        <v>50</v>
      </c>
      <c r="I142" s="5"/>
      <c r="J142" s="5"/>
      <c r="K142" s="5">
        <v>226</v>
      </c>
      <c r="L142" s="5">
        <v>5</v>
      </c>
      <c r="M142" s="5">
        <v>3</v>
      </c>
      <c r="N142" s="5" t="s">
        <v>3</v>
      </c>
      <c r="O142" s="5">
        <v>2</v>
      </c>
      <c r="P142" s="5"/>
      <c r="Q142" s="5"/>
      <c r="R142" s="5"/>
      <c r="S142" s="5"/>
      <c r="T142" s="5"/>
      <c r="U142" s="5"/>
      <c r="V142" s="5"/>
      <c r="W142" s="5">
        <v>47779.86</v>
      </c>
      <c r="X142" s="5">
        <v>1</v>
      </c>
      <c r="Y142" s="5">
        <v>47779.86</v>
      </c>
      <c r="Z142" s="5"/>
      <c r="AA142" s="5"/>
      <c r="AB142" s="5"/>
    </row>
    <row r="143" spans="1:206" x14ac:dyDescent="0.2">
      <c r="A143" s="5">
        <v>50</v>
      </c>
      <c r="B143" s="5">
        <v>0</v>
      </c>
      <c r="C143" s="5">
        <v>0</v>
      </c>
      <c r="D143" s="5">
        <v>1</v>
      </c>
      <c r="E143" s="5">
        <v>227</v>
      </c>
      <c r="F143" s="5">
        <f>ROUND(Source!AX136,O143)</f>
        <v>0</v>
      </c>
      <c r="G143" s="5" t="s">
        <v>51</v>
      </c>
      <c r="H143" s="5" t="s">
        <v>52</v>
      </c>
      <c r="I143" s="5"/>
      <c r="J143" s="5"/>
      <c r="K143" s="5">
        <v>227</v>
      </c>
      <c r="L143" s="5">
        <v>6</v>
      </c>
      <c r="M143" s="5">
        <v>3</v>
      </c>
      <c r="N143" s="5" t="s">
        <v>3</v>
      </c>
      <c r="O143" s="5">
        <v>2</v>
      </c>
      <c r="P143" s="5"/>
      <c r="Q143" s="5"/>
      <c r="R143" s="5"/>
      <c r="S143" s="5"/>
      <c r="T143" s="5"/>
      <c r="U143" s="5"/>
      <c r="V143" s="5"/>
      <c r="W143" s="5">
        <v>0</v>
      </c>
      <c r="X143" s="5">
        <v>1</v>
      </c>
      <c r="Y143" s="5">
        <v>0</v>
      </c>
      <c r="Z143" s="5"/>
      <c r="AA143" s="5"/>
      <c r="AB143" s="5"/>
    </row>
    <row r="144" spans="1:206" x14ac:dyDescent="0.2">
      <c r="A144" s="5">
        <v>50</v>
      </c>
      <c r="B144" s="5">
        <v>0</v>
      </c>
      <c r="C144" s="5">
        <v>0</v>
      </c>
      <c r="D144" s="5">
        <v>1</v>
      </c>
      <c r="E144" s="5">
        <v>228</v>
      </c>
      <c r="F144" s="5">
        <f>ROUND(Source!AY136,O144)</f>
        <v>47779.86</v>
      </c>
      <c r="G144" s="5" t="s">
        <v>53</v>
      </c>
      <c r="H144" s="5" t="s">
        <v>54</v>
      </c>
      <c r="I144" s="5"/>
      <c r="J144" s="5"/>
      <c r="K144" s="5">
        <v>228</v>
      </c>
      <c r="L144" s="5">
        <v>7</v>
      </c>
      <c r="M144" s="5">
        <v>3</v>
      </c>
      <c r="N144" s="5" t="s">
        <v>3</v>
      </c>
      <c r="O144" s="5">
        <v>2</v>
      </c>
      <c r="P144" s="5"/>
      <c r="Q144" s="5"/>
      <c r="R144" s="5"/>
      <c r="S144" s="5"/>
      <c r="T144" s="5"/>
      <c r="U144" s="5"/>
      <c r="V144" s="5"/>
      <c r="W144" s="5">
        <v>47779.86</v>
      </c>
      <c r="X144" s="5">
        <v>1</v>
      </c>
      <c r="Y144" s="5">
        <v>47779.86</v>
      </c>
      <c r="Z144" s="5"/>
      <c r="AA144" s="5"/>
      <c r="AB144" s="5"/>
    </row>
    <row r="145" spans="1:28" x14ac:dyDescent="0.2">
      <c r="A145" s="5">
        <v>50</v>
      </c>
      <c r="B145" s="5">
        <v>0</v>
      </c>
      <c r="C145" s="5">
        <v>0</v>
      </c>
      <c r="D145" s="5">
        <v>1</v>
      </c>
      <c r="E145" s="5">
        <v>216</v>
      </c>
      <c r="F145" s="5">
        <f>ROUND(Source!AP136,O145)</f>
        <v>0</v>
      </c>
      <c r="G145" s="5" t="s">
        <v>55</v>
      </c>
      <c r="H145" s="5" t="s">
        <v>56</v>
      </c>
      <c r="I145" s="5"/>
      <c r="J145" s="5"/>
      <c r="K145" s="5">
        <v>216</v>
      </c>
      <c r="L145" s="5">
        <v>8</v>
      </c>
      <c r="M145" s="5">
        <v>3</v>
      </c>
      <c r="N145" s="5" t="s">
        <v>3</v>
      </c>
      <c r="O145" s="5">
        <v>2</v>
      </c>
      <c r="P145" s="5"/>
      <c r="Q145" s="5"/>
      <c r="R145" s="5"/>
      <c r="S145" s="5"/>
      <c r="T145" s="5"/>
      <c r="U145" s="5"/>
      <c r="V145" s="5"/>
      <c r="W145" s="5">
        <v>0</v>
      </c>
      <c r="X145" s="5">
        <v>1</v>
      </c>
      <c r="Y145" s="5">
        <v>0</v>
      </c>
      <c r="Z145" s="5"/>
      <c r="AA145" s="5"/>
      <c r="AB145" s="5"/>
    </row>
    <row r="146" spans="1:28" x14ac:dyDescent="0.2">
      <c r="A146" s="5">
        <v>50</v>
      </c>
      <c r="B146" s="5">
        <v>0</v>
      </c>
      <c r="C146" s="5">
        <v>0</v>
      </c>
      <c r="D146" s="5">
        <v>1</v>
      </c>
      <c r="E146" s="5">
        <v>223</v>
      </c>
      <c r="F146" s="5">
        <f>ROUND(Source!AQ136,O146)</f>
        <v>0</v>
      </c>
      <c r="G146" s="5" t="s">
        <v>57</v>
      </c>
      <c r="H146" s="5" t="s">
        <v>58</v>
      </c>
      <c r="I146" s="5"/>
      <c r="J146" s="5"/>
      <c r="K146" s="5">
        <v>223</v>
      </c>
      <c r="L146" s="5">
        <v>9</v>
      </c>
      <c r="M146" s="5">
        <v>3</v>
      </c>
      <c r="N146" s="5" t="s">
        <v>3</v>
      </c>
      <c r="O146" s="5">
        <v>2</v>
      </c>
      <c r="P146" s="5"/>
      <c r="Q146" s="5"/>
      <c r="R146" s="5"/>
      <c r="S146" s="5"/>
      <c r="T146" s="5"/>
      <c r="U146" s="5"/>
      <c r="V146" s="5"/>
      <c r="W146" s="5">
        <v>0</v>
      </c>
      <c r="X146" s="5">
        <v>1</v>
      </c>
      <c r="Y146" s="5">
        <v>0</v>
      </c>
      <c r="Z146" s="5"/>
      <c r="AA146" s="5"/>
      <c r="AB146" s="5"/>
    </row>
    <row r="147" spans="1:28" x14ac:dyDescent="0.2">
      <c r="A147" s="5">
        <v>50</v>
      </c>
      <c r="B147" s="5">
        <v>0</v>
      </c>
      <c r="C147" s="5">
        <v>0</v>
      </c>
      <c r="D147" s="5">
        <v>1</v>
      </c>
      <c r="E147" s="5">
        <v>229</v>
      </c>
      <c r="F147" s="5">
        <f>ROUND(Source!AZ136,O147)</f>
        <v>0</v>
      </c>
      <c r="G147" s="5" t="s">
        <v>59</v>
      </c>
      <c r="H147" s="5" t="s">
        <v>60</v>
      </c>
      <c r="I147" s="5"/>
      <c r="J147" s="5"/>
      <c r="K147" s="5">
        <v>229</v>
      </c>
      <c r="L147" s="5">
        <v>10</v>
      </c>
      <c r="M147" s="5">
        <v>3</v>
      </c>
      <c r="N147" s="5" t="s">
        <v>3</v>
      </c>
      <c r="O147" s="5">
        <v>2</v>
      </c>
      <c r="P147" s="5"/>
      <c r="Q147" s="5"/>
      <c r="R147" s="5"/>
      <c r="S147" s="5"/>
      <c r="T147" s="5"/>
      <c r="U147" s="5"/>
      <c r="V147" s="5"/>
      <c r="W147" s="5">
        <v>0</v>
      </c>
      <c r="X147" s="5">
        <v>1</v>
      </c>
      <c r="Y147" s="5">
        <v>0</v>
      </c>
      <c r="Z147" s="5"/>
      <c r="AA147" s="5"/>
      <c r="AB147" s="5"/>
    </row>
    <row r="148" spans="1:28" x14ac:dyDescent="0.2">
      <c r="A148" s="5">
        <v>50</v>
      </c>
      <c r="B148" s="5">
        <v>0</v>
      </c>
      <c r="C148" s="5">
        <v>0</v>
      </c>
      <c r="D148" s="5">
        <v>1</v>
      </c>
      <c r="E148" s="5">
        <v>203</v>
      </c>
      <c r="F148" s="5">
        <f>ROUND(Source!Q136,O148)</f>
        <v>10.8</v>
      </c>
      <c r="G148" s="5" t="s">
        <v>61</v>
      </c>
      <c r="H148" s="5" t="s">
        <v>62</v>
      </c>
      <c r="I148" s="5"/>
      <c r="J148" s="5"/>
      <c r="K148" s="5">
        <v>203</v>
      </c>
      <c r="L148" s="5">
        <v>11</v>
      </c>
      <c r="M148" s="5">
        <v>3</v>
      </c>
      <c r="N148" s="5" t="s">
        <v>3</v>
      </c>
      <c r="O148" s="5">
        <v>2</v>
      </c>
      <c r="P148" s="5"/>
      <c r="Q148" s="5"/>
      <c r="R148" s="5"/>
      <c r="S148" s="5"/>
      <c r="T148" s="5"/>
      <c r="U148" s="5"/>
      <c r="V148" s="5"/>
      <c r="W148" s="5">
        <v>10.8</v>
      </c>
      <c r="X148" s="5">
        <v>1</v>
      </c>
      <c r="Y148" s="5">
        <v>10.8</v>
      </c>
      <c r="Z148" s="5"/>
      <c r="AA148" s="5"/>
      <c r="AB148" s="5"/>
    </row>
    <row r="149" spans="1:28" x14ac:dyDescent="0.2">
      <c r="A149" s="5">
        <v>50</v>
      </c>
      <c r="B149" s="5">
        <v>0</v>
      </c>
      <c r="C149" s="5">
        <v>0</v>
      </c>
      <c r="D149" s="5">
        <v>1</v>
      </c>
      <c r="E149" s="5">
        <v>231</v>
      </c>
      <c r="F149" s="5">
        <f>ROUND(Source!BB136,O149)</f>
        <v>0</v>
      </c>
      <c r="G149" s="5" t="s">
        <v>63</v>
      </c>
      <c r="H149" s="5" t="s">
        <v>64</v>
      </c>
      <c r="I149" s="5"/>
      <c r="J149" s="5"/>
      <c r="K149" s="5">
        <v>231</v>
      </c>
      <c r="L149" s="5">
        <v>12</v>
      </c>
      <c r="M149" s="5">
        <v>3</v>
      </c>
      <c r="N149" s="5" t="s">
        <v>3</v>
      </c>
      <c r="O149" s="5">
        <v>2</v>
      </c>
      <c r="P149" s="5"/>
      <c r="Q149" s="5"/>
      <c r="R149" s="5"/>
      <c r="S149" s="5"/>
      <c r="T149" s="5"/>
      <c r="U149" s="5"/>
      <c r="V149" s="5"/>
      <c r="W149" s="5">
        <v>0</v>
      </c>
      <c r="X149" s="5">
        <v>1</v>
      </c>
      <c r="Y149" s="5">
        <v>0</v>
      </c>
      <c r="Z149" s="5"/>
      <c r="AA149" s="5"/>
      <c r="AB149" s="5"/>
    </row>
    <row r="150" spans="1:28" x14ac:dyDescent="0.2">
      <c r="A150" s="5">
        <v>50</v>
      </c>
      <c r="B150" s="5">
        <v>0</v>
      </c>
      <c r="C150" s="5">
        <v>0</v>
      </c>
      <c r="D150" s="5">
        <v>1</v>
      </c>
      <c r="E150" s="5">
        <v>204</v>
      </c>
      <c r="F150" s="5">
        <f>ROUND(Source!R136,O150)</f>
        <v>0.05</v>
      </c>
      <c r="G150" s="5" t="s">
        <v>65</v>
      </c>
      <c r="H150" s="5" t="s">
        <v>66</v>
      </c>
      <c r="I150" s="5"/>
      <c r="J150" s="5"/>
      <c r="K150" s="5">
        <v>204</v>
      </c>
      <c r="L150" s="5">
        <v>13</v>
      </c>
      <c r="M150" s="5">
        <v>3</v>
      </c>
      <c r="N150" s="5" t="s">
        <v>3</v>
      </c>
      <c r="O150" s="5">
        <v>2</v>
      </c>
      <c r="P150" s="5"/>
      <c r="Q150" s="5"/>
      <c r="R150" s="5"/>
      <c r="S150" s="5"/>
      <c r="T150" s="5"/>
      <c r="U150" s="5"/>
      <c r="V150" s="5"/>
      <c r="W150" s="5">
        <v>0.05</v>
      </c>
      <c r="X150" s="5">
        <v>1</v>
      </c>
      <c r="Y150" s="5">
        <v>0.05</v>
      </c>
      <c r="Z150" s="5"/>
      <c r="AA150" s="5"/>
      <c r="AB150" s="5"/>
    </row>
    <row r="151" spans="1:28" x14ac:dyDescent="0.2">
      <c r="A151" s="5">
        <v>50</v>
      </c>
      <c r="B151" s="5">
        <v>0</v>
      </c>
      <c r="C151" s="5">
        <v>0</v>
      </c>
      <c r="D151" s="5">
        <v>1</v>
      </c>
      <c r="E151" s="5">
        <v>205</v>
      </c>
      <c r="F151" s="5">
        <f>ROUND(Source!S136,O151)</f>
        <v>154023.88</v>
      </c>
      <c r="G151" s="5" t="s">
        <v>67</v>
      </c>
      <c r="H151" s="5" t="s">
        <v>68</v>
      </c>
      <c r="I151" s="5"/>
      <c r="J151" s="5"/>
      <c r="K151" s="5">
        <v>205</v>
      </c>
      <c r="L151" s="5">
        <v>14</v>
      </c>
      <c r="M151" s="5">
        <v>3</v>
      </c>
      <c r="N151" s="5" t="s">
        <v>3</v>
      </c>
      <c r="O151" s="5">
        <v>2</v>
      </c>
      <c r="P151" s="5"/>
      <c r="Q151" s="5"/>
      <c r="R151" s="5"/>
      <c r="S151" s="5"/>
      <c r="T151" s="5"/>
      <c r="U151" s="5"/>
      <c r="V151" s="5"/>
      <c r="W151" s="5">
        <v>154023.88</v>
      </c>
      <c r="X151" s="5">
        <v>1</v>
      </c>
      <c r="Y151" s="5">
        <v>154023.88</v>
      </c>
      <c r="Z151" s="5"/>
      <c r="AA151" s="5"/>
      <c r="AB151" s="5"/>
    </row>
    <row r="152" spans="1:28" x14ac:dyDescent="0.2">
      <c r="A152" s="5">
        <v>50</v>
      </c>
      <c r="B152" s="5">
        <v>0</v>
      </c>
      <c r="C152" s="5">
        <v>0</v>
      </c>
      <c r="D152" s="5">
        <v>1</v>
      </c>
      <c r="E152" s="5">
        <v>232</v>
      </c>
      <c r="F152" s="5">
        <f>ROUND(Source!BC136,O152)</f>
        <v>0</v>
      </c>
      <c r="G152" s="5" t="s">
        <v>69</v>
      </c>
      <c r="H152" s="5" t="s">
        <v>70</v>
      </c>
      <c r="I152" s="5"/>
      <c r="J152" s="5"/>
      <c r="K152" s="5">
        <v>232</v>
      </c>
      <c r="L152" s="5">
        <v>15</v>
      </c>
      <c r="M152" s="5">
        <v>3</v>
      </c>
      <c r="N152" s="5" t="s">
        <v>3</v>
      </c>
      <c r="O152" s="5">
        <v>2</v>
      </c>
      <c r="P152" s="5"/>
      <c r="Q152" s="5"/>
      <c r="R152" s="5"/>
      <c r="S152" s="5"/>
      <c r="T152" s="5"/>
      <c r="U152" s="5"/>
      <c r="V152" s="5"/>
      <c r="W152" s="5">
        <v>0</v>
      </c>
      <c r="X152" s="5">
        <v>1</v>
      </c>
      <c r="Y152" s="5">
        <v>0</v>
      </c>
      <c r="Z152" s="5"/>
      <c r="AA152" s="5"/>
      <c r="AB152" s="5"/>
    </row>
    <row r="153" spans="1:28" x14ac:dyDescent="0.2">
      <c r="A153" s="5">
        <v>50</v>
      </c>
      <c r="B153" s="5">
        <v>0</v>
      </c>
      <c r="C153" s="5">
        <v>0</v>
      </c>
      <c r="D153" s="5">
        <v>1</v>
      </c>
      <c r="E153" s="5">
        <v>214</v>
      </c>
      <c r="F153" s="5">
        <f>ROUND(Source!AS136,O153)</f>
        <v>0</v>
      </c>
      <c r="G153" s="5" t="s">
        <v>71</v>
      </c>
      <c r="H153" s="5" t="s">
        <v>72</v>
      </c>
      <c r="I153" s="5"/>
      <c r="J153" s="5"/>
      <c r="K153" s="5">
        <v>214</v>
      </c>
      <c r="L153" s="5">
        <v>16</v>
      </c>
      <c r="M153" s="5">
        <v>3</v>
      </c>
      <c r="N153" s="5" t="s">
        <v>3</v>
      </c>
      <c r="O153" s="5">
        <v>2</v>
      </c>
      <c r="P153" s="5"/>
      <c r="Q153" s="5"/>
      <c r="R153" s="5"/>
      <c r="S153" s="5"/>
      <c r="T153" s="5"/>
      <c r="U153" s="5"/>
      <c r="V153" s="5"/>
      <c r="W153" s="5">
        <v>0</v>
      </c>
      <c r="X153" s="5">
        <v>1</v>
      </c>
      <c r="Y153" s="5">
        <v>0</v>
      </c>
      <c r="Z153" s="5"/>
      <c r="AA153" s="5"/>
      <c r="AB153" s="5"/>
    </row>
    <row r="154" spans="1:28" x14ac:dyDescent="0.2">
      <c r="A154" s="5">
        <v>50</v>
      </c>
      <c r="B154" s="5">
        <v>0</v>
      </c>
      <c r="C154" s="5">
        <v>0</v>
      </c>
      <c r="D154" s="5">
        <v>1</v>
      </c>
      <c r="E154" s="5">
        <v>215</v>
      </c>
      <c r="F154" s="5">
        <f>ROUND(Source!AT136,O154)</f>
        <v>0</v>
      </c>
      <c r="G154" s="5" t="s">
        <v>73</v>
      </c>
      <c r="H154" s="5" t="s">
        <v>74</v>
      </c>
      <c r="I154" s="5"/>
      <c r="J154" s="5"/>
      <c r="K154" s="5">
        <v>215</v>
      </c>
      <c r="L154" s="5">
        <v>17</v>
      </c>
      <c r="M154" s="5">
        <v>3</v>
      </c>
      <c r="N154" s="5" t="s">
        <v>3</v>
      </c>
      <c r="O154" s="5">
        <v>2</v>
      </c>
      <c r="P154" s="5"/>
      <c r="Q154" s="5"/>
      <c r="R154" s="5"/>
      <c r="S154" s="5"/>
      <c r="T154" s="5"/>
      <c r="U154" s="5"/>
      <c r="V154" s="5"/>
      <c r="W154" s="5">
        <v>0</v>
      </c>
      <c r="X154" s="5">
        <v>1</v>
      </c>
      <c r="Y154" s="5">
        <v>0</v>
      </c>
      <c r="Z154" s="5"/>
      <c r="AA154" s="5"/>
      <c r="AB154" s="5"/>
    </row>
    <row r="155" spans="1:28" x14ac:dyDescent="0.2">
      <c r="A155" s="5">
        <v>50</v>
      </c>
      <c r="B155" s="5">
        <v>0</v>
      </c>
      <c r="C155" s="5">
        <v>0</v>
      </c>
      <c r="D155" s="5">
        <v>1</v>
      </c>
      <c r="E155" s="5">
        <v>217</v>
      </c>
      <c r="F155" s="5">
        <f>ROUND(Source!AU136,O155)</f>
        <v>325033.71000000002</v>
      </c>
      <c r="G155" s="5" t="s">
        <v>75</v>
      </c>
      <c r="H155" s="5" t="s">
        <v>76</v>
      </c>
      <c r="I155" s="5"/>
      <c r="J155" s="5"/>
      <c r="K155" s="5">
        <v>217</v>
      </c>
      <c r="L155" s="5">
        <v>18</v>
      </c>
      <c r="M155" s="5">
        <v>3</v>
      </c>
      <c r="N155" s="5" t="s">
        <v>3</v>
      </c>
      <c r="O155" s="5">
        <v>2</v>
      </c>
      <c r="P155" s="5"/>
      <c r="Q155" s="5"/>
      <c r="R155" s="5"/>
      <c r="S155" s="5"/>
      <c r="T155" s="5"/>
      <c r="U155" s="5"/>
      <c r="V155" s="5"/>
      <c r="W155" s="5">
        <v>325033.71000000002</v>
      </c>
      <c r="X155" s="5">
        <v>1</v>
      </c>
      <c r="Y155" s="5">
        <v>325033.71000000002</v>
      </c>
      <c r="Z155" s="5"/>
      <c r="AA155" s="5"/>
      <c r="AB155" s="5"/>
    </row>
    <row r="156" spans="1:28" x14ac:dyDescent="0.2">
      <c r="A156" s="5">
        <v>50</v>
      </c>
      <c r="B156" s="5">
        <v>0</v>
      </c>
      <c r="C156" s="5">
        <v>0</v>
      </c>
      <c r="D156" s="5">
        <v>1</v>
      </c>
      <c r="E156" s="5">
        <v>230</v>
      </c>
      <c r="F156" s="5">
        <f>ROUND(Source!BA136,O156)</f>
        <v>0</v>
      </c>
      <c r="G156" s="5" t="s">
        <v>77</v>
      </c>
      <c r="H156" s="5" t="s">
        <v>78</v>
      </c>
      <c r="I156" s="5"/>
      <c r="J156" s="5"/>
      <c r="K156" s="5">
        <v>230</v>
      </c>
      <c r="L156" s="5">
        <v>19</v>
      </c>
      <c r="M156" s="5">
        <v>3</v>
      </c>
      <c r="N156" s="5" t="s">
        <v>3</v>
      </c>
      <c r="O156" s="5">
        <v>2</v>
      </c>
      <c r="P156" s="5"/>
      <c r="Q156" s="5"/>
      <c r="R156" s="5"/>
      <c r="S156" s="5"/>
      <c r="T156" s="5"/>
      <c r="U156" s="5"/>
      <c r="V156" s="5"/>
      <c r="W156" s="5">
        <v>0</v>
      </c>
      <c r="X156" s="5">
        <v>1</v>
      </c>
      <c r="Y156" s="5">
        <v>0</v>
      </c>
      <c r="Z156" s="5"/>
      <c r="AA156" s="5"/>
      <c r="AB156" s="5"/>
    </row>
    <row r="157" spans="1:28" x14ac:dyDescent="0.2">
      <c r="A157" s="5">
        <v>50</v>
      </c>
      <c r="B157" s="5">
        <v>0</v>
      </c>
      <c r="C157" s="5">
        <v>0</v>
      </c>
      <c r="D157" s="5">
        <v>1</v>
      </c>
      <c r="E157" s="5">
        <v>206</v>
      </c>
      <c r="F157" s="5">
        <f>ROUND(Source!T136,O157)</f>
        <v>0</v>
      </c>
      <c r="G157" s="5" t="s">
        <v>79</v>
      </c>
      <c r="H157" s="5" t="s">
        <v>80</v>
      </c>
      <c r="I157" s="5"/>
      <c r="J157" s="5"/>
      <c r="K157" s="5">
        <v>206</v>
      </c>
      <c r="L157" s="5">
        <v>20</v>
      </c>
      <c r="M157" s="5">
        <v>3</v>
      </c>
      <c r="N157" s="5" t="s">
        <v>3</v>
      </c>
      <c r="O157" s="5">
        <v>2</v>
      </c>
      <c r="P157" s="5"/>
      <c r="Q157" s="5"/>
      <c r="R157" s="5"/>
      <c r="S157" s="5"/>
      <c r="T157" s="5"/>
      <c r="U157" s="5"/>
      <c r="V157" s="5"/>
      <c r="W157" s="5">
        <v>0</v>
      </c>
      <c r="X157" s="5">
        <v>1</v>
      </c>
      <c r="Y157" s="5">
        <v>0</v>
      </c>
      <c r="Z157" s="5"/>
      <c r="AA157" s="5"/>
      <c r="AB157" s="5"/>
    </row>
    <row r="158" spans="1:28" x14ac:dyDescent="0.2">
      <c r="A158" s="5">
        <v>50</v>
      </c>
      <c r="B158" s="5">
        <v>0</v>
      </c>
      <c r="C158" s="5">
        <v>0</v>
      </c>
      <c r="D158" s="5">
        <v>1</v>
      </c>
      <c r="E158" s="5">
        <v>207</v>
      </c>
      <c r="F158" s="5">
        <f>Source!U136</f>
        <v>215.38950000000003</v>
      </c>
      <c r="G158" s="5" t="s">
        <v>81</v>
      </c>
      <c r="H158" s="5" t="s">
        <v>82</v>
      </c>
      <c r="I158" s="5"/>
      <c r="J158" s="5"/>
      <c r="K158" s="5">
        <v>207</v>
      </c>
      <c r="L158" s="5">
        <v>21</v>
      </c>
      <c r="M158" s="5">
        <v>3</v>
      </c>
      <c r="N158" s="5" t="s">
        <v>3</v>
      </c>
      <c r="O158" s="5">
        <v>-1</v>
      </c>
      <c r="P158" s="5"/>
      <c r="Q158" s="5"/>
      <c r="R158" s="5"/>
      <c r="S158" s="5"/>
      <c r="T158" s="5"/>
      <c r="U158" s="5"/>
      <c r="V158" s="5"/>
      <c r="W158" s="5">
        <v>215.38950000000003</v>
      </c>
      <c r="X158" s="5">
        <v>1</v>
      </c>
      <c r="Y158" s="5">
        <v>215.38950000000003</v>
      </c>
      <c r="Z158" s="5"/>
      <c r="AA158" s="5"/>
      <c r="AB158" s="5"/>
    </row>
    <row r="159" spans="1:28" x14ac:dyDescent="0.2">
      <c r="A159" s="5">
        <v>50</v>
      </c>
      <c r="B159" s="5">
        <v>0</v>
      </c>
      <c r="C159" s="5">
        <v>0</v>
      </c>
      <c r="D159" s="5">
        <v>1</v>
      </c>
      <c r="E159" s="5">
        <v>208</v>
      </c>
      <c r="F159" s="5">
        <f>Source!V136</f>
        <v>0</v>
      </c>
      <c r="G159" s="5" t="s">
        <v>83</v>
      </c>
      <c r="H159" s="5" t="s">
        <v>84</v>
      </c>
      <c r="I159" s="5"/>
      <c r="J159" s="5"/>
      <c r="K159" s="5">
        <v>208</v>
      </c>
      <c r="L159" s="5">
        <v>22</v>
      </c>
      <c r="M159" s="5">
        <v>3</v>
      </c>
      <c r="N159" s="5" t="s">
        <v>3</v>
      </c>
      <c r="O159" s="5">
        <v>-1</v>
      </c>
      <c r="P159" s="5"/>
      <c r="Q159" s="5"/>
      <c r="R159" s="5"/>
      <c r="S159" s="5"/>
      <c r="T159" s="5"/>
      <c r="U159" s="5"/>
      <c r="V159" s="5"/>
      <c r="W159" s="5">
        <v>0</v>
      </c>
      <c r="X159" s="5">
        <v>1</v>
      </c>
      <c r="Y159" s="5">
        <v>0</v>
      </c>
      <c r="Z159" s="5"/>
      <c r="AA159" s="5"/>
      <c r="AB159" s="5"/>
    </row>
    <row r="160" spans="1:28" x14ac:dyDescent="0.2">
      <c r="A160" s="5">
        <v>50</v>
      </c>
      <c r="B160" s="5">
        <v>0</v>
      </c>
      <c r="C160" s="5">
        <v>0</v>
      </c>
      <c r="D160" s="5">
        <v>1</v>
      </c>
      <c r="E160" s="5">
        <v>209</v>
      </c>
      <c r="F160" s="5">
        <f>ROUND(Source!W136,O160)</f>
        <v>0</v>
      </c>
      <c r="G160" s="5" t="s">
        <v>85</v>
      </c>
      <c r="H160" s="5" t="s">
        <v>86</v>
      </c>
      <c r="I160" s="5"/>
      <c r="J160" s="5"/>
      <c r="K160" s="5">
        <v>209</v>
      </c>
      <c r="L160" s="5">
        <v>23</v>
      </c>
      <c r="M160" s="5">
        <v>3</v>
      </c>
      <c r="N160" s="5" t="s">
        <v>3</v>
      </c>
      <c r="O160" s="5">
        <v>2</v>
      </c>
      <c r="P160" s="5"/>
      <c r="Q160" s="5"/>
      <c r="R160" s="5"/>
      <c r="S160" s="5"/>
      <c r="T160" s="5"/>
      <c r="U160" s="5"/>
      <c r="V160" s="5"/>
      <c r="W160" s="5">
        <v>0</v>
      </c>
      <c r="X160" s="5">
        <v>1</v>
      </c>
      <c r="Y160" s="5">
        <v>0</v>
      </c>
      <c r="Z160" s="5"/>
      <c r="AA160" s="5"/>
      <c r="AB160" s="5"/>
    </row>
    <row r="161" spans="1:28" x14ac:dyDescent="0.2">
      <c r="A161" s="5">
        <v>50</v>
      </c>
      <c r="B161" s="5">
        <v>0</v>
      </c>
      <c r="C161" s="5">
        <v>0</v>
      </c>
      <c r="D161" s="5">
        <v>1</v>
      </c>
      <c r="E161" s="5">
        <v>233</v>
      </c>
      <c r="F161" s="5">
        <f>ROUND(Source!BD136,O161)</f>
        <v>0</v>
      </c>
      <c r="G161" s="5" t="s">
        <v>87</v>
      </c>
      <c r="H161" s="5" t="s">
        <v>88</v>
      </c>
      <c r="I161" s="5"/>
      <c r="J161" s="5"/>
      <c r="K161" s="5">
        <v>233</v>
      </c>
      <c r="L161" s="5">
        <v>24</v>
      </c>
      <c r="M161" s="5">
        <v>3</v>
      </c>
      <c r="N161" s="5" t="s">
        <v>3</v>
      </c>
      <c r="O161" s="5">
        <v>2</v>
      </c>
      <c r="P161" s="5"/>
      <c r="Q161" s="5"/>
      <c r="R161" s="5"/>
      <c r="S161" s="5"/>
      <c r="T161" s="5"/>
      <c r="U161" s="5"/>
      <c r="V161" s="5"/>
      <c r="W161" s="5">
        <v>0</v>
      </c>
      <c r="X161" s="5">
        <v>1</v>
      </c>
      <c r="Y161" s="5">
        <v>0</v>
      </c>
      <c r="Z161" s="5"/>
      <c r="AA161" s="5"/>
      <c r="AB161" s="5"/>
    </row>
    <row r="162" spans="1:28" x14ac:dyDescent="0.2">
      <c r="A162" s="5">
        <v>50</v>
      </c>
      <c r="B162" s="5">
        <v>0</v>
      </c>
      <c r="C162" s="5">
        <v>0</v>
      </c>
      <c r="D162" s="5">
        <v>1</v>
      </c>
      <c r="E162" s="5">
        <v>210</v>
      </c>
      <c r="F162" s="5">
        <f>ROUND(Source!X136,O162)</f>
        <v>107816.72</v>
      </c>
      <c r="G162" s="5" t="s">
        <v>89</v>
      </c>
      <c r="H162" s="5" t="s">
        <v>90</v>
      </c>
      <c r="I162" s="5"/>
      <c r="J162" s="5"/>
      <c r="K162" s="5">
        <v>210</v>
      </c>
      <c r="L162" s="5">
        <v>25</v>
      </c>
      <c r="M162" s="5">
        <v>3</v>
      </c>
      <c r="N162" s="5" t="s">
        <v>3</v>
      </c>
      <c r="O162" s="5">
        <v>2</v>
      </c>
      <c r="P162" s="5"/>
      <c r="Q162" s="5"/>
      <c r="R162" s="5"/>
      <c r="S162" s="5"/>
      <c r="T162" s="5"/>
      <c r="U162" s="5"/>
      <c r="V162" s="5"/>
      <c r="W162" s="5">
        <v>107816.72</v>
      </c>
      <c r="X162" s="5">
        <v>1</v>
      </c>
      <c r="Y162" s="5">
        <v>107816.72</v>
      </c>
      <c r="Z162" s="5"/>
      <c r="AA162" s="5"/>
      <c r="AB162" s="5"/>
    </row>
    <row r="163" spans="1:28" x14ac:dyDescent="0.2">
      <c r="A163" s="5">
        <v>50</v>
      </c>
      <c r="B163" s="5">
        <v>0</v>
      </c>
      <c r="C163" s="5">
        <v>0</v>
      </c>
      <c r="D163" s="5">
        <v>1</v>
      </c>
      <c r="E163" s="5">
        <v>211</v>
      </c>
      <c r="F163" s="5">
        <f>ROUND(Source!Y136,O163)</f>
        <v>15402.39</v>
      </c>
      <c r="G163" s="5" t="s">
        <v>91</v>
      </c>
      <c r="H163" s="5" t="s">
        <v>92</v>
      </c>
      <c r="I163" s="5"/>
      <c r="J163" s="5"/>
      <c r="K163" s="5">
        <v>211</v>
      </c>
      <c r="L163" s="5">
        <v>26</v>
      </c>
      <c r="M163" s="5">
        <v>3</v>
      </c>
      <c r="N163" s="5" t="s">
        <v>3</v>
      </c>
      <c r="O163" s="5">
        <v>2</v>
      </c>
      <c r="P163" s="5"/>
      <c r="Q163" s="5"/>
      <c r="R163" s="5"/>
      <c r="S163" s="5"/>
      <c r="T163" s="5"/>
      <c r="U163" s="5"/>
      <c r="V163" s="5"/>
      <c r="W163" s="5">
        <v>15402.39</v>
      </c>
      <c r="X163" s="5">
        <v>1</v>
      </c>
      <c r="Y163" s="5">
        <v>15402.39</v>
      </c>
      <c r="Z163" s="5"/>
      <c r="AA163" s="5"/>
      <c r="AB163" s="5"/>
    </row>
    <row r="164" spans="1:28" x14ac:dyDescent="0.2">
      <c r="A164" s="5">
        <v>50</v>
      </c>
      <c r="B164" s="5">
        <v>0</v>
      </c>
      <c r="C164" s="5">
        <v>0</v>
      </c>
      <c r="D164" s="5">
        <v>1</v>
      </c>
      <c r="E164" s="5">
        <v>224</v>
      </c>
      <c r="F164" s="5">
        <f>ROUND(Source!AR136,O164)</f>
        <v>325033.71000000002</v>
      </c>
      <c r="G164" s="5" t="s">
        <v>93</v>
      </c>
      <c r="H164" s="5" t="s">
        <v>94</v>
      </c>
      <c r="I164" s="5"/>
      <c r="J164" s="5"/>
      <c r="K164" s="5">
        <v>224</v>
      </c>
      <c r="L164" s="5">
        <v>27</v>
      </c>
      <c r="M164" s="5">
        <v>3</v>
      </c>
      <c r="N164" s="5" t="s">
        <v>3</v>
      </c>
      <c r="O164" s="5">
        <v>2</v>
      </c>
      <c r="P164" s="5"/>
      <c r="Q164" s="5"/>
      <c r="R164" s="5"/>
      <c r="S164" s="5"/>
      <c r="T164" s="5"/>
      <c r="U164" s="5"/>
      <c r="V164" s="5"/>
      <c r="W164" s="5">
        <v>325033.71000000002</v>
      </c>
      <c r="X164" s="5">
        <v>1</v>
      </c>
      <c r="Y164" s="5">
        <v>325033.71000000002</v>
      </c>
      <c r="Z164" s="5"/>
      <c r="AA164" s="5"/>
      <c r="AB164" s="5"/>
    </row>
    <row r="165" spans="1:28" x14ac:dyDescent="0.2">
      <c r="A165" s="5">
        <v>50</v>
      </c>
      <c r="B165" s="5">
        <v>1</v>
      </c>
      <c r="C165" s="5">
        <v>0</v>
      </c>
      <c r="D165" s="5">
        <v>2</v>
      </c>
      <c r="E165" s="5">
        <v>0</v>
      </c>
      <c r="F165" s="5">
        <f>ROUND(F164*0.22,O165)</f>
        <v>71507.42</v>
      </c>
      <c r="G165" s="5" t="s">
        <v>95</v>
      </c>
      <c r="H165" s="5" t="s">
        <v>96</v>
      </c>
      <c r="I165" s="5"/>
      <c r="J165" s="5"/>
      <c r="K165" s="5">
        <v>212</v>
      </c>
      <c r="L165" s="5">
        <v>28</v>
      </c>
      <c r="M165" s="5">
        <v>0</v>
      </c>
      <c r="N165" s="5" t="s">
        <v>3</v>
      </c>
      <c r="O165" s="5">
        <v>2</v>
      </c>
      <c r="P165" s="5"/>
      <c r="Q165" s="5"/>
      <c r="R165" s="5"/>
      <c r="S165" s="5"/>
      <c r="T165" s="5"/>
      <c r="U165" s="5"/>
      <c r="V165" s="5"/>
      <c r="W165" s="5">
        <v>71507.42</v>
      </c>
      <c r="X165" s="5">
        <v>1</v>
      </c>
      <c r="Y165" s="5">
        <v>71507.42</v>
      </c>
      <c r="Z165" s="5"/>
      <c r="AA165" s="5"/>
      <c r="AB165" s="5"/>
    </row>
    <row r="166" spans="1:28" x14ac:dyDescent="0.2">
      <c r="A166" s="5">
        <v>50</v>
      </c>
      <c r="B166" s="5">
        <v>1</v>
      </c>
      <c r="C166" s="5">
        <v>0</v>
      </c>
      <c r="D166" s="5">
        <v>2</v>
      </c>
      <c r="E166" s="5">
        <v>0</v>
      </c>
      <c r="F166" s="5">
        <f>ROUND(F164*1.2,O166)</f>
        <v>390040.45</v>
      </c>
      <c r="G166" s="5" t="s">
        <v>97</v>
      </c>
      <c r="H166" s="5" t="s">
        <v>98</v>
      </c>
      <c r="I166" s="5"/>
      <c r="J166" s="5"/>
      <c r="K166" s="5">
        <v>212</v>
      </c>
      <c r="L166" s="5">
        <v>29</v>
      </c>
      <c r="M166" s="5">
        <v>0</v>
      </c>
      <c r="N166" s="5" t="s">
        <v>3</v>
      </c>
      <c r="O166" s="5">
        <v>2</v>
      </c>
      <c r="P166" s="5"/>
      <c r="Q166" s="5"/>
      <c r="R166" s="5"/>
      <c r="S166" s="5"/>
      <c r="T166" s="5"/>
      <c r="U166" s="5"/>
      <c r="V166" s="5"/>
      <c r="W166" s="5">
        <v>390040.45</v>
      </c>
      <c r="X166" s="5">
        <v>1</v>
      </c>
      <c r="Y166" s="5">
        <v>390040.45</v>
      </c>
      <c r="Z166" s="5"/>
      <c r="AA166" s="5"/>
      <c r="AB166" s="5"/>
    </row>
    <row r="169" spans="1:28" x14ac:dyDescent="0.2">
      <c r="A169">
        <v>-1</v>
      </c>
    </row>
    <row r="171" spans="1:28" x14ac:dyDescent="0.2">
      <c r="A171" s="4">
        <v>75</v>
      </c>
      <c r="B171" s="4" t="s">
        <v>101</v>
      </c>
      <c r="C171" s="4">
        <v>2026</v>
      </c>
      <c r="D171" s="4">
        <v>0</v>
      </c>
      <c r="E171" s="4">
        <v>7</v>
      </c>
      <c r="F171" s="4">
        <v>0</v>
      </c>
      <c r="G171" s="4">
        <v>0</v>
      </c>
      <c r="H171" s="4">
        <v>1</v>
      </c>
      <c r="I171" s="4">
        <v>0</v>
      </c>
      <c r="J171" s="4">
        <v>1</v>
      </c>
      <c r="K171" s="4">
        <v>95</v>
      </c>
      <c r="L171" s="4">
        <v>30</v>
      </c>
      <c r="M171" s="4">
        <v>0</v>
      </c>
      <c r="N171" s="4">
        <v>61825561</v>
      </c>
      <c r="O171" s="4">
        <v>1</v>
      </c>
    </row>
    <row r="175" spans="1:28" x14ac:dyDescent="0.2">
      <c r="A175">
        <v>65</v>
      </c>
      <c r="C175">
        <v>1</v>
      </c>
      <c r="D175">
        <v>0</v>
      </c>
      <c r="E175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102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59090</v>
      </c>
      <c r="M1">
        <v>10</v>
      </c>
      <c r="N1">
        <v>12</v>
      </c>
      <c r="O1">
        <v>1</v>
      </c>
      <c r="P1">
        <v>0</v>
      </c>
      <c r="Q1">
        <v>5</v>
      </c>
    </row>
    <row r="12" spans="1:133" x14ac:dyDescent="0.2">
      <c r="A12" s="1">
        <v>1</v>
      </c>
      <c r="B12" s="1">
        <v>53</v>
      </c>
      <c r="C12" s="1">
        <v>0</v>
      </c>
      <c r="D12" s="1"/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125</v>
      </c>
      <c r="S12" s="1"/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61825561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6">
        <v>3</v>
      </c>
      <c r="B16" s="6">
        <v>1</v>
      </c>
      <c r="C16" s="6" t="s">
        <v>12</v>
      </c>
      <c r="D16" s="6" t="s">
        <v>12</v>
      </c>
      <c r="E16" s="7">
        <f>ROUND((Source!F121)/1000,2)</f>
        <v>0</v>
      </c>
      <c r="F16" s="7">
        <f>ROUND((Source!F122)/1000,2)</f>
        <v>0</v>
      </c>
      <c r="G16" s="7">
        <f>ROUND((Source!F113)/1000,2)</f>
        <v>0</v>
      </c>
      <c r="H16" s="7">
        <f>ROUND((Source!F123)/1000+(Source!F124)/1000,2)</f>
        <v>325.02999999999997</v>
      </c>
      <c r="I16" s="7">
        <f>E16+F16+G16+H16</f>
        <v>325.02999999999997</v>
      </c>
      <c r="J16" s="7">
        <f>ROUND((Source!F119+Source!F118)/1000,2)</f>
        <v>154.02000000000001</v>
      </c>
      <c r="K16" s="7">
        <v>249.59</v>
      </c>
      <c r="L16" s="7">
        <v>0</v>
      </c>
      <c r="M16" s="7">
        <v>0</v>
      </c>
      <c r="N16" s="7">
        <f>I16+L16+M16</f>
        <v>325.02999999999997</v>
      </c>
      <c r="AI16" s="6">
        <v>0</v>
      </c>
      <c r="AJ16" s="6">
        <v>0</v>
      </c>
      <c r="AK16" s="6" t="s">
        <v>3</v>
      </c>
      <c r="AL16" s="6" t="s">
        <v>3</v>
      </c>
      <c r="AM16" s="6" t="s">
        <v>3</v>
      </c>
      <c r="AN16" s="6">
        <v>0</v>
      </c>
      <c r="AO16" s="6" t="s">
        <v>3</v>
      </c>
      <c r="AP16" s="6" t="s">
        <v>3</v>
      </c>
      <c r="AT16" s="7">
        <v>201814.54</v>
      </c>
      <c r="AU16" s="7">
        <v>47779.86</v>
      </c>
      <c r="AV16" s="7">
        <v>0</v>
      </c>
      <c r="AW16" s="7">
        <v>0</v>
      </c>
      <c r="AX16" s="7">
        <v>0</v>
      </c>
      <c r="AY16" s="7">
        <v>10.8</v>
      </c>
      <c r="AZ16" s="7">
        <v>0.05</v>
      </c>
      <c r="BA16" s="7">
        <v>154023.88</v>
      </c>
      <c r="BB16" s="7">
        <v>0</v>
      </c>
      <c r="BC16" s="7">
        <v>0</v>
      </c>
      <c r="BD16" s="7">
        <v>325033.71000000002</v>
      </c>
      <c r="BE16" s="7">
        <v>0</v>
      </c>
      <c r="BF16" s="7">
        <v>215.38950000000003</v>
      </c>
      <c r="BG16" s="7">
        <v>0</v>
      </c>
      <c r="BH16" s="7">
        <v>0</v>
      </c>
      <c r="BI16" s="7">
        <v>107816.72</v>
      </c>
      <c r="BJ16" s="7">
        <v>15402.39</v>
      </c>
      <c r="BK16" s="7">
        <v>325033.71000000002</v>
      </c>
    </row>
    <row r="18" spans="1:16" x14ac:dyDescent="0.2">
      <c r="A18">
        <v>51</v>
      </c>
      <c r="E18">
        <v>0</v>
      </c>
      <c r="F18">
        <v>0</v>
      </c>
      <c r="G18">
        <v>0</v>
      </c>
      <c r="H18">
        <v>325.02999999999997</v>
      </c>
      <c r="I18">
        <v>325.02999999999997</v>
      </c>
      <c r="J18">
        <v>154.02000000000001</v>
      </c>
      <c r="K18">
        <v>249.59</v>
      </c>
      <c r="L18">
        <v>0</v>
      </c>
      <c r="M18">
        <v>0</v>
      </c>
      <c r="N18">
        <v>325.02999999999997</v>
      </c>
    </row>
    <row r="20" spans="1:16" x14ac:dyDescent="0.2">
      <c r="A20" s="5">
        <v>50</v>
      </c>
      <c r="B20" s="5">
        <v>0</v>
      </c>
      <c r="C20" s="5">
        <v>0</v>
      </c>
      <c r="D20" s="5">
        <v>1</v>
      </c>
      <c r="E20" s="5">
        <v>201</v>
      </c>
      <c r="F20" s="5">
        <v>201814.54</v>
      </c>
      <c r="G20" s="5" t="s">
        <v>41</v>
      </c>
      <c r="H20" s="5" t="s">
        <v>42</v>
      </c>
      <c r="I20" s="5"/>
      <c r="J20" s="5"/>
      <c r="K20" s="5">
        <v>201</v>
      </c>
      <c r="L20" s="5">
        <v>1</v>
      </c>
      <c r="M20" s="5">
        <v>3</v>
      </c>
      <c r="N20" s="5" t="s">
        <v>3</v>
      </c>
      <c r="O20" s="5">
        <v>2</v>
      </c>
      <c r="P20" s="5"/>
    </row>
    <row r="21" spans="1:16" x14ac:dyDescent="0.2">
      <c r="A21" s="5">
        <v>50</v>
      </c>
      <c r="B21" s="5">
        <v>0</v>
      </c>
      <c r="C21" s="5">
        <v>0</v>
      </c>
      <c r="D21" s="5">
        <v>1</v>
      </c>
      <c r="E21" s="5">
        <v>202</v>
      </c>
      <c r="F21" s="5">
        <v>47779.86</v>
      </c>
      <c r="G21" s="5" t="s">
        <v>43</v>
      </c>
      <c r="H21" s="5" t="s">
        <v>44</v>
      </c>
      <c r="I21" s="5"/>
      <c r="J21" s="5"/>
      <c r="K21" s="5">
        <v>202</v>
      </c>
      <c r="L21" s="5">
        <v>2</v>
      </c>
      <c r="M21" s="5">
        <v>3</v>
      </c>
      <c r="N21" s="5" t="s">
        <v>3</v>
      </c>
      <c r="O21" s="5">
        <v>2</v>
      </c>
      <c r="P21" s="5"/>
    </row>
    <row r="22" spans="1:16" x14ac:dyDescent="0.2">
      <c r="A22" s="5">
        <v>50</v>
      </c>
      <c r="B22" s="5">
        <v>0</v>
      </c>
      <c r="C22" s="5">
        <v>0</v>
      </c>
      <c r="D22" s="5">
        <v>1</v>
      </c>
      <c r="E22" s="5">
        <v>222</v>
      </c>
      <c r="F22" s="5">
        <v>0</v>
      </c>
      <c r="G22" s="5" t="s">
        <v>45</v>
      </c>
      <c r="H22" s="5" t="s">
        <v>46</v>
      </c>
      <c r="I22" s="5"/>
      <c r="J22" s="5"/>
      <c r="K22" s="5">
        <v>222</v>
      </c>
      <c r="L22" s="5">
        <v>3</v>
      </c>
      <c r="M22" s="5">
        <v>3</v>
      </c>
      <c r="N22" s="5" t="s">
        <v>3</v>
      </c>
      <c r="O22" s="5">
        <v>2</v>
      </c>
      <c r="P22" s="5"/>
    </row>
    <row r="23" spans="1:16" x14ac:dyDescent="0.2">
      <c r="A23" s="5">
        <v>50</v>
      </c>
      <c r="B23" s="5">
        <v>0</v>
      </c>
      <c r="C23" s="5">
        <v>0</v>
      </c>
      <c r="D23" s="5">
        <v>1</v>
      </c>
      <c r="E23" s="5">
        <v>225</v>
      </c>
      <c r="F23" s="5">
        <v>47779.86</v>
      </c>
      <c r="G23" s="5" t="s">
        <v>47</v>
      </c>
      <c r="H23" s="5" t="s">
        <v>48</v>
      </c>
      <c r="I23" s="5"/>
      <c r="J23" s="5"/>
      <c r="K23" s="5">
        <v>225</v>
      </c>
      <c r="L23" s="5">
        <v>4</v>
      </c>
      <c r="M23" s="5">
        <v>3</v>
      </c>
      <c r="N23" s="5" t="s">
        <v>3</v>
      </c>
      <c r="O23" s="5">
        <v>2</v>
      </c>
      <c r="P23" s="5"/>
    </row>
    <row r="24" spans="1:16" x14ac:dyDescent="0.2">
      <c r="A24" s="5">
        <v>50</v>
      </c>
      <c r="B24" s="5">
        <v>0</v>
      </c>
      <c r="C24" s="5">
        <v>0</v>
      </c>
      <c r="D24" s="5">
        <v>1</v>
      </c>
      <c r="E24" s="5">
        <v>226</v>
      </c>
      <c r="F24" s="5">
        <v>47779.86</v>
      </c>
      <c r="G24" s="5" t="s">
        <v>49</v>
      </c>
      <c r="H24" s="5" t="s">
        <v>50</v>
      </c>
      <c r="I24" s="5"/>
      <c r="J24" s="5"/>
      <c r="K24" s="5">
        <v>226</v>
      </c>
      <c r="L24" s="5">
        <v>5</v>
      </c>
      <c r="M24" s="5">
        <v>3</v>
      </c>
      <c r="N24" s="5" t="s">
        <v>3</v>
      </c>
      <c r="O24" s="5">
        <v>2</v>
      </c>
      <c r="P24" s="5"/>
    </row>
    <row r="25" spans="1:16" x14ac:dyDescent="0.2">
      <c r="A25" s="5">
        <v>50</v>
      </c>
      <c r="B25" s="5">
        <v>0</v>
      </c>
      <c r="C25" s="5">
        <v>0</v>
      </c>
      <c r="D25" s="5">
        <v>1</v>
      </c>
      <c r="E25" s="5">
        <v>227</v>
      </c>
      <c r="F25" s="5">
        <v>0</v>
      </c>
      <c r="G25" s="5" t="s">
        <v>51</v>
      </c>
      <c r="H25" s="5" t="s">
        <v>52</v>
      </c>
      <c r="I25" s="5"/>
      <c r="J25" s="5"/>
      <c r="K25" s="5">
        <v>227</v>
      </c>
      <c r="L25" s="5">
        <v>6</v>
      </c>
      <c r="M25" s="5">
        <v>3</v>
      </c>
      <c r="N25" s="5" t="s">
        <v>3</v>
      </c>
      <c r="O25" s="5">
        <v>2</v>
      </c>
      <c r="P25" s="5"/>
    </row>
    <row r="26" spans="1:16" x14ac:dyDescent="0.2">
      <c r="A26" s="5">
        <v>50</v>
      </c>
      <c r="B26" s="5">
        <v>0</v>
      </c>
      <c r="C26" s="5">
        <v>0</v>
      </c>
      <c r="D26" s="5">
        <v>1</v>
      </c>
      <c r="E26" s="5">
        <v>228</v>
      </c>
      <c r="F26" s="5">
        <v>47779.86</v>
      </c>
      <c r="G26" s="5" t="s">
        <v>53</v>
      </c>
      <c r="H26" s="5" t="s">
        <v>54</v>
      </c>
      <c r="I26" s="5"/>
      <c r="J26" s="5"/>
      <c r="K26" s="5">
        <v>228</v>
      </c>
      <c r="L26" s="5">
        <v>7</v>
      </c>
      <c r="M26" s="5">
        <v>3</v>
      </c>
      <c r="N26" s="5" t="s">
        <v>3</v>
      </c>
      <c r="O26" s="5">
        <v>2</v>
      </c>
      <c r="P26" s="5"/>
    </row>
    <row r="27" spans="1:16" x14ac:dyDescent="0.2">
      <c r="A27" s="5">
        <v>50</v>
      </c>
      <c r="B27" s="5">
        <v>0</v>
      </c>
      <c r="C27" s="5">
        <v>0</v>
      </c>
      <c r="D27" s="5">
        <v>1</v>
      </c>
      <c r="E27" s="5">
        <v>216</v>
      </c>
      <c r="F27" s="5">
        <v>0</v>
      </c>
      <c r="G27" s="5" t="s">
        <v>55</v>
      </c>
      <c r="H27" s="5" t="s">
        <v>56</v>
      </c>
      <c r="I27" s="5"/>
      <c r="J27" s="5"/>
      <c r="K27" s="5">
        <v>216</v>
      </c>
      <c r="L27" s="5">
        <v>8</v>
      </c>
      <c r="M27" s="5">
        <v>3</v>
      </c>
      <c r="N27" s="5" t="s">
        <v>3</v>
      </c>
      <c r="O27" s="5">
        <v>2</v>
      </c>
      <c r="P27" s="5"/>
    </row>
    <row r="28" spans="1:16" x14ac:dyDescent="0.2">
      <c r="A28" s="5">
        <v>50</v>
      </c>
      <c r="B28" s="5">
        <v>0</v>
      </c>
      <c r="C28" s="5">
        <v>0</v>
      </c>
      <c r="D28" s="5">
        <v>1</v>
      </c>
      <c r="E28" s="5">
        <v>223</v>
      </c>
      <c r="F28" s="5">
        <v>0</v>
      </c>
      <c r="G28" s="5" t="s">
        <v>57</v>
      </c>
      <c r="H28" s="5" t="s">
        <v>58</v>
      </c>
      <c r="I28" s="5"/>
      <c r="J28" s="5"/>
      <c r="K28" s="5">
        <v>223</v>
      </c>
      <c r="L28" s="5">
        <v>9</v>
      </c>
      <c r="M28" s="5">
        <v>3</v>
      </c>
      <c r="N28" s="5" t="s">
        <v>3</v>
      </c>
      <c r="O28" s="5">
        <v>2</v>
      </c>
      <c r="P28" s="5"/>
    </row>
    <row r="29" spans="1:16" x14ac:dyDescent="0.2">
      <c r="A29" s="5">
        <v>50</v>
      </c>
      <c r="B29" s="5">
        <v>0</v>
      </c>
      <c r="C29" s="5">
        <v>0</v>
      </c>
      <c r="D29" s="5">
        <v>1</v>
      </c>
      <c r="E29" s="5">
        <v>229</v>
      </c>
      <c r="F29" s="5">
        <v>0</v>
      </c>
      <c r="G29" s="5" t="s">
        <v>59</v>
      </c>
      <c r="H29" s="5" t="s">
        <v>60</v>
      </c>
      <c r="I29" s="5"/>
      <c r="J29" s="5"/>
      <c r="K29" s="5">
        <v>229</v>
      </c>
      <c r="L29" s="5">
        <v>10</v>
      </c>
      <c r="M29" s="5">
        <v>3</v>
      </c>
      <c r="N29" s="5" t="s">
        <v>3</v>
      </c>
      <c r="O29" s="5">
        <v>2</v>
      </c>
      <c r="P29" s="5"/>
    </row>
    <row r="30" spans="1:16" x14ac:dyDescent="0.2">
      <c r="A30" s="5">
        <v>50</v>
      </c>
      <c r="B30" s="5">
        <v>0</v>
      </c>
      <c r="C30" s="5">
        <v>0</v>
      </c>
      <c r="D30" s="5">
        <v>1</v>
      </c>
      <c r="E30" s="5">
        <v>203</v>
      </c>
      <c r="F30" s="5">
        <v>10.8</v>
      </c>
      <c r="G30" s="5" t="s">
        <v>61</v>
      </c>
      <c r="H30" s="5" t="s">
        <v>62</v>
      </c>
      <c r="I30" s="5"/>
      <c r="J30" s="5"/>
      <c r="K30" s="5">
        <v>203</v>
      </c>
      <c r="L30" s="5">
        <v>11</v>
      </c>
      <c r="M30" s="5">
        <v>3</v>
      </c>
      <c r="N30" s="5" t="s">
        <v>3</v>
      </c>
      <c r="O30" s="5">
        <v>2</v>
      </c>
      <c r="P30" s="5"/>
    </row>
    <row r="31" spans="1:16" x14ac:dyDescent="0.2">
      <c r="A31" s="5">
        <v>50</v>
      </c>
      <c r="B31" s="5">
        <v>0</v>
      </c>
      <c r="C31" s="5">
        <v>0</v>
      </c>
      <c r="D31" s="5">
        <v>1</v>
      </c>
      <c r="E31" s="5">
        <v>231</v>
      </c>
      <c r="F31" s="5">
        <v>0</v>
      </c>
      <c r="G31" s="5" t="s">
        <v>63</v>
      </c>
      <c r="H31" s="5" t="s">
        <v>64</v>
      </c>
      <c r="I31" s="5"/>
      <c r="J31" s="5"/>
      <c r="K31" s="5">
        <v>231</v>
      </c>
      <c r="L31" s="5">
        <v>12</v>
      </c>
      <c r="M31" s="5">
        <v>3</v>
      </c>
      <c r="N31" s="5" t="s">
        <v>3</v>
      </c>
      <c r="O31" s="5">
        <v>2</v>
      </c>
      <c r="P31" s="5"/>
    </row>
    <row r="32" spans="1:16" x14ac:dyDescent="0.2">
      <c r="A32" s="5">
        <v>50</v>
      </c>
      <c r="B32" s="5">
        <v>0</v>
      </c>
      <c r="C32" s="5">
        <v>0</v>
      </c>
      <c r="D32" s="5">
        <v>1</v>
      </c>
      <c r="E32" s="5">
        <v>204</v>
      </c>
      <c r="F32" s="5">
        <v>0.05</v>
      </c>
      <c r="G32" s="5" t="s">
        <v>65</v>
      </c>
      <c r="H32" s="5" t="s">
        <v>66</v>
      </c>
      <c r="I32" s="5"/>
      <c r="J32" s="5"/>
      <c r="K32" s="5">
        <v>204</v>
      </c>
      <c r="L32" s="5">
        <v>13</v>
      </c>
      <c r="M32" s="5">
        <v>3</v>
      </c>
      <c r="N32" s="5" t="s">
        <v>3</v>
      </c>
      <c r="O32" s="5">
        <v>2</v>
      </c>
      <c r="P32" s="5"/>
    </row>
    <row r="33" spans="1:16" x14ac:dyDescent="0.2">
      <c r="A33" s="5">
        <v>50</v>
      </c>
      <c r="B33" s="5">
        <v>0</v>
      </c>
      <c r="C33" s="5">
        <v>0</v>
      </c>
      <c r="D33" s="5">
        <v>1</v>
      </c>
      <c r="E33" s="5">
        <v>205</v>
      </c>
      <c r="F33" s="5">
        <v>154023.88</v>
      </c>
      <c r="G33" s="5" t="s">
        <v>67</v>
      </c>
      <c r="H33" s="5" t="s">
        <v>68</v>
      </c>
      <c r="I33" s="5"/>
      <c r="J33" s="5"/>
      <c r="K33" s="5">
        <v>205</v>
      </c>
      <c r="L33" s="5">
        <v>14</v>
      </c>
      <c r="M33" s="5">
        <v>3</v>
      </c>
      <c r="N33" s="5" t="s">
        <v>3</v>
      </c>
      <c r="O33" s="5">
        <v>2</v>
      </c>
      <c r="P33" s="5"/>
    </row>
    <row r="34" spans="1:16" x14ac:dyDescent="0.2">
      <c r="A34" s="5">
        <v>50</v>
      </c>
      <c r="B34" s="5">
        <v>0</v>
      </c>
      <c r="C34" s="5">
        <v>0</v>
      </c>
      <c r="D34" s="5">
        <v>1</v>
      </c>
      <c r="E34" s="5">
        <v>232</v>
      </c>
      <c r="F34" s="5">
        <v>0</v>
      </c>
      <c r="G34" s="5" t="s">
        <v>69</v>
      </c>
      <c r="H34" s="5" t="s">
        <v>70</v>
      </c>
      <c r="I34" s="5"/>
      <c r="J34" s="5"/>
      <c r="K34" s="5">
        <v>232</v>
      </c>
      <c r="L34" s="5">
        <v>15</v>
      </c>
      <c r="M34" s="5">
        <v>3</v>
      </c>
      <c r="N34" s="5" t="s">
        <v>3</v>
      </c>
      <c r="O34" s="5">
        <v>2</v>
      </c>
      <c r="P34" s="5"/>
    </row>
    <row r="35" spans="1:16" x14ac:dyDescent="0.2">
      <c r="A35" s="5">
        <v>50</v>
      </c>
      <c r="B35" s="5">
        <v>0</v>
      </c>
      <c r="C35" s="5">
        <v>0</v>
      </c>
      <c r="D35" s="5">
        <v>1</v>
      </c>
      <c r="E35" s="5">
        <v>214</v>
      </c>
      <c r="F35" s="5">
        <v>0</v>
      </c>
      <c r="G35" s="5" t="s">
        <v>71</v>
      </c>
      <c r="H35" s="5" t="s">
        <v>72</v>
      </c>
      <c r="I35" s="5"/>
      <c r="J35" s="5"/>
      <c r="K35" s="5">
        <v>214</v>
      </c>
      <c r="L35" s="5">
        <v>16</v>
      </c>
      <c r="M35" s="5">
        <v>3</v>
      </c>
      <c r="N35" s="5" t="s">
        <v>3</v>
      </c>
      <c r="O35" s="5">
        <v>2</v>
      </c>
      <c r="P35" s="5"/>
    </row>
    <row r="36" spans="1:16" x14ac:dyDescent="0.2">
      <c r="A36" s="5">
        <v>50</v>
      </c>
      <c r="B36" s="5">
        <v>0</v>
      </c>
      <c r="C36" s="5">
        <v>0</v>
      </c>
      <c r="D36" s="5">
        <v>1</v>
      </c>
      <c r="E36" s="5">
        <v>215</v>
      </c>
      <c r="F36" s="5">
        <v>0</v>
      </c>
      <c r="G36" s="5" t="s">
        <v>73</v>
      </c>
      <c r="H36" s="5" t="s">
        <v>74</v>
      </c>
      <c r="I36" s="5"/>
      <c r="J36" s="5"/>
      <c r="K36" s="5">
        <v>215</v>
      </c>
      <c r="L36" s="5">
        <v>17</v>
      </c>
      <c r="M36" s="5">
        <v>3</v>
      </c>
      <c r="N36" s="5" t="s">
        <v>3</v>
      </c>
      <c r="O36" s="5">
        <v>2</v>
      </c>
      <c r="P36" s="5"/>
    </row>
    <row r="37" spans="1:16" x14ac:dyDescent="0.2">
      <c r="A37" s="5">
        <v>50</v>
      </c>
      <c r="B37" s="5">
        <v>0</v>
      </c>
      <c r="C37" s="5">
        <v>0</v>
      </c>
      <c r="D37" s="5">
        <v>1</v>
      </c>
      <c r="E37" s="5">
        <v>217</v>
      </c>
      <c r="F37" s="5">
        <v>325033.71000000002</v>
      </c>
      <c r="G37" s="5" t="s">
        <v>75</v>
      </c>
      <c r="H37" s="5" t="s">
        <v>76</v>
      </c>
      <c r="I37" s="5"/>
      <c r="J37" s="5"/>
      <c r="K37" s="5">
        <v>217</v>
      </c>
      <c r="L37" s="5">
        <v>18</v>
      </c>
      <c r="M37" s="5">
        <v>3</v>
      </c>
      <c r="N37" s="5" t="s">
        <v>3</v>
      </c>
      <c r="O37" s="5">
        <v>2</v>
      </c>
      <c r="P37" s="5"/>
    </row>
    <row r="38" spans="1:16" x14ac:dyDescent="0.2">
      <c r="A38" s="5">
        <v>50</v>
      </c>
      <c r="B38" s="5">
        <v>0</v>
      </c>
      <c r="C38" s="5">
        <v>0</v>
      </c>
      <c r="D38" s="5">
        <v>1</v>
      </c>
      <c r="E38" s="5">
        <v>230</v>
      </c>
      <c r="F38" s="5">
        <v>0</v>
      </c>
      <c r="G38" s="5" t="s">
        <v>77</v>
      </c>
      <c r="H38" s="5" t="s">
        <v>78</v>
      </c>
      <c r="I38" s="5"/>
      <c r="J38" s="5"/>
      <c r="K38" s="5">
        <v>230</v>
      </c>
      <c r="L38" s="5">
        <v>19</v>
      </c>
      <c r="M38" s="5">
        <v>3</v>
      </c>
      <c r="N38" s="5" t="s">
        <v>3</v>
      </c>
      <c r="O38" s="5">
        <v>2</v>
      </c>
      <c r="P38" s="5"/>
    </row>
    <row r="39" spans="1:16" x14ac:dyDescent="0.2">
      <c r="A39" s="5">
        <v>50</v>
      </c>
      <c r="B39" s="5">
        <v>0</v>
      </c>
      <c r="C39" s="5">
        <v>0</v>
      </c>
      <c r="D39" s="5">
        <v>1</v>
      </c>
      <c r="E39" s="5">
        <v>206</v>
      </c>
      <c r="F39" s="5">
        <v>0</v>
      </c>
      <c r="G39" s="5" t="s">
        <v>79</v>
      </c>
      <c r="H39" s="5" t="s">
        <v>80</v>
      </c>
      <c r="I39" s="5"/>
      <c r="J39" s="5"/>
      <c r="K39" s="5">
        <v>206</v>
      </c>
      <c r="L39" s="5">
        <v>20</v>
      </c>
      <c r="M39" s="5">
        <v>3</v>
      </c>
      <c r="N39" s="5" t="s">
        <v>3</v>
      </c>
      <c r="O39" s="5">
        <v>2</v>
      </c>
      <c r="P39" s="5"/>
    </row>
    <row r="40" spans="1:16" x14ac:dyDescent="0.2">
      <c r="A40" s="5">
        <v>50</v>
      </c>
      <c r="B40" s="5">
        <v>0</v>
      </c>
      <c r="C40" s="5">
        <v>0</v>
      </c>
      <c r="D40" s="5">
        <v>1</v>
      </c>
      <c r="E40" s="5">
        <v>207</v>
      </c>
      <c r="F40" s="5">
        <v>215.38950000000003</v>
      </c>
      <c r="G40" s="5" t="s">
        <v>81</v>
      </c>
      <c r="H40" s="5" t="s">
        <v>82</v>
      </c>
      <c r="I40" s="5"/>
      <c r="J40" s="5"/>
      <c r="K40" s="5">
        <v>207</v>
      </c>
      <c r="L40" s="5">
        <v>21</v>
      </c>
      <c r="M40" s="5">
        <v>3</v>
      </c>
      <c r="N40" s="5" t="s">
        <v>3</v>
      </c>
      <c r="O40" s="5">
        <v>-1</v>
      </c>
      <c r="P40" s="5"/>
    </row>
    <row r="41" spans="1:16" x14ac:dyDescent="0.2">
      <c r="A41" s="5">
        <v>50</v>
      </c>
      <c r="B41" s="5">
        <v>0</v>
      </c>
      <c r="C41" s="5">
        <v>0</v>
      </c>
      <c r="D41" s="5">
        <v>1</v>
      </c>
      <c r="E41" s="5">
        <v>208</v>
      </c>
      <c r="F41" s="5">
        <v>0</v>
      </c>
      <c r="G41" s="5" t="s">
        <v>83</v>
      </c>
      <c r="H41" s="5" t="s">
        <v>84</v>
      </c>
      <c r="I41" s="5"/>
      <c r="J41" s="5"/>
      <c r="K41" s="5">
        <v>208</v>
      </c>
      <c r="L41" s="5">
        <v>22</v>
      </c>
      <c r="M41" s="5">
        <v>3</v>
      </c>
      <c r="N41" s="5" t="s">
        <v>3</v>
      </c>
      <c r="O41" s="5">
        <v>-1</v>
      </c>
      <c r="P41" s="5"/>
    </row>
    <row r="42" spans="1:16" x14ac:dyDescent="0.2">
      <c r="A42" s="5">
        <v>50</v>
      </c>
      <c r="B42" s="5">
        <v>0</v>
      </c>
      <c r="C42" s="5">
        <v>0</v>
      </c>
      <c r="D42" s="5">
        <v>1</v>
      </c>
      <c r="E42" s="5">
        <v>209</v>
      </c>
      <c r="F42" s="5">
        <v>0</v>
      </c>
      <c r="G42" s="5" t="s">
        <v>85</v>
      </c>
      <c r="H42" s="5" t="s">
        <v>86</v>
      </c>
      <c r="I42" s="5"/>
      <c r="J42" s="5"/>
      <c r="K42" s="5">
        <v>209</v>
      </c>
      <c r="L42" s="5">
        <v>23</v>
      </c>
      <c r="M42" s="5">
        <v>3</v>
      </c>
      <c r="N42" s="5" t="s">
        <v>3</v>
      </c>
      <c r="O42" s="5">
        <v>2</v>
      </c>
      <c r="P42" s="5"/>
    </row>
    <row r="43" spans="1:16" x14ac:dyDescent="0.2">
      <c r="A43" s="5">
        <v>50</v>
      </c>
      <c r="B43" s="5">
        <v>0</v>
      </c>
      <c r="C43" s="5">
        <v>0</v>
      </c>
      <c r="D43" s="5">
        <v>1</v>
      </c>
      <c r="E43" s="5">
        <v>233</v>
      </c>
      <c r="F43" s="5">
        <v>0</v>
      </c>
      <c r="G43" s="5" t="s">
        <v>87</v>
      </c>
      <c r="H43" s="5" t="s">
        <v>88</v>
      </c>
      <c r="I43" s="5"/>
      <c r="J43" s="5"/>
      <c r="K43" s="5">
        <v>233</v>
      </c>
      <c r="L43" s="5">
        <v>24</v>
      </c>
      <c r="M43" s="5">
        <v>3</v>
      </c>
      <c r="N43" s="5" t="s">
        <v>3</v>
      </c>
      <c r="O43" s="5">
        <v>2</v>
      </c>
      <c r="P43" s="5"/>
    </row>
    <row r="44" spans="1:16" x14ac:dyDescent="0.2">
      <c r="A44" s="5">
        <v>50</v>
      </c>
      <c r="B44" s="5">
        <v>0</v>
      </c>
      <c r="C44" s="5">
        <v>0</v>
      </c>
      <c r="D44" s="5">
        <v>1</v>
      </c>
      <c r="E44" s="5">
        <v>210</v>
      </c>
      <c r="F44" s="5">
        <v>107816.72</v>
      </c>
      <c r="G44" s="5" t="s">
        <v>89</v>
      </c>
      <c r="H44" s="5" t="s">
        <v>90</v>
      </c>
      <c r="I44" s="5"/>
      <c r="J44" s="5"/>
      <c r="K44" s="5">
        <v>210</v>
      </c>
      <c r="L44" s="5">
        <v>25</v>
      </c>
      <c r="M44" s="5">
        <v>3</v>
      </c>
      <c r="N44" s="5" t="s">
        <v>3</v>
      </c>
      <c r="O44" s="5">
        <v>2</v>
      </c>
      <c r="P44" s="5"/>
    </row>
    <row r="45" spans="1:16" x14ac:dyDescent="0.2">
      <c r="A45" s="5">
        <v>50</v>
      </c>
      <c r="B45" s="5">
        <v>0</v>
      </c>
      <c r="C45" s="5">
        <v>0</v>
      </c>
      <c r="D45" s="5">
        <v>1</v>
      </c>
      <c r="E45" s="5">
        <v>211</v>
      </c>
      <c r="F45" s="5">
        <v>15402.39</v>
      </c>
      <c r="G45" s="5" t="s">
        <v>91</v>
      </c>
      <c r="H45" s="5" t="s">
        <v>92</v>
      </c>
      <c r="I45" s="5"/>
      <c r="J45" s="5"/>
      <c r="K45" s="5">
        <v>211</v>
      </c>
      <c r="L45" s="5">
        <v>26</v>
      </c>
      <c r="M45" s="5">
        <v>3</v>
      </c>
      <c r="N45" s="5" t="s">
        <v>3</v>
      </c>
      <c r="O45" s="5">
        <v>2</v>
      </c>
      <c r="P45" s="5"/>
    </row>
    <row r="46" spans="1:16" x14ac:dyDescent="0.2">
      <c r="A46" s="5">
        <v>50</v>
      </c>
      <c r="B46" s="5">
        <v>0</v>
      </c>
      <c r="C46" s="5">
        <v>0</v>
      </c>
      <c r="D46" s="5">
        <v>1</v>
      </c>
      <c r="E46" s="5">
        <v>224</v>
      </c>
      <c r="F46" s="5">
        <v>325033.71000000002</v>
      </c>
      <c r="G46" s="5" t="s">
        <v>93</v>
      </c>
      <c r="H46" s="5" t="s">
        <v>94</v>
      </c>
      <c r="I46" s="5"/>
      <c r="J46" s="5"/>
      <c r="K46" s="5">
        <v>224</v>
      </c>
      <c r="L46" s="5">
        <v>27</v>
      </c>
      <c r="M46" s="5">
        <v>3</v>
      </c>
      <c r="N46" s="5" t="s">
        <v>3</v>
      </c>
      <c r="O46" s="5">
        <v>2</v>
      </c>
      <c r="P46" s="5"/>
    </row>
    <row r="47" spans="1:16" x14ac:dyDescent="0.2">
      <c r="A47" s="5">
        <v>50</v>
      </c>
      <c r="B47" s="5">
        <v>1</v>
      </c>
      <c r="C47" s="5">
        <v>0</v>
      </c>
      <c r="D47" s="5">
        <v>2</v>
      </c>
      <c r="E47" s="5">
        <v>0</v>
      </c>
      <c r="F47" s="5">
        <v>71507.42</v>
      </c>
      <c r="G47" s="5" t="s">
        <v>95</v>
      </c>
      <c r="H47" s="5" t="s">
        <v>96</v>
      </c>
      <c r="I47" s="5"/>
      <c r="J47" s="5"/>
      <c r="K47" s="5">
        <v>212</v>
      </c>
      <c r="L47" s="5">
        <v>28</v>
      </c>
      <c r="M47" s="5">
        <v>0</v>
      </c>
      <c r="N47" s="5" t="s">
        <v>3</v>
      </c>
      <c r="O47" s="5">
        <v>2</v>
      </c>
      <c r="P47" s="5"/>
    </row>
    <row r="48" spans="1:16" x14ac:dyDescent="0.2">
      <c r="A48" s="5">
        <v>50</v>
      </c>
      <c r="B48" s="5">
        <v>1</v>
      </c>
      <c r="C48" s="5">
        <v>0</v>
      </c>
      <c r="D48" s="5">
        <v>2</v>
      </c>
      <c r="E48" s="5">
        <v>0</v>
      </c>
      <c r="F48" s="5">
        <v>390040.45</v>
      </c>
      <c r="G48" s="5" t="s">
        <v>97</v>
      </c>
      <c r="H48" s="5" t="s">
        <v>98</v>
      </c>
      <c r="I48" s="5"/>
      <c r="J48" s="5"/>
      <c r="K48" s="5">
        <v>212</v>
      </c>
      <c r="L48" s="5">
        <v>29</v>
      </c>
      <c r="M48" s="5">
        <v>0</v>
      </c>
      <c r="N48" s="5" t="s">
        <v>3</v>
      </c>
      <c r="O48" s="5">
        <v>2</v>
      </c>
      <c r="P48" s="5"/>
    </row>
    <row r="50" spans="1:15" x14ac:dyDescent="0.2">
      <c r="A50">
        <v>-1</v>
      </c>
    </row>
    <row r="53" spans="1:15" x14ac:dyDescent="0.2">
      <c r="A53" s="4">
        <v>75</v>
      </c>
      <c r="B53" s="4" t="s">
        <v>101</v>
      </c>
      <c r="C53" s="4">
        <v>2026</v>
      </c>
      <c r="D53" s="4">
        <v>0</v>
      </c>
      <c r="E53" s="4">
        <v>7</v>
      </c>
      <c r="F53" s="4">
        <v>0</v>
      </c>
      <c r="G53" s="4">
        <v>0</v>
      </c>
      <c r="H53" s="4">
        <v>1</v>
      </c>
      <c r="I53" s="4">
        <v>0</v>
      </c>
      <c r="J53" s="4">
        <v>1</v>
      </c>
      <c r="K53" s="4">
        <v>95</v>
      </c>
      <c r="L53" s="4">
        <v>30</v>
      </c>
      <c r="M53" s="4">
        <v>0</v>
      </c>
      <c r="N53" s="4">
        <v>61825561</v>
      </c>
      <c r="O53" s="4">
        <v>1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ROW(Source!A32)</f>
        <v>32</v>
      </c>
      <c r="B1">
        <v>61825561</v>
      </c>
      <c r="C1">
        <v>61825631</v>
      </c>
      <c r="D1">
        <v>61282196</v>
      </c>
      <c r="E1">
        <v>16536011</v>
      </c>
      <c r="F1">
        <v>1</v>
      </c>
      <c r="G1">
        <v>16536011</v>
      </c>
      <c r="H1">
        <v>1</v>
      </c>
      <c r="I1" t="s">
        <v>103</v>
      </c>
      <c r="J1" t="s">
        <v>3</v>
      </c>
      <c r="K1" t="s">
        <v>104</v>
      </c>
      <c r="L1">
        <v>1191</v>
      </c>
      <c r="N1">
        <v>1013</v>
      </c>
      <c r="O1" t="s">
        <v>105</v>
      </c>
      <c r="P1" t="s">
        <v>105</v>
      </c>
      <c r="Q1">
        <v>1</v>
      </c>
      <c r="W1">
        <v>0</v>
      </c>
      <c r="X1">
        <v>476480486</v>
      </c>
      <c r="Y1">
        <f>AT1</f>
        <v>27.3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1</v>
      </c>
      <c r="AP1">
        <v>0</v>
      </c>
      <c r="AQ1">
        <v>0</v>
      </c>
      <c r="AR1">
        <v>0</v>
      </c>
      <c r="AS1" t="s">
        <v>3</v>
      </c>
      <c r="AT1">
        <v>27.3</v>
      </c>
      <c r="AU1" t="s">
        <v>3</v>
      </c>
      <c r="AV1">
        <v>1</v>
      </c>
      <c r="AW1">
        <v>2</v>
      </c>
      <c r="AX1">
        <v>61825632</v>
      </c>
      <c r="AY1">
        <v>1</v>
      </c>
      <c r="AZ1">
        <v>0</v>
      </c>
      <c r="BA1">
        <v>1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U1">
        <f>ROUND(AT1*Source!I32*AH1*AL1,2)</f>
        <v>0</v>
      </c>
      <c r="CV1">
        <f>ROUND(Y1*Source!I32,9)</f>
        <v>2.1840000000000002</v>
      </c>
      <c r="CW1">
        <v>0</v>
      </c>
      <c r="CX1">
        <f>ROUND(Y1*Source!I32,9)</f>
        <v>2.1840000000000002</v>
      </c>
      <c r="CY1">
        <f>AD1</f>
        <v>0</v>
      </c>
      <c r="CZ1">
        <f>AH1</f>
        <v>0</v>
      </c>
      <c r="DA1">
        <f>AL1</f>
        <v>1</v>
      </c>
      <c r="DB1">
        <f>ROUND(ROUND(AT1*CZ1,2),6)</f>
        <v>0</v>
      </c>
      <c r="DC1">
        <f>ROUND(ROUND(AT1*AG1,2),6)</f>
        <v>0</v>
      </c>
      <c r="DD1" t="s">
        <v>3</v>
      </c>
      <c r="DE1" t="s">
        <v>3</v>
      </c>
      <c r="DF1">
        <f>ROUND(ROUND(AE1,2)*CX1,2)</f>
        <v>0</v>
      </c>
      <c r="DG1">
        <f>ROUND(ROUND(AF1,2)*CX1,2)</f>
        <v>0</v>
      </c>
      <c r="DH1">
        <f>ROUND(ROUND(AG1,2)*CX1,2)</f>
        <v>0</v>
      </c>
      <c r="DI1">
        <f>ROUND(ROUND(AH1,2)*CX1,2)</f>
        <v>0</v>
      </c>
      <c r="DJ1">
        <f>DI1</f>
        <v>0</v>
      </c>
      <c r="DK1">
        <v>0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ROW(Source!A32)</f>
        <v>32</v>
      </c>
      <c r="B2">
        <v>61825561</v>
      </c>
      <c r="C2">
        <v>61825631</v>
      </c>
      <c r="D2">
        <v>61285214</v>
      </c>
      <c r="E2">
        <v>1</v>
      </c>
      <c r="F2">
        <v>1</v>
      </c>
      <c r="G2">
        <v>16536011</v>
      </c>
      <c r="H2">
        <v>3</v>
      </c>
      <c r="I2" t="s">
        <v>106</v>
      </c>
      <c r="J2" t="s">
        <v>107</v>
      </c>
      <c r="K2" t="s">
        <v>108</v>
      </c>
      <c r="L2">
        <v>1348</v>
      </c>
      <c r="N2">
        <v>1009</v>
      </c>
      <c r="O2" t="s">
        <v>109</v>
      </c>
      <c r="P2" t="s">
        <v>109</v>
      </c>
      <c r="Q2">
        <v>1000</v>
      </c>
      <c r="W2">
        <v>0</v>
      </c>
      <c r="X2">
        <v>934143346</v>
      </c>
      <c r="Y2">
        <f>AT2</f>
        <v>1E-3</v>
      </c>
      <c r="AA2">
        <v>143542.96</v>
      </c>
      <c r="AB2">
        <v>0</v>
      </c>
      <c r="AC2">
        <v>0</v>
      </c>
      <c r="AD2">
        <v>0</v>
      </c>
      <c r="AE2">
        <v>143542.96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1</v>
      </c>
      <c r="AP2">
        <v>0</v>
      </c>
      <c r="AQ2">
        <v>0</v>
      </c>
      <c r="AR2">
        <v>0</v>
      </c>
      <c r="AS2" t="s">
        <v>3</v>
      </c>
      <c r="AT2">
        <v>1E-3</v>
      </c>
      <c r="AU2" t="s">
        <v>3</v>
      </c>
      <c r="AV2">
        <v>0</v>
      </c>
      <c r="AW2">
        <v>2</v>
      </c>
      <c r="AX2">
        <v>61825633</v>
      </c>
      <c r="AY2">
        <v>1</v>
      </c>
      <c r="AZ2">
        <v>0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ROUND(Y2*Source!I32,9)</f>
        <v>8.0000000000000007E-5</v>
      </c>
      <c r="CY2">
        <f>AA2</f>
        <v>143542.96</v>
      </c>
      <c r="CZ2">
        <f>AE2</f>
        <v>143542.96</v>
      </c>
      <c r="DA2">
        <f>AI2</f>
        <v>1</v>
      </c>
      <c r="DB2">
        <f>ROUND(ROUND(AT2*CZ2,2),6)</f>
        <v>143.54</v>
      </c>
      <c r="DC2">
        <f>ROUND(ROUND(AT2*AG2,2),6)</f>
        <v>0</v>
      </c>
      <c r="DD2" t="s">
        <v>3</v>
      </c>
      <c r="DE2" t="s">
        <v>3</v>
      </c>
      <c r="DF2">
        <f>ROUND(ROUND(AE2,2)*CX2,2)</f>
        <v>11.48</v>
      </c>
      <c r="DG2">
        <f>ROUND(ROUND(AF2,2)*CX2,2)</f>
        <v>0</v>
      </c>
      <c r="DH2">
        <f>ROUND(ROUND(AG2,2)*CX2,2)</f>
        <v>0</v>
      </c>
      <c r="DI2">
        <f>ROUND(ROUND(AH2,2)*CX2,2)</f>
        <v>0</v>
      </c>
      <c r="DJ2">
        <f>DF2</f>
        <v>11.48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ROW(Source!A32)</f>
        <v>32</v>
      </c>
      <c r="B3">
        <v>61825561</v>
      </c>
      <c r="C3">
        <v>61825631</v>
      </c>
      <c r="D3">
        <v>61288905</v>
      </c>
      <c r="E3">
        <v>1</v>
      </c>
      <c r="F3">
        <v>1</v>
      </c>
      <c r="G3">
        <v>16536011</v>
      </c>
      <c r="H3">
        <v>3</v>
      </c>
      <c r="I3" t="s">
        <v>110</v>
      </c>
      <c r="J3" t="s">
        <v>111</v>
      </c>
      <c r="K3" t="s">
        <v>112</v>
      </c>
      <c r="L3">
        <v>1354</v>
      </c>
      <c r="N3">
        <v>1010</v>
      </c>
      <c r="O3" t="s">
        <v>35</v>
      </c>
      <c r="P3" t="s">
        <v>35</v>
      </c>
      <c r="Q3">
        <v>1</v>
      </c>
      <c r="W3">
        <v>0</v>
      </c>
      <c r="X3">
        <v>1046480869</v>
      </c>
      <c r="Y3">
        <f>AT3</f>
        <v>100</v>
      </c>
      <c r="AA3">
        <v>50.49</v>
      </c>
      <c r="AB3">
        <v>0</v>
      </c>
      <c r="AC3">
        <v>0</v>
      </c>
      <c r="AD3">
        <v>0</v>
      </c>
      <c r="AE3">
        <v>50.49</v>
      </c>
      <c r="AF3">
        <v>0</v>
      </c>
      <c r="AG3">
        <v>0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1</v>
      </c>
      <c r="AP3">
        <v>0</v>
      </c>
      <c r="AQ3">
        <v>0</v>
      </c>
      <c r="AR3">
        <v>0</v>
      </c>
      <c r="AS3" t="s">
        <v>3</v>
      </c>
      <c r="AT3">
        <v>100</v>
      </c>
      <c r="AU3" t="s">
        <v>3</v>
      </c>
      <c r="AV3">
        <v>0</v>
      </c>
      <c r="AW3">
        <v>2</v>
      </c>
      <c r="AX3">
        <v>61825634</v>
      </c>
      <c r="AY3">
        <v>1</v>
      </c>
      <c r="AZ3">
        <v>0</v>
      </c>
      <c r="BA3">
        <v>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V3">
        <v>0</v>
      </c>
      <c r="CW3">
        <v>0</v>
      </c>
      <c r="CX3">
        <f>ROUND(Y3*Source!I32,9)</f>
        <v>8</v>
      </c>
      <c r="CY3">
        <f>AA3</f>
        <v>50.49</v>
      </c>
      <c r="CZ3">
        <f>AE3</f>
        <v>50.49</v>
      </c>
      <c r="DA3">
        <f>AI3</f>
        <v>1</v>
      </c>
      <c r="DB3">
        <f>ROUND(ROUND(AT3*CZ3,2),6)</f>
        <v>5049</v>
      </c>
      <c r="DC3">
        <f>ROUND(ROUND(AT3*AG3,2),6)</f>
        <v>0</v>
      </c>
      <c r="DD3" t="s">
        <v>3</v>
      </c>
      <c r="DE3" t="s">
        <v>3</v>
      </c>
      <c r="DF3">
        <f>ROUND(ROUND(AE3,2)*CX3,2)</f>
        <v>403.92</v>
      </c>
      <c r="DG3">
        <f>ROUND(ROUND(AF3,2)*CX3,2)</f>
        <v>0</v>
      </c>
      <c r="DH3">
        <f>ROUND(ROUND(AG3,2)*CX3,2)</f>
        <v>0</v>
      </c>
      <c r="DI3">
        <f>ROUND(ROUND(AH3,2)*CX3,2)</f>
        <v>0</v>
      </c>
      <c r="DJ3">
        <f>DF3</f>
        <v>403.92</v>
      </c>
      <c r="DK3">
        <v>0</v>
      </c>
      <c r="DL3" t="s">
        <v>3</v>
      </c>
      <c r="DM3">
        <v>0</v>
      </c>
      <c r="DN3" t="s">
        <v>3</v>
      </c>
      <c r="DO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ROW(Source!A32)</f>
        <v>32</v>
      </c>
      <c r="B1">
        <v>61825632</v>
      </c>
      <c r="C1">
        <v>61825631</v>
      </c>
      <c r="D1">
        <v>61282196</v>
      </c>
      <c r="E1">
        <v>16536011</v>
      </c>
      <c r="F1">
        <v>1</v>
      </c>
      <c r="G1">
        <v>16536011</v>
      </c>
      <c r="H1">
        <v>1</v>
      </c>
      <c r="I1" t="s">
        <v>103</v>
      </c>
      <c r="J1" t="s">
        <v>3</v>
      </c>
      <c r="K1" t="s">
        <v>104</v>
      </c>
      <c r="L1">
        <v>1191</v>
      </c>
      <c r="N1">
        <v>1013</v>
      </c>
      <c r="O1" t="s">
        <v>105</v>
      </c>
      <c r="P1" t="s">
        <v>105</v>
      </c>
      <c r="Q1">
        <v>1</v>
      </c>
      <c r="X1">
        <v>27.3</v>
      </c>
      <c r="Y1">
        <v>0</v>
      </c>
      <c r="Z1">
        <v>0</v>
      </c>
      <c r="AA1">
        <v>0</v>
      </c>
      <c r="AB1">
        <v>0</v>
      </c>
      <c r="AC1">
        <v>0</v>
      </c>
      <c r="AD1">
        <v>1</v>
      </c>
      <c r="AE1">
        <v>1</v>
      </c>
      <c r="AF1" t="s">
        <v>3</v>
      </c>
      <c r="AG1">
        <v>27.3</v>
      </c>
      <c r="AH1">
        <v>2</v>
      </c>
      <c r="AI1">
        <v>61825632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ROW(Source!A32)</f>
        <v>32</v>
      </c>
      <c r="B2">
        <v>61825633</v>
      </c>
      <c r="C2">
        <v>61825631</v>
      </c>
      <c r="D2">
        <v>61285214</v>
      </c>
      <c r="E2">
        <v>1</v>
      </c>
      <c r="F2">
        <v>1</v>
      </c>
      <c r="G2">
        <v>16536011</v>
      </c>
      <c r="H2">
        <v>3</v>
      </c>
      <c r="I2" t="s">
        <v>106</v>
      </c>
      <c r="J2" t="s">
        <v>107</v>
      </c>
      <c r="K2" t="s">
        <v>108</v>
      </c>
      <c r="L2">
        <v>1348</v>
      </c>
      <c r="N2">
        <v>1009</v>
      </c>
      <c r="O2" t="s">
        <v>109</v>
      </c>
      <c r="P2" t="s">
        <v>109</v>
      </c>
      <c r="Q2">
        <v>1000</v>
      </c>
      <c r="X2">
        <v>1E-3</v>
      </c>
      <c r="Y2">
        <v>143542.96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 t="s">
        <v>3</v>
      </c>
      <c r="AG2">
        <v>1E-3</v>
      </c>
      <c r="AH2">
        <v>2</v>
      </c>
      <c r="AI2">
        <v>61825633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ROW(Source!A32)</f>
        <v>32</v>
      </c>
      <c r="B3">
        <v>61825634</v>
      </c>
      <c r="C3">
        <v>61825631</v>
      </c>
      <c r="D3">
        <v>61288905</v>
      </c>
      <c r="E3">
        <v>1</v>
      </c>
      <c r="F3">
        <v>1</v>
      </c>
      <c r="G3">
        <v>16536011</v>
      </c>
      <c r="H3">
        <v>3</v>
      </c>
      <c r="I3" t="s">
        <v>110</v>
      </c>
      <c r="J3" t="s">
        <v>111</v>
      </c>
      <c r="K3" t="s">
        <v>112</v>
      </c>
      <c r="L3">
        <v>1354</v>
      </c>
      <c r="N3">
        <v>1010</v>
      </c>
      <c r="O3" t="s">
        <v>35</v>
      </c>
      <c r="P3" t="s">
        <v>35</v>
      </c>
      <c r="Q3">
        <v>1</v>
      </c>
      <c r="X3">
        <v>100</v>
      </c>
      <c r="Y3">
        <v>50.49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100</v>
      </c>
      <c r="AH3">
        <v>2</v>
      </c>
      <c r="AI3">
        <v>61825634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6</vt:i4>
      </vt:variant>
    </vt:vector>
  </HeadingPairs>
  <TitlesOfParts>
    <vt:vector size="17" baseType="lpstr">
      <vt:lpstr>Смета СН-2012 по гл. 1-5,7</vt:lpstr>
      <vt:lpstr>Акт СН-2012 по гл. 1-5</vt:lpstr>
      <vt:lpstr>RV_DATA</vt:lpstr>
      <vt:lpstr>Расчет стоимости ресурсов</vt:lpstr>
      <vt:lpstr>Макет форма-3</vt:lpstr>
      <vt:lpstr>Source</vt:lpstr>
      <vt:lpstr>SourceObSm</vt:lpstr>
      <vt:lpstr>SmtRes</vt:lpstr>
      <vt:lpstr>EtalonRes</vt:lpstr>
      <vt:lpstr>SrcPoprs</vt:lpstr>
      <vt:lpstr>SrcKA</vt:lpstr>
      <vt:lpstr>'Акт СН-2012 по гл. 1-5'!Заголовки_для_печати</vt:lpstr>
      <vt:lpstr>'Расчет стоимости ресурсов'!Заголовки_для_печати</vt:lpstr>
      <vt:lpstr>'Смета СН-2012 по гл. 1-5,7'!Заголовки_для_печати</vt:lpstr>
      <vt:lpstr>'Акт СН-2012 по гл. 1-5'!Область_печати</vt:lpstr>
      <vt:lpstr>'Расчет стоимости ресурсов'!Область_печати</vt:lpstr>
      <vt:lpstr>'Смета СН-2012 по гл. 1-5,7'!Область_печати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Малютина</dc:creator>
  <cp:lastModifiedBy>Людмила Малютина</cp:lastModifiedBy>
  <dcterms:created xsi:type="dcterms:W3CDTF">2026-08-27T12:46:04Z</dcterms:created>
  <dcterms:modified xsi:type="dcterms:W3CDTF">2026-09-01T12:14:27Z</dcterms:modified>
</cp:coreProperties>
</file>