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_vantsov\Desktop\Аукционы\Берёзка\2521 батарейки Волкова\"/>
    </mc:Choice>
  </mc:AlternateContent>
  <bookViews>
    <workbookView xWindow="0" yWindow="0" windowWidth="23040" windowHeight="9528" tabRatio="626"/>
  </bookViews>
  <sheets>
    <sheet name="min по КП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'min по КП'!$A$1:$O$16</definedName>
    <definedName name="тыс">{0,"тысячz";1,"тысячаz";2,"тысячиz";5,"тысячz"}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 s="1"/>
  <c r="L10" i="1"/>
  <c r="M10" i="1" l="1"/>
  <c r="L9" i="1"/>
  <c r="K9" i="1"/>
  <c r="J9" i="1" s="1"/>
  <c r="S1" i="1"/>
  <c r="R1" i="1"/>
  <c r="Q1" i="1"/>
  <c r="T2" i="1" l="1"/>
  <c r="O10" i="1"/>
  <c r="N10" i="1" s="1"/>
  <c r="O9" i="1"/>
  <c r="M9" i="1"/>
  <c r="N9" i="1" l="1"/>
  <c r="J12" i="1"/>
  <c r="N13" i="1" l="1"/>
  <c r="U2" i="1" s="1"/>
  <c r="A14" i="1" s="1"/>
  <c r="L13" i="1"/>
  <c r="T3" i="1" s="1"/>
  <c r="U3" i="1" s="1"/>
</calcChain>
</file>

<file path=xl/comments1.xml><?xml version="1.0" encoding="utf-8"?>
<comments xmlns="http://schemas.openxmlformats.org/spreadsheetml/2006/main">
  <authors>
    <author>Федоров В.С.</author>
  </authors>
  <commentLis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В.С.:</t>
        </r>
        <r>
          <rPr>
            <sz val="9"/>
            <color indexed="81"/>
            <rFont val="Tahoma"/>
            <family val="2"/>
            <charset val="204"/>
          </rPr>
          <t xml:space="preserve">
 (по минимальной цене по строке во всех КП)</t>
        </r>
      </text>
    </comment>
  </commentList>
</comments>
</file>

<file path=xl/sharedStrings.xml><?xml version="1.0" encoding="utf-8"?>
<sst xmlns="http://schemas.openxmlformats.org/spreadsheetml/2006/main" count="38" uniqueCount="31">
  <si>
    <t xml:space="preserve">Приложение № 1
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
</t>
  </si>
  <si>
    <t>этот блок на печать не выводится.</t>
  </si>
  <si>
    <t xml:space="preserve">Обоснование начальной (максимальной) цены контракта </t>
  </si>
  <si>
    <t>Основные характеристики объекта закупки</t>
  </si>
  <si>
    <t>Согласно техническому заданию</t>
  </si>
  <si>
    <t xml:space="preserve">Используемый метод определения НМЦК 
с обоснованием:    Метод сопоставимых рыночных цен (анализа рынка). </t>
  </si>
  <si>
    <t>Расчет НМЦК</t>
  </si>
  <si>
    <t>№</t>
  </si>
  <si>
    <t>Наименование товара, услуги (работы), ОКПД 2</t>
  </si>
  <si>
    <t>ед. изм</t>
  </si>
  <si>
    <t>Кол -во</t>
  </si>
  <si>
    <t>КП 1</t>
  </si>
  <si>
    <t>КП 2</t>
  </si>
  <si>
    <t>КП 3</t>
  </si>
  <si>
    <t>Коэф. вариации</t>
  </si>
  <si>
    <t>сумма</t>
  </si>
  <si>
    <t>цена</t>
  </si>
  <si>
    <t>Цена с НДС в руб.</t>
  </si>
  <si>
    <t>ИТОГО</t>
  </si>
  <si>
    <r>
      <t xml:space="preserve">Начальная максимальная цена контракта </t>
    </r>
    <r>
      <rPr>
        <b/>
        <sz val="10"/>
        <color rgb="FFFF0000"/>
        <rFont val="Times New Roman"/>
        <family val="1"/>
        <charset val="204"/>
      </rPr>
      <t/>
    </r>
  </si>
  <si>
    <t>руб</t>
  </si>
  <si>
    <t>СКО = √(Дисперсия)</t>
  </si>
  <si>
    <t>min по строке КП</t>
  </si>
  <si>
    <t>1 -с планом</t>
  </si>
  <si>
    <t>0 - без плана</t>
  </si>
  <si>
    <t>если необходимо добавить строки в таблицу, добавьте их между 
1-й и последней строкой  в табличной части, 
и протяните формулы в столбцах J-O
не удаляйте 1-ю и последнюю строку в табличной части</t>
  </si>
  <si>
    <t>принимаемая с учетом финансирования</t>
  </si>
  <si>
    <t>средняя</t>
  </si>
  <si>
    <t>шт</t>
  </si>
  <si>
    <t>Батарейки Duracell AAA</t>
  </si>
  <si>
    <t>Батарейки Duracell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</si>
</sst>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 Light"/>
      <family val="1"/>
      <charset val="204"/>
      <scheme val="major"/>
    </font>
    <font>
      <b/>
      <sz val="10"/>
      <color rgb="FFFF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165" fontId="4" fillId="0" borderId="0" xfId="0" applyNumberFormat="1" applyFont="1" applyBorder="1" applyAlignment="1" applyProtection="1">
      <alignment vertical="top" textRotation="180"/>
    </xf>
    <xf numFmtId="0" fontId="1" fillId="0" borderId="0" xfId="0" applyFont="1" applyProtection="1">
      <protection locked="0"/>
    </xf>
    <xf numFmtId="2" fontId="8" fillId="0" borderId="8" xfId="0" applyNumberFormat="1" applyFont="1" applyBorder="1" applyAlignment="1" applyProtection="1">
      <alignment horizontal="center" vertical="center" wrapText="1"/>
      <protection locked="0"/>
    </xf>
    <xf numFmtId="2" fontId="8" fillId="0" borderId="9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9" xfId="0" applyNumberFormat="1" applyFont="1" applyBorder="1" applyAlignment="1" applyProtection="1">
      <alignment vertical="top" textRotation="18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2" fillId="0" borderId="15" xfId="0" applyNumberFormat="1" applyFont="1" applyBorder="1" applyAlignment="1" applyProtection="1">
      <alignment horizontal="center" vertical="center" wrapText="1"/>
      <protection locked="0"/>
    </xf>
    <xf numFmtId="4" fontId="12" fillId="0" borderId="16" xfId="0" applyNumberFormat="1" applyFont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vertical="top" textRotation="180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8" xfId="0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Protection="1"/>
    <xf numFmtId="0" fontId="6" fillId="0" borderId="8" xfId="0" applyFont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wrapText="1"/>
    </xf>
    <xf numFmtId="1" fontId="5" fillId="2" borderId="8" xfId="0" applyNumberFormat="1" applyFont="1" applyFill="1" applyBorder="1" applyAlignment="1" applyProtection="1">
      <alignment horizontal="center" wrapText="1"/>
    </xf>
    <xf numFmtId="4" fontId="7" fillId="0" borderId="8" xfId="0" applyNumberFormat="1" applyFont="1" applyBorder="1" applyAlignment="1" applyProtection="1">
      <alignment horizontal="center" vertical="center" wrapText="1"/>
    </xf>
    <xf numFmtId="4" fontId="7" fillId="0" borderId="9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0" fontId="0" fillId="0" borderId="16" xfId="0" applyBorder="1" applyProtection="1"/>
    <xf numFmtId="4" fontId="7" fillId="0" borderId="24" xfId="0" applyNumberFormat="1" applyFont="1" applyBorder="1" applyAlignment="1" applyProtection="1">
      <alignment horizontal="center" vertical="center" wrapText="1"/>
    </xf>
    <xf numFmtId="4" fontId="7" fillId="0" borderId="24" xfId="0" applyNumberFormat="1" applyFont="1" applyBorder="1" applyAlignment="1" applyProtection="1">
      <alignment horizontal="left" vertical="center" wrapText="1"/>
    </xf>
    <xf numFmtId="4" fontId="7" fillId="0" borderId="25" xfId="0" applyNumberFormat="1" applyFont="1" applyBorder="1" applyAlignment="1" applyProtection="1">
      <alignment horizontal="center" vertical="center" wrapText="1"/>
    </xf>
    <xf numFmtId="4" fontId="7" fillId="0" borderId="26" xfId="0" applyNumberFormat="1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/>
    <xf numFmtId="0" fontId="2" fillId="0" borderId="0" xfId="0" applyFont="1" applyBorder="1" applyProtection="1"/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 applyProtection="1">
      <alignment horizontal="center" vertical="center" wrapText="1"/>
      <protection locked="0"/>
    </xf>
    <xf numFmtId="1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6" fillId="0" borderId="0" xfId="2" applyFont="1" applyProtection="1">
      <protection locked="0"/>
    </xf>
    <xf numFmtId="164" fontId="2" fillId="0" borderId="3" xfId="0" applyNumberFormat="1" applyFont="1" applyBorder="1" applyAlignment="1" applyProtection="1">
      <alignment horizontal="center"/>
    </xf>
    <xf numFmtId="2" fontId="9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>
      <protection locked="0"/>
    </xf>
    <xf numFmtId="0" fontId="16" fillId="0" borderId="5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9" xfId="0" applyFont="1" applyBorder="1" applyProtection="1">
      <protection locked="0"/>
    </xf>
    <xf numFmtId="0" fontId="0" fillId="0" borderId="20" xfId="0" applyBorder="1" applyProtection="1">
      <protection locked="0"/>
    </xf>
    <xf numFmtId="4" fontId="2" fillId="0" borderId="3" xfId="0" applyNumberFormat="1" applyFont="1" applyBorder="1" applyProtection="1"/>
    <xf numFmtId="0" fontId="20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1" fillId="0" borderId="8" xfId="1" applyNumberFormat="1" applyFont="1" applyBorder="1" applyAlignment="1" applyProtection="1">
      <alignment horizontal="center" vertical="center"/>
      <protection locked="0"/>
    </xf>
    <xf numFmtId="4" fontId="21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textRotation="90" wrapText="1"/>
      <protection locked="0"/>
    </xf>
    <xf numFmtId="0" fontId="7" fillId="0" borderId="14" xfId="0" applyFont="1" applyBorder="1" applyAlignment="1" applyProtection="1">
      <alignment horizontal="center" vertical="center" textRotation="90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right" vertical="top" wrapText="1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</xf>
    <xf numFmtId="2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1" xfId="0" applyNumberFormat="1" applyFont="1" applyBorder="1" applyAlignment="1" applyProtection="1">
      <alignment horizontal="center" vertical="center" wrapText="1"/>
    </xf>
    <xf numFmtId="4" fontId="7" fillId="0" borderId="22" xfId="0" applyNumberFormat="1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zoomScale="55" zoomScaleNormal="55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P32" sqref="P32"/>
    </sheetView>
  </sheetViews>
  <sheetFormatPr defaultColWidth="8.88671875" defaultRowHeight="14.4" outlineLevelCol="1" x14ac:dyDescent="0.3"/>
  <cols>
    <col min="1" max="1" width="7.33203125" style="1" customWidth="1"/>
    <col min="2" max="2" width="3" style="1" bestFit="1" customWidth="1"/>
    <col min="3" max="3" width="3" style="1" hidden="1" customWidth="1"/>
    <col min="4" max="4" width="45.6640625" style="1" customWidth="1"/>
    <col min="5" max="5" width="7" style="1" bestFit="1" customWidth="1"/>
    <col min="6" max="6" width="7.44140625" style="1" bestFit="1" customWidth="1"/>
    <col min="7" max="9" width="11.6640625" style="1" bestFit="1" customWidth="1"/>
    <col min="10" max="10" width="17" style="1" customWidth="1"/>
    <col min="11" max="11" width="13.44140625" style="1" customWidth="1"/>
    <col min="12" max="13" width="12.44140625" style="1" customWidth="1"/>
    <col min="14" max="14" width="12.44140625" style="1" customWidth="1" outlineLevel="1"/>
    <col min="15" max="15" width="11.109375" style="1" bestFit="1" customWidth="1" outlineLevel="1"/>
    <col min="16" max="16" width="17.88671875" style="1" customWidth="1"/>
    <col min="17" max="19" width="20.6640625" style="1" customWidth="1"/>
    <col min="20" max="20" width="8.44140625" style="1" customWidth="1"/>
    <col min="21" max="21" width="3.6640625" style="1" customWidth="1"/>
    <col min="22" max="22" width="8.88671875" style="1" customWidth="1"/>
    <col min="23" max="23" width="8.88671875" style="1" hidden="1" customWidth="1"/>
    <col min="24" max="24" width="8.88671875" style="1" customWidth="1"/>
    <col min="25" max="26" width="12.6640625" style="1" bestFit="1" customWidth="1"/>
    <col min="27" max="16384" width="8.88671875" style="1"/>
  </cols>
  <sheetData>
    <row r="1" spans="1:24" ht="15" thickTop="1" x14ac:dyDescent="0.3">
      <c r="A1" s="71"/>
      <c r="B1" s="71"/>
      <c r="C1" s="71"/>
      <c r="D1" s="71"/>
      <c r="E1" s="71"/>
      <c r="F1" s="72" t="s">
        <v>0</v>
      </c>
      <c r="G1" s="72"/>
      <c r="H1" s="72"/>
      <c r="I1" s="72"/>
      <c r="J1" s="72"/>
      <c r="K1" s="72"/>
      <c r="L1" s="72"/>
      <c r="M1" s="72"/>
      <c r="N1" s="72"/>
      <c r="O1" s="72"/>
      <c r="P1" s="73" t="s">
        <v>23</v>
      </c>
      <c r="Q1" s="45">
        <f>SUMPRODUCT(F:F,G:G)</f>
        <v>291024</v>
      </c>
      <c r="R1" s="45">
        <f>SUMPRODUCT(F:F,H:H)</f>
        <v>208215</v>
      </c>
      <c r="S1" s="45">
        <f>SUMPRODUCT(F:F,I:I)</f>
        <v>267264</v>
      </c>
      <c r="T1" s="57"/>
      <c r="U1" s="38"/>
      <c r="V1" s="47"/>
      <c r="W1" s="47" t="s">
        <v>23</v>
      </c>
      <c r="X1" s="48"/>
    </row>
    <row r="2" spans="1:24" ht="21.6" customHeight="1" x14ac:dyDescent="0.3">
      <c r="A2" s="71"/>
      <c r="B2" s="71"/>
      <c r="C2" s="71"/>
      <c r="D2" s="71"/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4"/>
      <c r="Q2" s="75" t="s">
        <v>1</v>
      </c>
      <c r="R2" s="75"/>
      <c r="S2" s="75"/>
      <c r="T2" s="2">
        <f>MIN($Q$1:$S$1)</f>
        <v>208215</v>
      </c>
      <c r="U2" s="2" t="str">
        <f>SUBSTITUTE(TEXT(TRUNC(T2,0),"# ##0_ ") &amp; "(" &amp; SUBSTITUTE(LOWER(INDEX(n_4,MID(TEXT(T2,n0),1,1)+1)&amp;INDEX(n0x,MID(TEXT(T2,n0),2,1)+1,MID(TEXT(T2,n0),3,1)+1)&amp;IF(-MID(TEXT(T2,n0),1,3),"миллиард"&amp;VLOOKUP(MID(TEXT(T2,n0),3,1)*AND(MID(TEXT(T2,n0),2,1)-1),мил,2),"")&amp;INDEX(n_4,MID(TEXT(T2,n0),4,1)+1)&amp;INDEX(n0x,MID(TEXT(T2,n0),5,1)+1,MID(TEXT(T2,n0),6,1)+1)&amp;IF(-MID(TEXT(T2,n0),4,3),"миллион"&amp;VLOOKUP(MID(TEXT(T2,n0),6,1)*AND(MID(TEXT(T2,n0),5,1)-1),мил,2),"")&amp;INDEX(n_4,MID(TEXT(T2,n0),7,1)+1)&amp;INDEX(n1x,MID(TEXT(T2,n0),8,1)+1,MID(TEXT(T2,n0),9,1)+1)&amp;IF(-MID(TEXT(T2,n0),7,3),VLOOKUP(MID(TEXT(T2,n0),9,1)*AND(MID(TEXT(T2,n0),8,1)-1),тыс,2),"")&amp;INDEX(n_4,MID(TEXT(T2,n0),10,1)+1)&amp;INDEX(n0x,MID(TEXT(T2,n0),11,1)+1,MID(TEXT(T2,n0),12,1)+1)),"z"," ")&amp;IF(TRUNC(TEXT(T2,n0)),"","Ноль ")&amp;") рубл"&amp;VLOOKUP(MOD(MAX(MOD(MID(TEXT(T2,n0),11,2)-11,100),9),10),{0,"ь ";1,"я ";4,"ей "},2)&amp;RIGHT(TEXT(T2,n0),2)&amp;" копе"&amp;VLOOKUP(MOD(MAX(MOD(RIGHT(TEXT(T2,n0),2)-11,100),9),10),{0,"йка";1,"йки";4,"ек"},2)," )",")")</f>
        <v>208 215 (двести восемь тысяч двести пятнадцать) рублей 00 копеек</v>
      </c>
      <c r="V2" s="49"/>
      <c r="W2" s="49" t="s">
        <v>24</v>
      </c>
      <c r="X2" s="50"/>
    </row>
    <row r="3" spans="1:24" ht="13.2" customHeight="1" x14ac:dyDescent="0.3">
      <c r="A3" s="71"/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4"/>
      <c r="Q3" s="75"/>
      <c r="R3" s="75"/>
      <c r="S3" s="75"/>
      <c r="T3" s="2">
        <f>L13</f>
        <v>255503.15999999997</v>
      </c>
      <c r="U3" s="2" t="str">
        <f>SUBSTITUTE(TEXT(TRUNC(T3,0),"# ##0_ ") &amp; "(" &amp; SUBSTITUTE(LOWER(INDEX(n_4,MID(TEXT(T3,n0),1,1)+1)&amp;INDEX(n0x,MID(TEXT(T3,n0),2,1)+1,MID(TEXT(T3,n0),3,1)+1)&amp;IF(-MID(TEXT(T3,n0),1,3),"миллиард"&amp;VLOOKUP(MID(TEXT(T3,n0),3,1)*AND(MID(TEXT(T3,n0),2,1)-1),мил,2),"")&amp;INDEX(n_4,MID(TEXT(T3,n0),4,1)+1)&amp;INDEX(n0x,MID(TEXT(T3,n0),5,1)+1,MID(TEXT(T3,n0),6,1)+1)&amp;IF(-MID(TEXT(T3,n0),4,3),"миллион"&amp;VLOOKUP(MID(TEXT(T3,n0),6,1)*AND(MID(TEXT(T3,n0),5,1)-1),мил,2),"")&amp;INDEX(n_4,MID(TEXT(T3,n0),7,1)+1)&amp;INDEX(n1x,MID(TEXT(T3,n0),8,1)+1,MID(TEXT(T3,n0),9,1)+1)&amp;IF(-MID(TEXT(T3,n0),7,3),VLOOKUP(MID(TEXT(T3,n0),9,1)*AND(MID(TEXT(T3,n0),8,1)-1),тыс,2),"")&amp;INDEX(n_4,MID(TEXT(T3,n0),10,1)+1)&amp;INDEX(n0x,MID(TEXT(T3,n0),11,1)+1,MID(TEXT(T3,n0),12,1)+1)),"z"," ")&amp;IF(TRUNC(TEXT(T3,n0)),"","Ноль ")&amp;") рубл"&amp;VLOOKUP(MOD(MAX(MOD(MID(TEXT(T3,n0),11,2)-11,100),9),10),{0,"ь ";1,"я ";4,"ей "},2)&amp;RIGHT(TEXT(T3,n0),2)&amp;" копе"&amp;VLOOKUP(MOD(MAX(MOD(RIGHT(TEXT(T3,n0),2)-11,100),9),10),{0,"йка";1,"йки";4,"ек"},2)," )",")")</f>
        <v>255 503 (двести пятьдесят пять тысяч пятьсот три) рубля 16 копеек</v>
      </c>
      <c r="V3" s="49"/>
      <c r="W3" s="49"/>
      <c r="X3" s="50"/>
    </row>
    <row r="4" spans="1:24" x14ac:dyDescent="0.3">
      <c r="A4" s="76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51"/>
      <c r="Q4" s="39"/>
      <c r="R4" s="39"/>
      <c r="S4" s="39"/>
      <c r="T4" s="2"/>
      <c r="U4" s="2"/>
      <c r="V4" s="52"/>
      <c r="W4" s="49"/>
      <c r="X4" s="50"/>
    </row>
    <row r="5" spans="1:24" x14ac:dyDescent="0.3">
      <c r="A5" s="62" t="s">
        <v>3</v>
      </c>
      <c r="B5" s="62"/>
      <c r="C5" s="62"/>
      <c r="D5" s="62"/>
      <c r="E5" s="62" t="s">
        <v>4</v>
      </c>
      <c r="F5" s="62"/>
      <c r="G5" s="62"/>
      <c r="H5" s="62"/>
      <c r="I5" s="62"/>
      <c r="J5" s="62"/>
      <c r="K5" s="62"/>
      <c r="L5" s="62"/>
      <c r="M5" s="62"/>
      <c r="N5" s="62"/>
      <c r="O5" s="63"/>
      <c r="P5" s="51"/>
      <c r="Q5" s="64" t="s">
        <v>25</v>
      </c>
      <c r="R5" s="64"/>
      <c r="S5" s="64"/>
      <c r="T5" s="2"/>
      <c r="U5" s="2"/>
      <c r="V5" s="49"/>
      <c r="W5" s="49"/>
      <c r="X5" s="50"/>
    </row>
    <row r="6" spans="1:24" ht="45" customHeight="1" thickBot="1" x14ac:dyDescent="0.35">
      <c r="A6" s="66" t="s">
        <v>5</v>
      </c>
      <c r="B6" s="67"/>
      <c r="C6" s="67"/>
      <c r="D6" s="67"/>
      <c r="E6" s="67"/>
      <c r="F6" s="67"/>
      <c r="G6" s="67"/>
      <c r="H6" s="67"/>
      <c r="I6" s="67"/>
      <c r="J6" s="68"/>
      <c r="K6" s="68"/>
      <c r="L6" s="67"/>
      <c r="M6" s="67"/>
      <c r="N6" s="68"/>
      <c r="O6" s="68"/>
      <c r="P6" s="51"/>
      <c r="Q6" s="64"/>
      <c r="R6" s="64"/>
      <c r="S6" s="64"/>
      <c r="T6" s="2"/>
      <c r="U6" s="2"/>
      <c r="V6" s="49"/>
      <c r="W6" s="49"/>
      <c r="X6" s="50"/>
    </row>
    <row r="7" spans="1:24" ht="34.5" customHeight="1" x14ac:dyDescent="0.3">
      <c r="A7" s="69" t="s">
        <v>6</v>
      </c>
      <c r="B7" s="88" t="s">
        <v>7</v>
      </c>
      <c r="C7" s="35"/>
      <c r="D7" s="88" t="s">
        <v>8</v>
      </c>
      <c r="E7" s="88" t="s">
        <v>9</v>
      </c>
      <c r="F7" s="89" t="s">
        <v>10</v>
      </c>
      <c r="G7" s="4" t="s">
        <v>11</v>
      </c>
      <c r="H7" s="4" t="s">
        <v>12</v>
      </c>
      <c r="I7" s="5" t="s">
        <v>13</v>
      </c>
      <c r="J7" s="6" t="s">
        <v>15</v>
      </c>
      <c r="K7" s="46" t="s">
        <v>16</v>
      </c>
      <c r="L7" s="79" t="s">
        <v>21</v>
      </c>
      <c r="M7" s="80" t="s">
        <v>14</v>
      </c>
      <c r="N7" s="6" t="s">
        <v>15</v>
      </c>
      <c r="O7" s="46" t="s">
        <v>16</v>
      </c>
      <c r="P7" s="51"/>
      <c r="Q7" s="64"/>
      <c r="R7" s="64"/>
      <c r="S7" s="64"/>
      <c r="T7" s="2"/>
      <c r="U7" s="2"/>
      <c r="V7" s="49"/>
      <c r="W7" s="49"/>
      <c r="X7" s="50"/>
    </row>
    <row r="8" spans="1:24" ht="58.95" customHeight="1" thickBot="1" x14ac:dyDescent="0.35">
      <c r="A8" s="70"/>
      <c r="B8" s="88"/>
      <c r="C8" s="35"/>
      <c r="D8" s="88"/>
      <c r="E8" s="88"/>
      <c r="F8" s="89"/>
      <c r="G8" s="4" t="s">
        <v>17</v>
      </c>
      <c r="H8" s="4" t="s">
        <v>17</v>
      </c>
      <c r="I8" s="5" t="s">
        <v>17</v>
      </c>
      <c r="J8" s="81" t="s">
        <v>27</v>
      </c>
      <c r="K8" s="82"/>
      <c r="L8" s="79"/>
      <c r="M8" s="80"/>
      <c r="N8" s="81" t="s">
        <v>26</v>
      </c>
      <c r="O8" s="82"/>
      <c r="P8" s="53"/>
      <c r="Q8" s="65"/>
      <c r="R8" s="65"/>
      <c r="S8" s="65"/>
      <c r="T8" s="7"/>
      <c r="U8" s="7"/>
      <c r="V8" s="54" t="s">
        <v>22</v>
      </c>
      <c r="W8" s="55"/>
      <c r="X8" s="56"/>
    </row>
    <row r="9" spans="1:24" ht="31.95" customHeight="1" thickTop="1" x14ac:dyDescent="0.3">
      <c r="A9" s="70"/>
      <c r="B9" s="8">
        <v>1</v>
      </c>
      <c r="C9" s="8"/>
      <c r="D9" s="58" t="s">
        <v>29</v>
      </c>
      <c r="E9" s="59" t="s">
        <v>28</v>
      </c>
      <c r="F9" s="60">
        <v>708</v>
      </c>
      <c r="G9" s="61">
        <v>141</v>
      </c>
      <c r="H9" s="61">
        <v>104</v>
      </c>
      <c r="I9" s="61">
        <v>140</v>
      </c>
      <c r="J9" s="40">
        <f>ROUND(K9*F9,2)</f>
        <v>90857.64</v>
      </c>
      <c r="K9" s="41">
        <f t="shared" ref="K9" si="0">ROUND((G9+H9+I9)/3,2)</f>
        <v>128.33000000000001</v>
      </c>
      <c r="L9" s="42">
        <f t="shared" ref="L9" si="1">STDEV(G9:I9)</f>
        <v>21.079215671683141</v>
      </c>
      <c r="M9" s="43">
        <f>L9/K9</f>
        <v>0.16425789504935043</v>
      </c>
      <c r="N9" s="40">
        <f t="shared" ref="N9:N10" si="2">ROUND(O9*F9,2)</f>
        <v>73632</v>
      </c>
      <c r="O9" s="41">
        <f>INDEX($G9:$I9,1,MATCH(MIN($Q$1:$S$1),$Q$1:$S$1,0))</f>
        <v>104</v>
      </c>
      <c r="P9" s="44"/>
      <c r="Q9" s="44"/>
      <c r="R9" s="44"/>
      <c r="S9" s="44"/>
      <c r="T9" s="44"/>
      <c r="U9" s="44"/>
      <c r="V9" s="44"/>
      <c r="W9" s="44"/>
      <c r="X9" s="44"/>
    </row>
    <row r="10" spans="1:24" ht="31.95" customHeight="1" x14ac:dyDescent="0.3">
      <c r="A10" s="70"/>
      <c r="B10" s="8">
        <v>2</v>
      </c>
      <c r="C10" s="8"/>
      <c r="D10" s="58" t="s">
        <v>30</v>
      </c>
      <c r="E10" s="59" t="s">
        <v>28</v>
      </c>
      <c r="F10" s="60">
        <v>1356</v>
      </c>
      <c r="G10" s="61">
        <v>141</v>
      </c>
      <c r="H10" s="61">
        <v>99.25</v>
      </c>
      <c r="I10" s="61">
        <v>124</v>
      </c>
      <c r="J10" s="40">
        <f t="shared" ref="J10" si="3">ROUND(K10*F10,2)</f>
        <v>164645.51999999999</v>
      </c>
      <c r="K10" s="41">
        <f t="shared" ref="K10" si="4">ROUND((G10+H10+I10)/3,2)</f>
        <v>121.42</v>
      </c>
      <c r="L10" s="42">
        <f t="shared" ref="L10" si="5">STDEV(G10:I10)</f>
        <v>20.994542941758272</v>
      </c>
      <c r="M10" s="43">
        <f t="shared" ref="M10" si="6">L10/K10</f>
        <v>0.17290844129268879</v>
      </c>
      <c r="N10" s="40">
        <f t="shared" si="2"/>
        <v>134583</v>
      </c>
      <c r="O10" s="41">
        <f t="shared" ref="O10" si="7">INDEX($G10:$I10,1,MATCH(MIN($Q$1:$S$1),$Q$1:$S$1,0))</f>
        <v>99.25</v>
      </c>
      <c r="P10" s="44"/>
      <c r="Q10" s="44"/>
      <c r="R10" s="44"/>
      <c r="S10" s="44"/>
      <c r="T10" s="44"/>
      <c r="U10" s="44"/>
      <c r="V10" s="44"/>
      <c r="W10" s="44"/>
      <c r="X10" s="44"/>
    </row>
    <row r="11" spans="1:24" x14ac:dyDescent="0.3">
      <c r="A11" s="15"/>
      <c r="B11" s="37"/>
      <c r="C11" s="37"/>
      <c r="D11" s="19"/>
      <c r="E11" s="9"/>
      <c r="F11" s="16"/>
      <c r="G11" s="17"/>
      <c r="H11" s="17"/>
      <c r="I11" s="11"/>
      <c r="J11" s="10"/>
      <c r="K11" s="11"/>
      <c r="L11" s="12"/>
      <c r="M11" s="18"/>
      <c r="N11" s="10"/>
      <c r="O11" s="11"/>
      <c r="P11" s="3"/>
      <c r="T11" s="13"/>
      <c r="U11" s="13"/>
    </row>
    <row r="12" spans="1:24" ht="15" thickBot="1" x14ac:dyDescent="0.35">
      <c r="A12" s="20"/>
      <c r="B12" s="21"/>
      <c r="C12" s="21"/>
      <c r="D12" s="22"/>
      <c r="E12" s="23"/>
      <c r="F12" s="24"/>
      <c r="G12" s="25"/>
      <c r="H12" s="25"/>
      <c r="I12" s="26"/>
      <c r="J12" s="83">
        <f>SUM(J9:J11)</f>
        <v>255503.15999999997</v>
      </c>
      <c r="K12" s="84"/>
      <c r="L12" s="27"/>
      <c r="M12" s="28"/>
      <c r="N12" s="29"/>
      <c r="O12" s="30"/>
      <c r="P12" s="3"/>
      <c r="T12" s="13"/>
      <c r="U12" s="13"/>
    </row>
    <row r="13" spans="1:24" ht="15" thickBot="1" x14ac:dyDescent="0.35">
      <c r="A13" s="85" t="s">
        <v>18</v>
      </c>
      <c r="B13" s="86"/>
      <c r="C13" s="86"/>
      <c r="D13" s="86"/>
      <c r="E13" s="86"/>
      <c r="F13" s="87" t="s">
        <v>19</v>
      </c>
      <c r="G13" s="87"/>
      <c r="H13" s="87"/>
      <c r="I13" s="87"/>
      <c r="J13" s="87"/>
      <c r="K13" s="87"/>
      <c r="L13" s="31">
        <f>J12</f>
        <v>255503.15999999997</v>
      </c>
      <c r="M13" s="32" t="s">
        <v>20</v>
      </c>
      <c r="N13" s="33">
        <f>SUM(N9:N12)</f>
        <v>208215</v>
      </c>
      <c r="O13" s="34" t="s">
        <v>20</v>
      </c>
      <c r="P13" s="3"/>
      <c r="T13" s="13"/>
      <c r="U13" s="13"/>
    </row>
    <row r="14" spans="1:24" ht="14.4" customHeight="1" x14ac:dyDescent="0.3">
      <c r="A14" s="78" t="str">
        <f>IF(VALUE(LEFT(P1))=1,"НМЦК, определенная с использованием метода сопоставимых рыночных цен (анализа рынка), равна "&amp;TEXT(TRUNC(J12,2),"# ##0,00_ ")&amp;" руб. 
НМЦК устанавливается в пределах плановых показателей выплат в размере   "&amp;$U$2,"НМЦК, определенная с использованием метода сопоставимых рыночных цен (анализа рынка), 
равна "&amp;$U$3)</f>
        <v>НМЦК, определенная с использованием метода сопоставимых рыночных цен (анализа рынка), равна 255 503,16  руб. 
НМЦК устанавливается в пределах плановых показателей выплат в размере   208 215 (двести восемь тысяч двести пятнадцать) рублей 00 копеек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1:24" ht="14.4" customHeight="1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24" ht="46.95" customHeight="1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8" spans="7:10" x14ac:dyDescent="0.3">
      <c r="G18" s="36"/>
      <c r="H18" s="36"/>
      <c r="I18" s="36"/>
    </row>
    <row r="19" spans="7:10" x14ac:dyDescent="0.3">
      <c r="G19" s="36"/>
      <c r="H19" s="36"/>
      <c r="I19" s="36"/>
    </row>
    <row r="20" spans="7:10" x14ac:dyDescent="0.3">
      <c r="H20" s="36"/>
      <c r="J20" s="14"/>
    </row>
    <row r="21" spans="7:10" x14ac:dyDescent="0.3">
      <c r="J21" s="14"/>
    </row>
    <row r="22" spans="7:10" x14ac:dyDescent="0.3">
      <c r="H22" s="36"/>
    </row>
  </sheetData>
  <sheetProtection formatColumns="0" insertRows="0"/>
  <mergeCells count="22">
    <mergeCell ref="A14:O16"/>
    <mergeCell ref="L7:L8"/>
    <mergeCell ref="M7:M8"/>
    <mergeCell ref="N8:O8"/>
    <mergeCell ref="J12:K12"/>
    <mergeCell ref="A13:E13"/>
    <mergeCell ref="F13:K13"/>
    <mergeCell ref="B7:B8"/>
    <mergeCell ref="D7:D8"/>
    <mergeCell ref="E7:E8"/>
    <mergeCell ref="F7:F8"/>
    <mergeCell ref="J8:K8"/>
    <mergeCell ref="A1:E3"/>
    <mergeCell ref="F1:O3"/>
    <mergeCell ref="P1:P3"/>
    <mergeCell ref="Q2:S3"/>
    <mergeCell ref="A4:O4"/>
    <mergeCell ref="A5:D5"/>
    <mergeCell ref="E5:O5"/>
    <mergeCell ref="Q5:S8"/>
    <mergeCell ref="A6:O6"/>
    <mergeCell ref="A7:A10"/>
  </mergeCells>
  <dataValidations disablePrompts="1" count="1">
    <dataValidation type="list" allowBlank="1" showInputMessage="1" showErrorMessage="1" errorTitle="выбор расчета с/без ЛБО" error="из выпадающего списка" promptTitle="выбор расчета с/без ЛБО" prompt="из выпадающего списка" sqref="P1">
      <formula1>$W$1:$W$2</formula1>
    </dataValidation>
  </dataValidations>
  <pageMargins left="0.23622047244094491" right="0.23622047244094491" top="0.31496062992125984" bottom="0.39370078740157483" header="0.31496062992125984" footer="0.15748031496062992"/>
  <pageSetup paperSize="9" scale="79" orientation="landscape" r:id="rId1"/>
  <headerFooter>
    <oddFooter>&amp;R&amp;A 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min по КП</vt:lpstr>
      <vt:lpstr>'min по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 В.С.</dc:creator>
  <cp:lastModifiedBy>Ванцов Александр Максимович</cp:lastModifiedBy>
  <cp:lastPrinted>2020-01-28T13:55:02Z</cp:lastPrinted>
  <dcterms:created xsi:type="dcterms:W3CDTF">2019-06-13T10:48:33Z</dcterms:created>
  <dcterms:modified xsi:type="dcterms:W3CDTF">2026-06-22T07:20:40Z</dcterms:modified>
</cp:coreProperties>
</file>