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\Desktop\ФГБУ 2\ЦО\"/>
    </mc:Choice>
  </mc:AlternateContent>
  <bookViews>
    <workbookView xWindow="0" yWindow="0" windowWidth="20490" windowHeight="12060"/>
  </bookViews>
  <sheets>
    <sheet name="1" sheetId="7" r:id="rId1"/>
    <sheet name="Ведомость объемов работ" sheetId="8" r:id="rId2"/>
    <sheet name="Source" sheetId="1" r:id="rId3"/>
    <sheet name="SourceObSm" sheetId="2" r:id="rId4"/>
    <sheet name="SmtRes" sheetId="3" r:id="rId5"/>
    <sheet name="EtalonRes" sheetId="4" r:id="rId6"/>
    <sheet name="SrcPoprs" sheetId="5" r:id="rId7"/>
    <sheet name="SrcKA" sheetId="6" r:id="rId8"/>
  </sheets>
  <definedNames>
    <definedName name="_xlnm.Print_Titles" localSheetId="0">'1'!$51:$51</definedName>
    <definedName name="_xlnm.Print_Titles" localSheetId="1">'Ведомость объемов работ'!$17:$17</definedName>
    <definedName name="_xlnm.Print_Area" localSheetId="0">'1'!$A$1:$L$307</definedName>
    <definedName name="_xlnm.Print_Area" localSheetId="1">'Ведомость объемов работ'!$A$1:$H$42</definedName>
  </definedNames>
  <calcPr calcId="162913" iterate="1"/>
</workbook>
</file>

<file path=xl/calcChain.xml><?xml version="1.0" encoding="utf-8"?>
<calcChain xmlns="http://schemas.openxmlformats.org/spreadsheetml/2006/main">
  <c r="D40" i="8" l="1"/>
  <c r="D38" i="8"/>
  <c r="F35" i="8"/>
  <c r="E35" i="8"/>
  <c r="C35" i="8"/>
  <c r="B35" i="8"/>
  <c r="G34" i="8"/>
  <c r="F34" i="8"/>
  <c r="E34" i="8"/>
  <c r="C34" i="8"/>
  <c r="B34" i="8"/>
  <c r="F33" i="8"/>
  <c r="E33" i="8"/>
  <c r="C33" i="8"/>
  <c r="B33" i="8"/>
  <c r="F32" i="8"/>
  <c r="E32" i="8"/>
  <c r="C32" i="8"/>
  <c r="B32" i="8"/>
  <c r="F31" i="8"/>
  <c r="E31" i="8"/>
  <c r="C31" i="8"/>
  <c r="B31" i="8"/>
  <c r="G30" i="8"/>
  <c r="F30" i="8"/>
  <c r="E30" i="8"/>
  <c r="C30" i="8"/>
  <c r="B30" i="8"/>
  <c r="F29" i="8"/>
  <c r="E29" i="8"/>
  <c r="C29" i="8"/>
  <c r="B29" i="8"/>
  <c r="F28" i="8"/>
  <c r="E28" i="8"/>
  <c r="C28" i="8"/>
  <c r="B28" i="8"/>
  <c r="F27" i="8"/>
  <c r="E27" i="8"/>
  <c r="C27" i="8"/>
  <c r="B27" i="8"/>
  <c r="F26" i="8"/>
  <c r="E26" i="8"/>
  <c r="C26" i="8"/>
  <c r="B26" i="8"/>
  <c r="G25" i="8"/>
  <c r="F25" i="8"/>
  <c r="E25" i="8"/>
  <c r="C25" i="8"/>
  <c r="B25" i="8"/>
  <c r="F24" i="8"/>
  <c r="E24" i="8"/>
  <c r="C24" i="8"/>
  <c r="B24" i="8"/>
  <c r="G23" i="8"/>
  <c r="F23" i="8"/>
  <c r="E23" i="8"/>
  <c r="C23" i="8"/>
  <c r="B23" i="8"/>
  <c r="F22" i="8"/>
  <c r="E22" i="8"/>
  <c r="C22" i="8"/>
  <c r="B22" i="8"/>
  <c r="F21" i="8"/>
  <c r="E21" i="8"/>
  <c r="C21" i="8"/>
  <c r="B21" i="8"/>
  <c r="G20" i="8"/>
  <c r="F20" i="8"/>
  <c r="E20" i="8"/>
  <c r="C20" i="8"/>
  <c r="B20" i="8"/>
  <c r="G19" i="8"/>
  <c r="F19" i="8"/>
  <c r="E19" i="8"/>
  <c r="C19" i="8"/>
  <c r="B19" i="8"/>
  <c r="A18" i="8"/>
  <c r="B13" i="8"/>
  <c r="B12" i="8"/>
  <c r="A1" i="8"/>
  <c r="H305" i="7"/>
  <c r="H302" i="7"/>
  <c r="C305" i="7"/>
  <c r="C302" i="7"/>
  <c r="K42" i="7"/>
  <c r="K41" i="7"/>
  <c r="C44" i="7"/>
  <c r="C43" i="7"/>
  <c r="C42" i="7"/>
  <c r="C41" i="7"/>
  <c r="C38" i="7" s="1"/>
  <c r="L299" i="7"/>
  <c r="C299" i="7"/>
  <c r="L298" i="7"/>
  <c r="C298" i="7"/>
  <c r="L297" i="7"/>
  <c r="C297" i="7"/>
  <c r="G295" i="7"/>
  <c r="G294" i="7"/>
  <c r="L293" i="7"/>
  <c r="L292" i="7"/>
  <c r="L289" i="7"/>
  <c r="L286" i="7" s="1"/>
  <c r="L288" i="7"/>
  <c r="L284" i="7"/>
  <c r="L282" i="7"/>
  <c r="L281" i="7"/>
  <c r="L277" i="7"/>
  <c r="L265" i="7"/>
  <c r="L264" i="7"/>
  <c r="L263" i="7"/>
  <c r="L262" i="7"/>
  <c r="L261" i="7"/>
  <c r="L260" i="7"/>
  <c r="L258" i="7" s="1"/>
  <c r="L257" i="7"/>
  <c r="L256" i="7"/>
  <c r="L254" i="7"/>
  <c r="L252" i="7" s="1"/>
  <c r="L251" i="7"/>
  <c r="L246" i="7"/>
  <c r="L245" i="7"/>
  <c r="L244" i="7"/>
  <c r="L239" i="7"/>
  <c r="L238" i="7"/>
  <c r="L236" i="7" s="1"/>
  <c r="L234" i="7"/>
  <c r="L233" i="7"/>
  <c r="L232" i="7"/>
  <c r="L231" i="7"/>
  <c r="L230" i="7"/>
  <c r="L229" i="7"/>
  <c r="L227" i="7" s="1"/>
  <c r="L226" i="7"/>
  <c r="L225" i="7"/>
  <c r="L223" i="7"/>
  <c r="L221" i="7" s="1"/>
  <c r="L220" i="7"/>
  <c r="L211" i="7"/>
  <c r="L210" i="7"/>
  <c r="L206" i="7"/>
  <c r="BA192" i="7"/>
  <c r="L191" i="7" s="1"/>
  <c r="AZ192" i="7"/>
  <c r="AE192" i="7"/>
  <c r="AD192" i="7"/>
  <c r="G191" i="7"/>
  <c r="F191" i="7"/>
  <c r="E191" i="7"/>
  <c r="G190" i="7"/>
  <c r="F190" i="7"/>
  <c r="E190" i="7"/>
  <c r="AW188" i="7"/>
  <c r="BA188" i="7"/>
  <c r="AZ188" i="7"/>
  <c r="L190" i="7" s="1"/>
  <c r="AE188" i="7"/>
  <c r="AD188" i="7"/>
  <c r="L188" i="7"/>
  <c r="AN188" i="7" s="1"/>
  <c r="I188" i="7"/>
  <c r="J188" i="7" s="1"/>
  <c r="H188" i="7"/>
  <c r="E188" i="7"/>
  <c r="G188" i="7"/>
  <c r="D188" i="7"/>
  <c r="C188" i="7"/>
  <c r="B188" i="7"/>
  <c r="G186" i="7"/>
  <c r="E186" i="7"/>
  <c r="D186" i="7"/>
  <c r="C186" i="7"/>
  <c r="B186" i="7"/>
  <c r="L185" i="7"/>
  <c r="I185" i="7"/>
  <c r="J185" i="7" s="1"/>
  <c r="H185" i="7"/>
  <c r="G185" i="7"/>
  <c r="L184" i="7"/>
  <c r="I184" i="7"/>
  <c r="H184" i="7"/>
  <c r="J184" i="7" s="1"/>
  <c r="G184" i="7"/>
  <c r="L183" i="7"/>
  <c r="I183" i="7"/>
  <c r="H183" i="7"/>
  <c r="J183" i="7" s="1"/>
  <c r="G183" i="7"/>
  <c r="L182" i="7"/>
  <c r="L180" i="7" s="1"/>
  <c r="AW192" i="7" s="1"/>
  <c r="I182" i="7"/>
  <c r="H182" i="7"/>
  <c r="J182" i="7" s="1"/>
  <c r="G182" i="7"/>
  <c r="L181" i="7"/>
  <c r="I181" i="7"/>
  <c r="J181" i="7" s="1"/>
  <c r="H181" i="7"/>
  <c r="G181" i="7"/>
  <c r="G176" i="7"/>
  <c r="L179" i="7"/>
  <c r="I179" i="7"/>
  <c r="J179" i="7" s="1"/>
  <c r="H179" i="7"/>
  <c r="G179" i="7"/>
  <c r="F179" i="7"/>
  <c r="L178" i="7"/>
  <c r="L176" i="7" s="1"/>
  <c r="J178" i="7"/>
  <c r="F178" i="7"/>
  <c r="E178" i="7"/>
  <c r="G178" i="7" s="1"/>
  <c r="L177" i="7"/>
  <c r="J177" i="7"/>
  <c r="G177" i="7"/>
  <c r="F177" i="7"/>
  <c r="L173" i="7"/>
  <c r="AR192" i="7" s="1"/>
  <c r="L174" i="7"/>
  <c r="J174" i="7"/>
  <c r="G174" i="7"/>
  <c r="F174" i="7"/>
  <c r="G173" i="7"/>
  <c r="C172" i="7"/>
  <c r="E168" i="7"/>
  <c r="G168" i="7"/>
  <c r="D168" i="7"/>
  <c r="C168" i="7"/>
  <c r="BA167" i="7"/>
  <c r="L166" i="7" s="1"/>
  <c r="AZ167" i="7"/>
  <c r="AE167" i="7"/>
  <c r="AD167" i="7"/>
  <c r="G166" i="7"/>
  <c r="F166" i="7"/>
  <c r="E166" i="7"/>
  <c r="G165" i="7"/>
  <c r="F165" i="7"/>
  <c r="E165" i="7"/>
  <c r="AW163" i="7"/>
  <c r="BA163" i="7"/>
  <c r="AZ163" i="7"/>
  <c r="L165" i="7" s="1"/>
  <c r="AE163" i="7"/>
  <c r="AD163" i="7"/>
  <c r="L163" i="7"/>
  <c r="AN163" i="7" s="1"/>
  <c r="I163" i="7"/>
  <c r="J163" i="7" s="1"/>
  <c r="H163" i="7"/>
  <c r="E163" i="7"/>
  <c r="G163" i="7"/>
  <c r="D163" i="7"/>
  <c r="C163" i="7"/>
  <c r="B163" i="7"/>
  <c r="G161" i="7"/>
  <c r="E161" i="7"/>
  <c r="D161" i="7"/>
  <c r="C161" i="7"/>
  <c r="B161" i="7"/>
  <c r="G160" i="7"/>
  <c r="E160" i="7"/>
  <c r="D160" i="7"/>
  <c r="C160" i="7"/>
  <c r="B160" i="7"/>
  <c r="L159" i="7"/>
  <c r="I159" i="7"/>
  <c r="H159" i="7"/>
  <c r="J159" i="7" s="1"/>
  <c r="G159" i="7"/>
  <c r="L158" i="7"/>
  <c r="I158" i="7"/>
  <c r="H158" i="7"/>
  <c r="J158" i="7" s="1"/>
  <c r="G158" i="7"/>
  <c r="L157" i="7"/>
  <c r="L156" i="7" s="1"/>
  <c r="AW167" i="7" s="1"/>
  <c r="I157" i="7"/>
  <c r="H157" i="7"/>
  <c r="J157" i="7" s="1"/>
  <c r="G157" i="7"/>
  <c r="G152" i="7"/>
  <c r="L155" i="7"/>
  <c r="J155" i="7"/>
  <c r="G155" i="7"/>
  <c r="F155" i="7"/>
  <c r="L154" i="7"/>
  <c r="L152" i="7" s="1"/>
  <c r="J154" i="7"/>
  <c r="F154" i="7"/>
  <c r="G154" i="7" s="1"/>
  <c r="E154" i="7"/>
  <c r="L153" i="7"/>
  <c r="J153" i="7"/>
  <c r="G153" i="7"/>
  <c r="F153" i="7"/>
  <c r="L150" i="7"/>
  <c r="L149" i="7" s="1"/>
  <c r="J150" i="7"/>
  <c r="G150" i="7"/>
  <c r="F150" i="7"/>
  <c r="G149" i="7"/>
  <c r="E145" i="7"/>
  <c r="G145" i="7"/>
  <c r="D145" i="7"/>
  <c r="C145" i="7"/>
  <c r="BA144" i="7"/>
  <c r="AZ144" i="7"/>
  <c r="AE144" i="7"/>
  <c r="AD144" i="7"/>
  <c r="G143" i="7"/>
  <c r="F143" i="7"/>
  <c r="E143" i="7"/>
  <c r="G142" i="7"/>
  <c r="F142" i="7"/>
  <c r="E142" i="7"/>
  <c r="AW140" i="7"/>
  <c r="BA140" i="7"/>
  <c r="AZ140" i="7"/>
  <c r="AE140" i="7"/>
  <c r="AD140" i="7"/>
  <c r="L140" i="7"/>
  <c r="AN140" i="7" s="1"/>
  <c r="I140" i="7"/>
  <c r="J140" i="7" s="1"/>
  <c r="H140" i="7"/>
  <c r="E140" i="7"/>
  <c r="G140" i="7"/>
  <c r="D140" i="7"/>
  <c r="C140" i="7"/>
  <c r="B140" i="7"/>
  <c r="AW139" i="7"/>
  <c r="AN139" i="7"/>
  <c r="BA139" i="7"/>
  <c r="AZ139" i="7"/>
  <c r="AE139" i="7"/>
  <c r="AD139" i="7"/>
  <c r="L139" i="7"/>
  <c r="I139" i="7"/>
  <c r="H139" i="7"/>
  <c r="J139" i="7" s="1"/>
  <c r="E139" i="7"/>
  <c r="G139" i="7"/>
  <c r="D139" i="7"/>
  <c r="C139" i="7"/>
  <c r="B139" i="7"/>
  <c r="AW138" i="7"/>
  <c r="AN138" i="7"/>
  <c r="BA138" i="7"/>
  <c r="L214" i="7" s="1"/>
  <c r="AZ138" i="7"/>
  <c r="L142" i="7" s="1"/>
  <c r="AE138" i="7"/>
  <c r="AD138" i="7"/>
  <c r="L138" i="7"/>
  <c r="I138" i="7"/>
  <c r="H138" i="7"/>
  <c r="J138" i="7" s="1"/>
  <c r="E138" i="7"/>
  <c r="G138" i="7"/>
  <c r="D138" i="7"/>
  <c r="C138" i="7"/>
  <c r="B138" i="7"/>
  <c r="G136" i="7"/>
  <c r="E136" i="7"/>
  <c r="D136" i="7"/>
  <c r="C136" i="7"/>
  <c r="B136" i="7"/>
  <c r="G135" i="7"/>
  <c r="E135" i="7"/>
  <c r="D135" i="7"/>
  <c r="C135" i="7"/>
  <c r="B135" i="7"/>
  <c r="L134" i="7"/>
  <c r="I134" i="7"/>
  <c r="H134" i="7"/>
  <c r="J134" i="7" s="1"/>
  <c r="G134" i="7"/>
  <c r="L133" i="7"/>
  <c r="I133" i="7"/>
  <c r="J133" i="7" s="1"/>
  <c r="H133" i="7"/>
  <c r="G133" i="7"/>
  <c r="L132" i="7"/>
  <c r="I132" i="7"/>
  <c r="H132" i="7"/>
  <c r="J132" i="7" s="1"/>
  <c r="G132" i="7"/>
  <c r="L131" i="7"/>
  <c r="L128" i="7" s="1"/>
  <c r="AW144" i="7" s="1"/>
  <c r="I131" i="7"/>
  <c r="H131" i="7"/>
  <c r="J131" i="7" s="1"/>
  <c r="G131" i="7"/>
  <c r="L130" i="7"/>
  <c r="I130" i="7"/>
  <c r="H130" i="7"/>
  <c r="J130" i="7" s="1"/>
  <c r="G130" i="7"/>
  <c r="L129" i="7"/>
  <c r="I129" i="7"/>
  <c r="J129" i="7" s="1"/>
  <c r="H129" i="7"/>
  <c r="G129" i="7"/>
  <c r="G120" i="7"/>
  <c r="L127" i="7"/>
  <c r="I127" i="7"/>
  <c r="J127" i="7" s="1"/>
  <c r="H127" i="7"/>
  <c r="G127" i="7"/>
  <c r="F127" i="7"/>
  <c r="L126" i="7"/>
  <c r="L120" i="7" s="1"/>
  <c r="J126" i="7"/>
  <c r="F126" i="7"/>
  <c r="E126" i="7"/>
  <c r="G126" i="7" s="1"/>
  <c r="L125" i="7"/>
  <c r="J125" i="7"/>
  <c r="G125" i="7"/>
  <c r="F125" i="7"/>
  <c r="L124" i="7"/>
  <c r="J124" i="7"/>
  <c r="F124" i="7"/>
  <c r="G124" i="7" s="1"/>
  <c r="E124" i="7"/>
  <c r="L123" i="7"/>
  <c r="J123" i="7"/>
  <c r="G123" i="7"/>
  <c r="F123" i="7"/>
  <c r="L122" i="7"/>
  <c r="J122" i="7"/>
  <c r="F122" i="7"/>
  <c r="E122" i="7"/>
  <c r="G122" i="7" s="1"/>
  <c r="L121" i="7"/>
  <c r="J121" i="7"/>
  <c r="G121" i="7"/>
  <c r="F121" i="7"/>
  <c r="L117" i="7"/>
  <c r="L118" i="7"/>
  <c r="J118" i="7"/>
  <c r="G118" i="7"/>
  <c r="F118" i="7"/>
  <c r="G117" i="7"/>
  <c r="C116" i="7"/>
  <c r="E112" i="7"/>
  <c r="G112" i="7"/>
  <c r="D112" i="7"/>
  <c r="C112" i="7"/>
  <c r="BA111" i="7"/>
  <c r="L110" i="7" s="1"/>
  <c r="AZ111" i="7"/>
  <c r="L109" i="7" s="1"/>
  <c r="AE111" i="7"/>
  <c r="AD111" i="7"/>
  <c r="G110" i="7"/>
  <c r="E110" i="7"/>
  <c r="G109" i="7"/>
  <c r="E109" i="7"/>
  <c r="AW107" i="7"/>
  <c r="BA107" i="7"/>
  <c r="AZ107" i="7"/>
  <c r="AE107" i="7"/>
  <c r="AD107" i="7"/>
  <c r="L107" i="7"/>
  <c r="AN107" i="7" s="1"/>
  <c r="I107" i="7"/>
  <c r="J107" i="7" s="1"/>
  <c r="H107" i="7"/>
  <c r="E107" i="7"/>
  <c r="G107" i="7"/>
  <c r="D107" i="7"/>
  <c r="C107" i="7"/>
  <c r="B107" i="7"/>
  <c r="G105" i="7"/>
  <c r="E105" i="7"/>
  <c r="D105" i="7"/>
  <c r="C105" i="7"/>
  <c r="B105" i="7"/>
  <c r="L104" i="7"/>
  <c r="L103" i="7" s="1"/>
  <c r="AW111" i="7" s="1"/>
  <c r="I104" i="7"/>
  <c r="J104" i="7" s="1"/>
  <c r="H104" i="7"/>
  <c r="G104" i="7"/>
  <c r="L101" i="7"/>
  <c r="AT111" i="7" s="1"/>
  <c r="G101" i="7"/>
  <c r="L102" i="7"/>
  <c r="L100" i="7" s="1"/>
  <c r="AO111" i="7" s="1"/>
  <c r="I102" i="7"/>
  <c r="J102" i="7" s="1"/>
  <c r="H102" i="7"/>
  <c r="G102" i="7"/>
  <c r="F102" i="7"/>
  <c r="L99" i="7"/>
  <c r="L98" i="7" s="1"/>
  <c r="J99" i="7"/>
  <c r="G99" i="7"/>
  <c r="F99" i="7"/>
  <c r="G98" i="7"/>
  <c r="E96" i="7"/>
  <c r="G96" i="7"/>
  <c r="D96" i="7"/>
  <c r="C96" i="7"/>
  <c r="BA95" i="7"/>
  <c r="L94" i="7" s="1"/>
  <c r="AZ95" i="7"/>
  <c r="L93" i="7" s="1"/>
  <c r="AE95" i="7"/>
  <c r="AD95" i="7"/>
  <c r="G94" i="7"/>
  <c r="F94" i="7"/>
  <c r="E94" i="7"/>
  <c r="G93" i="7"/>
  <c r="F93" i="7"/>
  <c r="E93" i="7"/>
  <c r="G90" i="7"/>
  <c r="E90" i="7"/>
  <c r="D90" i="7"/>
  <c r="C90" i="7"/>
  <c r="B90" i="7"/>
  <c r="G89" i="7"/>
  <c r="E89" i="7"/>
  <c r="D89" i="7"/>
  <c r="C89" i="7"/>
  <c r="B89" i="7"/>
  <c r="L88" i="7"/>
  <c r="I88" i="7"/>
  <c r="J88" i="7" s="1"/>
  <c r="H88" i="7"/>
  <c r="G88" i="7"/>
  <c r="L87" i="7"/>
  <c r="I87" i="7"/>
  <c r="H87" i="7"/>
  <c r="J87" i="7" s="1"/>
  <c r="G87" i="7"/>
  <c r="L86" i="7"/>
  <c r="J86" i="7"/>
  <c r="I86" i="7"/>
  <c r="H86" i="7"/>
  <c r="G86" i="7"/>
  <c r="L85" i="7"/>
  <c r="I85" i="7"/>
  <c r="H85" i="7"/>
  <c r="J85" i="7" s="1"/>
  <c r="G85" i="7"/>
  <c r="L84" i="7"/>
  <c r="I84" i="7"/>
  <c r="H84" i="7"/>
  <c r="J84" i="7" s="1"/>
  <c r="G84" i="7"/>
  <c r="L83" i="7"/>
  <c r="L82" i="7" s="1"/>
  <c r="AW95" i="7" s="1"/>
  <c r="J83" i="7"/>
  <c r="I83" i="7"/>
  <c r="H83" i="7"/>
  <c r="G83" i="7"/>
  <c r="G75" i="7"/>
  <c r="L81" i="7"/>
  <c r="J81" i="7"/>
  <c r="G81" i="7"/>
  <c r="F81" i="7"/>
  <c r="L80" i="7"/>
  <c r="I80" i="7"/>
  <c r="H80" i="7"/>
  <c r="J80" i="7" s="1"/>
  <c r="G80" i="7"/>
  <c r="F80" i="7"/>
  <c r="L79" i="7"/>
  <c r="L75" i="7" s="1"/>
  <c r="J79" i="7"/>
  <c r="F79" i="7"/>
  <c r="E79" i="7"/>
  <c r="G79" i="7" s="1"/>
  <c r="L78" i="7"/>
  <c r="J78" i="7"/>
  <c r="G78" i="7"/>
  <c r="F78" i="7"/>
  <c r="L77" i="7"/>
  <c r="J77" i="7"/>
  <c r="F77" i="7"/>
  <c r="E77" i="7"/>
  <c r="G77" i="7" s="1"/>
  <c r="L76" i="7"/>
  <c r="J76" i="7"/>
  <c r="G76" i="7"/>
  <c r="F76" i="7"/>
  <c r="L73" i="7"/>
  <c r="L72" i="7" s="1"/>
  <c r="J73" i="7"/>
  <c r="G73" i="7"/>
  <c r="F73" i="7"/>
  <c r="G72" i="7"/>
  <c r="E68" i="7"/>
  <c r="G68" i="7"/>
  <c r="D68" i="7"/>
  <c r="C68" i="7"/>
  <c r="L65" i="7"/>
  <c r="AT67" i="7"/>
  <c r="BA67" i="7"/>
  <c r="L66" i="7" s="1"/>
  <c r="AZ67" i="7"/>
  <c r="L213" i="7" s="1"/>
  <c r="AE67" i="7"/>
  <c r="AD67" i="7"/>
  <c r="G66" i="7"/>
  <c r="E66" i="7"/>
  <c r="G65" i="7"/>
  <c r="E65" i="7"/>
  <c r="L60" i="7"/>
  <c r="AW67" i="7" s="1"/>
  <c r="L62" i="7"/>
  <c r="I62" i="7"/>
  <c r="H62" i="7"/>
  <c r="J62" i="7" s="1"/>
  <c r="G62" i="7"/>
  <c r="L61" i="7"/>
  <c r="I61" i="7"/>
  <c r="J61" i="7" s="1"/>
  <c r="H61" i="7"/>
  <c r="G61" i="7"/>
  <c r="L58" i="7"/>
  <c r="G58" i="7"/>
  <c r="L59" i="7"/>
  <c r="L57" i="7" s="1"/>
  <c r="AO67" i="7" s="1"/>
  <c r="I59" i="7"/>
  <c r="J59" i="7" s="1"/>
  <c r="H59" i="7"/>
  <c r="G59" i="7"/>
  <c r="F59" i="7"/>
  <c r="L56" i="7"/>
  <c r="L55" i="7" s="1"/>
  <c r="J56" i="7"/>
  <c r="G56" i="7"/>
  <c r="F56" i="7"/>
  <c r="G55" i="7"/>
  <c r="C54" i="7"/>
  <c r="E52" i="7"/>
  <c r="G52" i="7"/>
  <c r="D52" i="7"/>
  <c r="C52" i="7"/>
  <c r="A27" i="7"/>
  <c r="A25" i="7"/>
  <c r="A22" i="7"/>
  <c r="F16" i="7"/>
  <c r="F14" i="7"/>
  <c r="CO6" i="7"/>
  <c r="F6" i="7"/>
  <c r="CO4" i="7"/>
  <c r="F4" i="7"/>
  <c r="A1" i="7"/>
  <c r="K111" i="7" l="1"/>
  <c r="I111" i="7" s="1"/>
  <c r="AR111" i="7"/>
  <c r="L108" i="7" s="1"/>
  <c r="AN111" i="7"/>
  <c r="L106" i="7"/>
  <c r="AT192" i="7"/>
  <c r="L189" i="7" s="1"/>
  <c r="L175" i="7"/>
  <c r="AT95" i="7"/>
  <c r="L74" i="7"/>
  <c r="AO95" i="7" s="1"/>
  <c r="AT144" i="7"/>
  <c r="L205" i="7" s="1"/>
  <c r="L119" i="7"/>
  <c r="L249" i="7"/>
  <c r="AR95" i="7"/>
  <c r="L92" i="7" s="1"/>
  <c r="AN95" i="7"/>
  <c r="L218" i="7"/>
  <c r="L216" i="7" s="1"/>
  <c r="AR67" i="7"/>
  <c r="AN67" i="7"/>
  <c r="L63" i="7"/>
  <c r="K67" i="7"/>
  <c r="I67" i="7" s="1"/>
  <c r="K167" i="7"/>
  <c r="I167" i="7" s="1"/>
  <c r="AN167" i="7"/>
  <c r="L162" i="7"/>
  <c r="AR167" i="7"/>
  <c r="L151" i="7"/>
  <c r="AO167" i="7" s="1"/>
  <c r="AT167" i="7"/>
  <c r="L280" i="7"/>
  <c r="L278" i="7" s="1"/>
  <c r="L209" i="7"/>
  <c r="L207" i="7" s="1"/>
  <c r="AR144" i="7"/>
  <c r="L141" i="7" s="1"/>
  <c r="L285" i="7"/>
  <c r="L143" i="7"/>
  <c r="A1" i="4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" i="3"/>
  <c r="Y1" i="3"/>
  <c r="CY1" i="3"/>
  <c r="CZ1" i="3"/>
  <c r="DA1" i="3"/>
  <c r="DB1" i="3"/>
  <c r="DC1" i="3"/>
  <c r="A2" i="3"/>
  <c r="Y2" i="3"/>
  <c r="CY2" i="3"/>
  <c r="CZ2" i="3"/>
  <c r="DB2" i="3" s="1"/>
  <c r="DA2" i="3"/>
  <c r="DC2" i="3"/>
  <c r="A3" i="3"/>
  <c r="Y3" i="3"/>
  <c r="CY3" i="3"/>
  <c r="CZ3" i="3"/>
  <c r="DA3" i="3"/>
  <c r="DB3" i="3"/>
  <c r="DC3" i="3"/>
  <c r="A4" i="3"/>
  <c r="Y4" i="3"/>
  <c r="CY4" i="3"/>
  <c r="CZ4" i="3"/>
  <c r="DA4" i="3"/>
  <c r="DB4" i="3"/>
  <c r="DC4" i="3"/>
  <c r="A5" i="3"/>
  <c r="Y5" i="3"/>
  <c r="CV5" i="3" s="1"/>
  <c r="CU5" i="3"/>
  <c r="CX5" i="3"/>
  <c r="DF5" i="3" s="1"/>
  <c r="CY5" i="3"/>
  <c r="CZ5" i="3"/>
  <c r="DA5" i="3"/>
  <c r="DB5" i="3"/>
  <c r="DC5" i="3"/>
  <c r="DH5" i="3"/>
  <c r="A6" i="3"/>
  <c r="Y6" i="3"/>
  <c r="CX6" i="3" s="1"/>
  <c r="CY6" i="3"/>
  <c r="CZ6" i="3"/>
  <c r="DA6" i="3"/>
  <c r="DB6" i="3"/>
  <c r="DC6" i="3"/>
  <c r="A7" i="3"/>
  <c r="Y7" i="3"/>
  <c r="CW7" i="3" s="1"/>
  <c r="CY7" i="3"/>
  <c r="CZ7" i="3"/>
  <c r="DB7" i="3" s="1"/>
  <c r="DA7" i="3"/>
  <c r="DC7" i="3"/>
  <c r="A8" i="3"/>
  <c r="Y8" i="3"/>
  <c r="CW8" i="3"/>
  <c r="CX8" i="3"/>
  <c r="DF8" i="3" s="1"/>
  <c r="CY8" i="3"/>
  <c r="CZ8" i="3"/>
  <c r="DA8" i="3"/>
  <c r="DB8" i="3"/>
  <c r="DC8" i="3"/>
  <c r="DG8" i="3"/>
  <c r="DJ8" i="3" s="1"/>
  <c r="DH8" i="3"/>
  <c r="A9" i="3"/>
  <c r="Y9" i="3"/>
  <c r="CW9" i="3" s="1"/>
  <c r="CY9" i="3"/>
  <c r="CZ9" i="3"/>
  <c r="DB9" i="3" s="1"/>
  <c r="DA9" i="3"/>
  <c r="DC9" i="3"/>
  <c r="A10" i="3"/>
  <c r="Y10" i="3"/>
  <c r="CW10" i="3"/>
  <c r="CX10" i="3"/>
  <c r="DI10" i="3" s="1"/>
  <c r="CY10" i="3"/>
  <c r="CZ10" i="3"/>
  <c r="DA10" i="3"/>
  <c r="DB10" i="3"/>
  <c r="DC10" i="3"/>
  <c r="DG10" i="3"/>
  <c r="DJ10" i="3" s="1"/>
  <c r="DH10" i="3"/>
  <c r="A11" i="3"/>
  <c r="Y11" i="3"/>
  <c r="CX11" i="3" s="1"/>
  <c r="CY11" i="3"/>
  <c r="CZ11" i="3"/>
  <c r="DB11" i="3" s="1"/>
  <c r="DA11" i="3"/>
  <c r="DC11" i="3"/>
  <c r="DF11" i="3"/>
  <c r="DJ11" i="3" s="1"/>
  <c r="A12" i="3"/>
  <c r="Y12" i="3"/>
  <c r="CX12" i="3" s="1"/>
  <c r="CY12" i="3"/>
  <c r="CZ12" i="3"/>
  <c r="DB12" i="3" s="1"/>
  <c r="DA12" i="3"/>
  <c r="DC12" i="3"/>
  <c r="DI12" i="3"/>
  <c r="A13" i="3"/>
  <c r="Y13" i="3"/>
  <c r="CX13" i="3"/>
  <c r="DI13" i="3" s="1"/>
  <c r="CY13" i="3"/>
  <c r="CZ13" i="3"/>
  <c r="DA13" i="3"/>
  <c r="DB13" i="3"/>
  <c r="DC13" i="3"/>
  <c r="DH13" i="3"/>
  <c r="A14" i="3"/>
  <c r="Y14" i="3"/>
  <c r="CX14" i="3" s="1"/>
  <c r="CY14" i="3"/>
  <c r="CZ14" i="3"/>
  <c r="DA14" i="3"/>
  <c r="DB14" i="3"/>
  <c r="DC14" i="3"/>
  <c r="DG14" i="3"/>
  <c r="A15" i="3"/>
  <c r="Y15" i="3"/>
  <c r="CX15" i="3" s="1"/>
  <c r="CY15" i="3"/>
  <c r="CZ15" i="3"/>
  <c r="DB15" i="3" s="1"/>
  <c r="DA15" i="3"/>
  <c r="DC15" i="3"/>
  <c r="DF15" i="3"/>
  <c r="DJ15" i="3"/>
  <c r="A16" i="3"/>
  <c r="Y16" i="3"/>
  <c r="CX16" i="3" s="1"/>
  <c r="CY16" i="3"/>
  <c r="CZ16" i="3"/>
  <c r="DB16" i="3" s="1"/>
  <c r="DA16" i="3"/>
  <c r="DC16" i="3"/>
  <c r="DI16" i="3"/>
  <c r="A17" i="3"/>
  <c r="Y17" i="3"/>
  <c r="CX17" i="3"/>
  <c r="CY17" i="3"/>
  <c r="CZ17" i="3"/>
  <c r="DA17" i="3"/>
  <c r="DB17" i="3"/>
  <c r="DC17" i="3"/>
  <c r="DH17" i="3"/>
  <c r="A18" i="3"/>
  <c r="Y18" i="3"/>
  <c r="CX18" i="3" s="1"/>
  <c r="CY18" i="3"/>
  <c r="CZ18" i="3"/>
  <c r="DA18" i="3"/>
  <c r="DB18" i="3"/>
  <c r="DC18" i="3"/>
  <c r="DG18" i="3"/>
  <c r="A19" i="3"/>
  <c r="Y19" i="3"/>
  <c r="CY19" i="3"/>
  <c r="CZ19" i="3"/>
  <c r="DA19" i="3"/>
  <c r="DB19" i="3"/>
  <c r="DC19" i="3"/>
  <c r="A20" i="3"/>
  <c r="Y20" i="3"/>
  <c r="CY20" i="3"/>
  <c r="CZ20" i="3"/>
  <c r="DA20" i="3"/>
  <c r="DB20" i="3"/>
  <c r="DC20" i="3"/>
  <c r="A21" i="3"/>
  <c r="Y21" i="3"/>
  <c r="CY21" i="3"/>
  <c r="CZ21" i="3"/>
  <c r="DA21" i="3"/>
  <c r="DB21" i="3"/>
  <c r="DC21" i="3"/>
  <c r="A22" i="3"/>
  <c r="Y22" i="3"/>
  <c r="CY22" i="3"/>
  <c r="CZ22" i="3"/>
  <c r="DA22" i="3"/>
  <c r="DB22" i="3"/>
  <c r="DC22" i="3"/>
  <c r="A23" i="3"/>
  <c r="Y23" i="3"/>
  <c r="CY23" i="3"/>
  <c r="CZ23" i="3"/>
  <c r="DB23" i="3" s="1"/>
  <c r="DA23" i="3"/>
  <c r="DC23" i="3"/>
  <c r="A24" i="3"/>
  <c r="Y24" i="3"/>
  <c r="CY24" i="3"/>
  <c r="CZ24" i="3"/>
  <c r="DA24" i="3"/>
  <c r="DB24" i="3"/>
  <c r="DC24" i="3"/>
  <c r="A25" i="3"/>
  <c r="Y25" i="3"/>
  <c r="CY25" i="3"/>
  <c r="CZ25" i="3"/>
  <c r="DB25" i="3" s="1"/>
  <c r="DA25" i="3"/>
  <c r="DC25" i="3"/>
  <c r="A26" i="3"/>
  <c r="Y26" i="3"/>
  <c r="CY26" i="3"/>
  <c r="CZ26" i="3"/>
  <c r="DB26" i="3" s="1"/>
  <c r="DA26" i="3"/>
  <c r="DC26" i="3"/>
  <c r="A27" i="3"/>
  <c r="Y27" i="3"/>
  <c r="CY27" i="3"/>
  <c r="CZ27" i="3"/>
  <c r="DB27" i="3" s="1"/>
  <c r="DA27" i="3"/>
  <c r="DC27" i="3"/>
  <c r="A28" i="3"/>
  <c r="Y28" i="3"/>
  <c r="CY28" i="3"/>
  <c r="CZ28" i="3"/>
  <c r="DB28" i="3" s="1"/>
  <c r="DA28" i="3"/>
  <c r="DC28" i="3"/>
  <c r="A29" i="3"/>
  <c r="Y29" i="3"/>
  <c r="CY29" i="3"/>
  <c r="CZ29" i="3"/>
  <c r="DA29" i="3"/>
  <c r="DB29" i="3"/>
  <c r="DC29" i="3"/>
  <c r="A30" i="3"/>
  <c r="Y30" i="3"/>
  <c r="CU30" i="3"/>
  <c r="CY30" i="3"/>
  <c r="CZ30" i="3"/>
  <c r="DB30" i="3" s="1"/>
  <c r="DA30" i="3"/>
  <c r="DC30" i="3"/>
  <c r="A31" i="3"/>
  <c r="Y31" i="3"/>
  <c r="CW31" i="3"/>
  <c r="CX31" i="3"/>
  <c r="CY31" i="3"/>
  <c r="CZ31" i="3"/>
  <c r="DA31" i="3"/>
  <c r="DB31" i="3"/>
  <c r="DC31" i="3"/>
  <c r="DG31" i="3"/>
  <c r="DJ31" i="3" s="1"/>
  <c r="DH31" i="3"/>
  <c r="A32" i="3"/>
  <c r="Y32" i="3"/>
  <c r="CX32" i="3" s="1"/>
  <c r="CY32" i="3"/>
  <c r="CZ32" i="3"/>
  <c r="DB32" i="3" s="1"/>
  <c r="DA32" i="3"/>
  <c r="DC32" i="3"/>
  <c r="DF32" i="3"/>
  <c r="DJ32" i="3" s="1"/>
  <c r="A33" i="3"/>
  <c r="Y33" i="3"/>
  <c r="CX33" i="3" s="1"/>
  <c r="CY33" i="3"/>
  <c r="CZ33" i="3"/>
  <c r="DB33" i="3" s="1"/>
  <c r="DA33" i="3"/>
  <c r="DC33" i="3"/>
  <c r="DF33" i="3"/>
  <c r="DJ33" i="3" s="1"/>
  <c r="DI33" i="3"/>
  <c r="A34" i="3"/>
  <c r="Y34" i="3"/>
  <c r="CX34" i="3" s="1"/>
  <c r="CU34" i="3"/>
  <c r="CV34" i="3"/>
  <c r="CY34" i="3"/>
  <c r="CZ34" i="3"/>
  <c r="DB34" i="3" s="1"/>
  <c r="DA34" i="3"/>
  <c r="DC34" i="3"/>
  <c r="DF34" i="3"/>
  <c r="DG34" i="3"/>
  <c r="A35" i="3"/>
  <c r="Y35" i="3"/>
  <c r="CW35" i="3" s="1"/>
  <c r="CX35" i="3"/>
  <c r="CY35" i="3"/>
  <c r="CZ35" i="3"/>
  <c r="DA35" i="3"/>
  <c r="DB35" i="3"/>
  <c r="DC35" i="3"/>
  <c r="DH35" i="3"/>
  <c r="A36" i="3"/>
  <c r="Y36" i="3"/>
  <c r="CX36" i="3" s="1"/>
  <c r="CY36" i="3"/>
  <c r="CZ36" i="3"/>
  <c r="DA36" i="3"/>
  <c r="DB36" i="3"/>
  <c r="DC36" i="3"/>
  <c r="A37" i="3"/>
  <c r="Y37" i="3"/>
  <c r="CX37" i="3" s="1"/>
  <c r="CY37" i="3"/>
  <c r="CZ37" i="3"/>
  <c r="DB37" i="3" s="1"/>
  <c r="DA37" i="3"/>
  <c r="DC37" i="3"/>
  <c r="A38" i="3"/>
  <c r="Y38" i="3"/>
  <c r="CY38" i="3"/>
  <c r="CZ38" i="3"/>
  <c r="DA38" i="3"/>
  <c r="DB38" i="3"/>
  <c r="DC38" i="3"/>
  <c r="A39" i="3"/>
  <c r="Y39" i="3"/>
  <c r="CY39" i="3"/>
  <c r="CZ39" i="3"/>
  <c r="DB39" i="3" s="1"/>
  <c r="DA39" i="3"/>
  <c r="DC39" i="3"/>
  <c r="A40" i="3"/>
  <c r="Y40" i="3"/>
  <c r="CY40" i="3"/>
  <c r="CZ40" i="3"/>
  <c r="DA40" i="3"/>
  <c r="DB40" i="3"/>
  <c r="DC40" i="3"/>
  <c r="A41" i="3"/>
  <c r="Y41" i="3"/>
  <c r="CY41" i="3"/>
  <c r="CZ41" i="3"/>
  <c r="DB41" i="3" s="1"/>
  <c r="DA41" i="3"/>
  <c r="DC41" i="3"/>
  <c r="A42" i="3"/>
  <c r="Y42" i="3"/>
  <c r="CY42" i="3"/>
  <c r="CZ42" i="3"/>
  <c r="DA42" i="3"/>
  <c r="DB42" i="3"/>
  <c r="DC42" i="3"/>
  <c r="A43" i="3"/>
  <c r="Y43" i="3"/>
  <c r="CY43" i="3"/>
  <c r="CZ43" i="3"/>
  <c r="DB43" i="3" s="1"/>
  <c r="DA43" i="3"/>
  <c r="DC43" i="3"/>
  <c r="A44" i="3"/>
  <c r="Y44" i="3"/>
  <c r="CY44" i="3"/>
  <c r="CZ44" i="3"/>
  <c r="DB44" i="3" s="1"/>
  <c r="DA44" i="3"/>
  <c r="DC44" i="3"/>
  <c r="A45" i="3"/>
  <c r="Y45" i="3"/>
  <c r="CY45" i="3"/>
  <c r="CZ45" i="3"/>
  <c r="DA45" i="3"/>
  <c r="DB45" i="3"/>
  <c r="DC45" i="3"/>
  <c r="A46" i="3"/>
  <c r="Y46" i="3"/>
  <c r="CY46" i="3"/>
  <c r="CZ46" i="3"/>
  <c r="DA46" i="3"/>
  <c r="DB46" i="3"/>
  <c r="DC46" i="3"/>
  <c r="A47" i="3"/>
  <c r="Y47" i="3"/>
  <c r="CY47" i="3"/>
  <c r="CZ47" i="3"/>
  <c r="DB47" i="3" s="1"/>
  <c r="DA47" i="3"/>
  <c r="DC47" i="3"/>
  <c r="A48" i="3"/>
  <c r="Y48" i="3"/>
  <c r="CY48" i="3"/>
  <c r="CZ48" i="3"/>
  <c r="DB48" i="3" s="1"/>
  <c r="DA48" i="3"/>
  <c r="DC48" i="3"/>
  <c r="A49" i="3"/>
  <c r="Y49" i="3"/>
  <c r="CY49" i="3"/>
  <c r="CZ49" i="3"/>
  <c r="DA49" i="3"/>
  <c r="DB49" i="3"/>
  <c r="DC49" i="3"/>
  <c r="A50" i="3"/>
  <c r="Y50" i="3"/>
  <c r="CY50" i="3"/>
  <c r="CZ50" i="3"/>
  <c r="DA50" i="3"/>
  <c r="DB50" i="3"/>
  <c r="DC50" i="3"/>
  <c r="A51" i="3"/>
  <c r="Y51" i="3"/>
  <c r="CY51" i="3"/>
  <c r="CZ51" i="3"/>
  <c r="DB51" i="3" s="1"/>
  <c r="DA51" i="3"/>
  <c r="DC51" i="3"/>
  <c r="A52" i="3"/>
  <c r="Y52" i="3"/>
  <c r="CY52" i="3"/>
  <c r="CZ52" i="3"/>
  <c r="DB52" i="3" s="1"/>
  <c r="DA52" i="3"/>
  <c r="DC52" i="3"/>
  <c r="A53" i="3"/>
  <c r="Y53" i="3"/>
  <c r="CY53" i="3"/>
  <c r="CZ53" i="3"/>
  <c r="DA53" i="3"/>
  <c r="DB53" i="3"/>
  <c r="DC53" i="3"/>
  <c r="A54" i="3"/>
  <c r="Y54" i="3"/>
  <c r="CY54" i="3"/>
  <c r="CZ54" i="3"/>
  <c r="DA54" i="3"/>
  <c r="DB54" i="3"/>
  <c r="DC54" i="3"/>
  <c r="A55" i="3"/>
  <c r="Y55" i="3"/>
  <c r="CY55" i="3"/>
  <c r="CZ55" i="3"/>
  <c r="DA55" i="3"/>
  <c r="DB55" i="3"/>
  <c r="DC55" i="3"/>
  <c r="A56" i="3"/>
  <c r="Y56" i="3"/>
  <c r="CY56" i="3"/>
  <c r="CZ56" i="3"/>
  <c r="DA56" i="3"/>
  <c r="DB56" i="3"/>
  <c r="DC56" i="3"/>
  <c r="A57" i="3"/>
  <c r="Y57" i="3"/>
  <c r="CY57" i="3"/>
  <c r="CZ57" i="3"/>
  <c r="DB57" i="3" s="1"/>
  <c r="DA57" i="3"/>
  <c r="DC57" i="3"/>
  <c r="A58" i="3"/>
  <c r="Y58" i="3"/>
  <c r="CY58" i="3"/>
  <c r="CZ58" i="3"/>
  <c r="DA58" i="3"/>
  <c r="DB58" i="3"/>
  <c r="DC58" i="3"/>
  <c r="A59" i="3"/>
  <c r="Y59" i="3"/>
  <c r="CY59" i="3"/>
  <c r="CZ59" i="3"/>
  <c r="DB59" i="3" s="1"/>
  <c r="DA59" i="3"/>
  <c r="DC59" i="3"/>
  <c r="A60" i="3"/>
  <c r="Y60" i="3"/>
  <c r="CY60" i="3"/>
  <c r="CZ60" i="3"/>
  <c r="DA60" i="3"/>
  <c r="DB60" i="3"/>
  <c r="DC60" i="3"/>
  <c r="A61" i="3"/>
  <c r="Y61" i="3"/>
  <c r="CY61" i="3"/>
  <c r="CZ61" i="3"/>
  <c r="DB61" i="3" s="1"/>
  <c r="DA61" i="3"/>
  <c r="DC61" i="3"/>
  <c r="A62" i="3"/>
  <c r="Y62" i="3"/>
  <c r="CY62" i="3"/>
  <c r="CZ62" i="3"/>
  <c r="DB62" i="3" s="1"/>
  <c r="DA62" i="3"/>
  <c r="DC62" i="3"/>
  <c r="A63" i="3"/>
  <c r="Y63" i="3"/>
  <c r="CY63" i="3"/>
  <c r="CZ63" i="3"/>
  <c r="DA63" i="3"/>
  <c r="DB63" i="3"/>
  <c r="DC63" i="3"/>
  <c r="A64" i="3"/>
  <c r="Y64" i="3"/>
  <c r="CY64" i="3"/>
  <c r="CZ64" i="3"/>
  <c r="DA64" i="3"/>
  <c r="DB64" i="3"/>
  <c r="DC64" i="3"/>
  <c r="A65" i="3"/>
  <c r="Y65" i="3"/>
  <c r="CY65" i="3"/>
  <c r="CZ65" i="3"/>
  <c r="DB65" i="3" s="1"/>
  <c r="DA65" i="3"/>
  <c r="DC65" i="3"/>
  <c r="A66" i="3"/>
  <c r="Y66" i="3"/>
  <c r="CY66" i="3"/>
  <c r="CZ66" i="3"/>
  <c r="DB66" i="3" s="1"/>
  <c r="DA66" i="3"/>
  <c r="DC66" i="3"/>
  <c r="A67" i="3"/>
  <c r="Y67" i="3"/>
  <c r="CY67" i="3"/>
  <c r="CZ67" i="3"/>
  <c r="DA67" i="3"/>
  <c r="DB67" i="3"/>
  <c r="DC67" i="3"/>
  <c r="A68" i="3"/>
  <c r="Y68" i="3"/>
  <c r="CY68" i="3"/>
  <c r="CZ68" i="3"/>
  <c r="DA68" i="3"/>
  <c r="DB68" i="3"/>
  <c r="DC68" i="3"/>
  <c r="A69" i="3"/>
  <c r="Y69" i="3"/>
  <c r="CY69" i="3"/>
  <c r="CZ69" i="3"/>
  <c r="DB69" i="3" s="1"/>
  <c r="DA69" i="3"/>
  <c r="DC69" i="3"/>
  <c r="A70" i="3"/>
  <c r="Y70" i="3"/>
  <c r="CY70" i="3"/>
  <c r="CZ70" i="3"/>
  <c r="DB70" i="3" s="1"/>
  <c r="DA70" i="3"/>
  <c r="DC70" i="3"/>
  <c r="A71" i="3"/>
  <c r="Y71" i="3"/>
  <c r="CY71" i="3"/>
  <c r="CZ71" i="3"/>
  <c r="DA71" i="3"/>
  <c r="DB71" i="3"/>
  <c r="DC71" i="3"/>
  <c r="A72" i="3"/>
  <c r="Y72" i="3"/>
  <c r="CY72" i="3"/>
  <c r="CZ72" i="3"/>
  <c r="DB72" i="3" s="1"/>
  <c r="DA72" i="3"/>
  <c r="DC72" i="3"/>
  <c r="A73" i="3"/>
  <c r="Y73" i="3"/>
  <c r="CY73" i="3"/>
  <c r="CZ73" i="3"/>
  <c r="DA73" i="3"/>
  <c r="DB73" i="3"/>
  <c r="DC73" i="3"/>
  <c r="A74" i="3"/>
  <c r="Y74" i="3"/>
  <c r="CY74" i="3"/>
  <c r="CZ74" i="3"/>
  <c r="DB74" i="3" s="1"/>
  <c r="DA74" i="3"/>
  <c r="DC74" i="3"/>
  <c r="A75" i="3"/>
  <c r="Y75" i="3"/>
  <c r="CY75" i="3"/>
  <c r="CZ75" i="3"/>
  <c r="DA75" i="3"/>
  <c r="DB75" i="3"/>
  <c r="DC75" i="3"/>
  <c r="A76" i="3"/>
  <c r="Y76" i="3"/>
  <c r="CY76" i="3"/>
  <c r="CZ76" i="3"/>
  <c r="DB76" i="3" s="1"/>
  <c r="DA76" i="3"/>
  <c r="DC76" i="3"/>
  <c r="A77" i="3"/>
  <c r="Y77" i="3"/>
  <c r="CY77" i="3"/>
  <c r="CZ77" i="3"/>
  <c r="DA77" i="3"/>
  <c r="DB77" i="3"/>
  <c r="DC77" i="3"/>
  <c r="A78" i="3"/>
  <c r="Y78" i="3"/>
  <c r="CY78" i="3"/>
  <c r="CZ78" i="3"/>
  <c r="DA78" i="3"/>
  <c r="DB78" i="3"/>
  <c r="DC78" i="3"/>
  <c r="A79" i="3"/>
  <c r="Y79" i="3"/>
  <c r="CY79" i="3"/>
  <c r="CZ79" i="3"/>
  <c r="DB79" i="3" s="1"/>
  <c r="DA79" i="3"/>
  <c r="DC79" i="3"/>
  <c r="A80" i="3"/>
  <c r="Y80" i="3"/>
  <c r="CY80" i="3"/>
  <c r="CZ80" i="3"/>
  <c r="DB80" i="3" s="1"/>
  <c r="DA80" i="3"/>
  <c r="DC80" i="3"/>
  <c r="A81" i="3"/>
  <c r="Y81" i="3"/>
  <c r="CY81" i="3"/>
  <c r="CZ81" i="3"/>
  <c r="DA81" i="3"/>
  <c r="DB81" i="3"/>
  <c r="DC81" i="3"/>
  <c r="A82" i="3"/>
  <c r="Y82" i="3"/>
  <c r="CY82" i="3"/>
  <c r="CZ82" i="3"/>
  <c r="DA82" i="3"/>
  <c r="DB82" i="3"/>
  <c r="DC82" i="3"/>
  <c r="A83" i="3"/>
  <c r="Y83" i="3"/>
  <c r="CY83" i="3"/>
  <c r="CZ83" i="3"/>
  <c r="DB83" i="3" s="1"/>
  <c r="DA83" i="3"/>
  <c r="DC83" i="3"/>
  <c r="A84" i="3"/>
  <c r="Y84" i="3"/>
  <c r="CY84" i="3"/>
  <c r="CZ84" i="3"/>
  <c r="DB84" i="3" s="1"/>
  <c r="DA84" i="3"/>
  <c r="DC84" i="3"/>
  <c r="A85" i="3"/>
  <c r="Y85" i="3"/>
  <c r="CY85" i="3"/>
  <c r="CZ85" i="3"/>
  <c r="DA85" i="3"/>
  <c r="DB85" i="3"/>
  <c r="DC85" i="3"/>
  <c r="A86" i="3"/>
  <c r="Y86" i="3"/>
  <c r="CY86" i="3"/>
  <c r="CZ86" i="3"/>
  <c r="DB86" i="3" s="1"/>
  <c r="DA86" i="3"/>
  <c r="DC86" i="3"/>
  <c r="A87" i="3"/>
  <c r="Y87" i="3"/>
  <c r="CY87" i="3"/>
  <c r="CZ87" i="3"/>
  <c r="DB87" i="3" s="1"/>
  <c r="DA87" i="3"/>
  <c r="DC87" i="3"/>
  <c r="A88" i="3"/>
  <c r="Y88" i="3"/>
  <c r="CY88" i="3"/>
  <c r="CZ88" i="3"/>
  <c r="DA88" i="3"/>
  <c r="DB88" i="3"/>
  <c r="DC88" i="3"/>
  <c r="A89" i="3"/>
  <c r="Y89" i="3"/>
  <c r="CY89" i="3"/>
  <c r="CZ89" i="3"/>
  <c r="DB89" i="3" s="1"/>
  <c r="DA89" i="3"/>
  <c r="DC89" i="3"/>
  <c r="A90" i="3"/>
  <c r="Y90" i="3"/>
  <c r="CY90" i="3"/>
  <c r="CZ90" i="3"/>
  <c r="DA90" i="3"/>
  <c r="DB90" i="3"/>
  <c r="DC90" i="3"/>
  <c r="A91" i="3"/>
  <c r="Y91" i="3"/>
  <c r="CY91" i="3"/>
  <c r="CZ91" i="3"/>
  <c r="DB91" i="3" s="1"/>
  <c r="DA91" i="3"/>
  <c r="DC91" i="3"/>
  <c r="A92" i="3"/>
  <c r="Y92" i="3"/>
  <c r="CY92" i="3"/>
  <c r="CZ92" i="3"/>
  <c r="DA92" i="3"/>
  <c r="DB92" i="3"/>
  <c r="DC92" i="3"/>
  <c r="A93" i="3"/>
  <c r="Y93" i="3"/>
  <c r="CY93" i="3"/>
  <c r="CZ93" i="3"/>
  <c r="DA93" i="3"/>
  <c r="DB93" i="3"/>
  <c r="DC93" i="3"/>
  <c r="A94" i="3"/>
  <c r="Y94" i="3"/>
  <c r="CY94" i="3"/>
  <c r="CZ94" i="3"/>
  <c r="DB94" i="3" s="1"/>
  <c r="DA94" i="3"/>
  <c r="DC94" i="3"/>
  <c r="A95" i="3"/>
  <c r="Y95" i="3"/>
  <c r="CY95" i="3"/>
  <c r="CZ95" i="3"/>
  <c r="DB95" i="3" s="1"/>
  <c r="DA95" i="3"/>
  <c r="DC95" i="3"/>
  <c r="A96" i="3"/>
  <c r="Y96" i="3"/>
  <c r="CY96" i="3"/>
  <c r="CZ96" i="3"/>
  <c r="DA96" i="3"/>
  <c r="DB96" i="3"/>
  <c r="DC96" i="3"/>
  <c r="A97" i="3"/>
  <c r="Y97" i="3"/>
  <c r="CV97" i="3" s="1"/>
  <c r="CU97" i="3"/>
  <c r="CY97" i="3"/>
  <c r="CZ97" i="3"/>
  <c r="DB97" i="3" s="1"/>
  <c r="DA97" i="3"/>
  <c r="DC97" i="3"/>
  <c r="A98" i="3"/>
  <c r="Y98" i="3"/>
  <c r="CX98" i="3"/>
  <c r="DF98" i="3" s="1"/>
  <c r="CY98" i="3"/>
  <c r="CZ98" i="3"/>
  <c r="DA98" i="3"/>
  <c r="DB98" i="3"/>
  <c r="DC98" i="3"/>
  <c r="DH98" i="3"/>
  <c r="A99" i="3"/>
  <c r="Y99" i="3"/>
  <c r="CX99" i="3" s="1"/>
  <c r="CY99" i="3"/>
  <c r="CZ99" i="3"/>
  <c r="DB99" i="3" s="1"/>
  <c r="DA99" i="3"/>
  <c r="DC99" i="3"/>
  <c r="A100" i="3"/>
  <c r="Y100" i="3"/>
  <c r="CW100" i="3" s="1"/>
  <c r="CX100" i="3"/>
  <c r="DF100" i="3" s="1"/>
  <c r="CY100" i="3"/>
  <c r="CZ100" i="3"/>
  <c r="DA100" i="3"/>
  <c r="DB100" i="3"/>
  <c r="DC100" i="3"/>
  <c r="DH100" i="3"/>
  <c r="A101" i="3"/>
  <c r="Y101" i="3"/>
  <c r="CX101" i="3" s="1"/>
  <c r="CY101" i="3"/>
  <c r="CZ101" i="3"/>
  <c r="DA101" i="3"/>
  <c r="DB101" i="3"/>
  <c r="DC101" i="3"/>
  <c r="A102" i="3"/>
  <c r="Y102" i="3"/>
  <c r="CX102" i="3" s="1"/>
  <c r="CY102" i="3"/>
  <c r="CZ102" i="3"/>
  <c r="DB102" i="3" s="1"/>
  <c r="DA102" i="3"/>
  <c r="DC102" i="3"/>
  <c r="A103" i="3"/>
  <c r="Y103" i="3"/>
  <c r="CX103" i="3" s="1"/>
  <c r="CY103" i="3"/>
  <c r="CZ103" i="3"/>
  <c r="DB103" i="3" s="1"/>
  <c r="DA103" i="3"/>
  <c r="DC103" i="3"/>
  <c r="A104" i="3"/>
  <c r="Y104" i="3"/>
  <c r="CX104" i="3"/>
  <c r="DF104" i="3" s="1"/>
  <c r="DJ104" i="3" s="1"/>
  <c r="CY104" i="3"/>
  <c r="CZ104" i="3"/>
  <c r="DA104" i="3"/>
  <c r="DB104" i="3"/>
  <c r="DC104" i="3"/>
  <c r="DH104" i="3"/>
  <c r="A105" i="3"/>
  <c r="Y105" i="3"/>
  <c r="CX105" i="3" s="1"/>
  <c r="CY105" i="3"/>
  <c r="CZ105" i="3"/>
  <c r="DA105" i="3"/>
  <c r="DB105" i="3"/>
  <c r="DC105" i="3"/>
  <c r="A106" i="3"/>
  <c r="Y106" i="3"/>
  <c r="CX106" i="3" s="1"/>
  <c r="CY106" i="3"/>
  <c r="CZ106" i="3"/>
  <c r="DB106" i="3" s="1"/>
  <c r="DA106" i="3"/>
  <c r="DC106" i="3"/>
  <c r="A107" i="3"/>
  <c r="Y107" i="3"/>
  <c r="CY107" i="3"/>
  <c r="CZ107" i="3"/>
  <c r="DA107" i="3"/>
  <c r="DB107" i="3"/>
  <c r="DC107" i="3"/>
  <c r="A108" i="3"/>
  <c r="Y108" i="3"/>
  <c r="CY108" i="3"/>
  <c r="CZ108" i="3"/>
  <c r="DB108" i="3" s="1"/>
  <c r="DA108" i="3"/>
  <c r="DC108" i="3"/>
  <c r="A109" i="3"/>
  <c r="Y109" i="3"/>
  <c r="CY109" i="3"/>
  <c r="CZ109" i="3"/>
  <c r="DA109" i="3"/>
  <c r="DB109" i="3"/>
  <c r="DC109" i="3"/>
  <c r="A110" i="3"/>
  <c r="Y110" i="3"/>
  <c r="CY110" i="3"/>
  <c r="CZ110" i="3"/>
  <c r="DB110" i="3" s="1"/>
  <c r="DA110" i="3"/>
  <c r="DC110" i="3"/>
  <c r="A111" i="3"/>
  <c r="Y111" i="3"/>
  <c r="CY111" i="3"/>
  <c r="CZ111" i="3"/>
  <c r="DB111" i="3" s="1"/>
  <c r="DA111" i="3"/>
  <c r="DC111" i="3"/>
  <c r="A112" i="3"/>
  <c r="Y112" i="3"/>
  <c r="CY112" i="3"/>
  <c r="CZ112" i="3"/>
  <c r="DA112" i="3"/>
  <c r="DB112" i="3"/>
  <c r="DC112" i="3"/>
  <c r="A113" i="3"/>
  <c r="Y113" i="3"/>
  <c r="CY113" i="3"/>
  <c r="CZ113" i="3"/>
  <c r="DA113" i="3"/>
  <c r="DB113" i="3"/>
  <c r="DC113" i="3"/>
  <c r="A114" i="3"/>
  <c r="Y114" i="3"/>
  <c r="CY114" i="3"/>
  <c r="CZ114" i="3"/>
  <c r="DB114" i="3" s="1"/>
  <c r="DA114" i="3"/>
  <c r="DC114" i="3"/>
  <c r="A115" i="3"/>
  <c r="Y115" i="3"/>
  <c r="CY115" i="3"/>
  <c r="CZ115" i="3"/>
  <c r="DB115" i="3" s="1"/>
  <c r="DA115" i="3"/>
  <c r="DC115" i="3"/>
  <c r="A116" i="3"/>
  <c r="Y116" i="3"/>
  <c r="CY116" i="3"/>
  <c r="CZ116" i="3"/>
  <c r="DA116" i="3"/>
  <c r="DB116" i="3"/>
  <c r="DC116" i="3"/>
  <c r="D12" i="1"/>
  <c r="E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D20" i="1"/>
  <c r="E22" i="1"/>
  <c r="Z22" i="1"/>
  <c r="AA22" i="1"/>
  <c r="AM22" i="1"/>
  <c r="AN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C24" i="1"/>
  <c r="D24" i="1"/>
  <c r="I24" i="1"/>
  <c r="K24" i="1"/>
  <c r="AC24" i="1"/>
  <c r="AE24" i="1"/>
  <c r="AD24" i="1" s="1"/>
  <c r="AF24" i="1"/>
  <c r="AG24" i="1"/>
  <c r="AH24" i="1"/>
  <c r="AI24" i="1"/>
  <c r="AJ24" i="1"/>
  <c r="CQ24" i="1"/>
  <c r="CR24" i="1"/>
  <c r="CS24" i="1"/>
  <c r="CT24" i="1"/>
  <c r="CU24" i="1"/>
  <c r="T24" i="1" s="1"/>
  <c r="CV24" i="1"/>
  <c r="CW24" i="1"/>
  <c r="CX24" i="1"/>
  <c r="W24" i="1" s="1"/>
  <c r="GL24" i="1"/>
  <c r="GO24" i="1"/>
  <c r="GP24" i="1"/>
  <c r="GV24" i="1"/>
  <c r="HC24" i="1" s="1"/>
  <c r="GX24" i="1" s="1"/>
  <c r="C25" i="1"/>
  <c r="D25" i="1"/>
  <c r="U25" i="1"/>
  <c r="V25" i="1"/>
  <c r="AC25" i="1"/>
  <c r="AE25" i="1"/>
  <c r="AD25" i="1" s="1"/>
  <c r="AF25" i="1"/>
  <c r="AG25" i="1"/>
  <c r="AH25" i="1"/>
  <c r="AI25" i="1"/>
  <c r="AJ25" i="1"/>
  <c r="CX25" i="1" s="1"/>
  <c r="W25" i="1" s="1"/>
  <c r="CQ25" i="1"/>
  <c r="CR25" i="1"/>
  <c r="CS25" i="1"/>
  <c r="CT25" i="1"/>
  <c r="CU25" i="1"/>
  <c r="T25" i="1" s="1"/>
  <c r="CV25" i="1"/>
  <c r="CW25" i="1"/>
  <c r="GL25" i="1"/>
  <c r="GO25" i="1"/>
  <c r="GP25" i="1"/>
  <c r="GV25" i="1"/>
  <c r="HC25" i="1"/>
  <c r="GX25" i="1" s="1"/>
  <c r="I26" i="1"/>
  <c r="P26" i="1"/>
  <c r="Q26" i="1"/>
  <c r="U26" i="1"/>
  <c r="AC26" i="1"/>
  <c r="AE26" i="1"/>
  <c r="AD26" i="1" s="1"/>
  <c r="AF26" i="1"/>
  <c r="AG26" i="1"/>
  <c r="AH26" i="1"/>
  <c r="AI26" i="1"/>
  <c r="CW26" i="1" s="1"/>
  <c r="V26" i="1" s="1"/>
  <c r="AJ26" i="1"/>
  <c r="CX26" i="1" s="1"/>
  <c r="W26" i="1" s="1"/>
  <c r="CQ26" i="1"/>
  <c r="CR26" i="1"/>
  <c r="CS26" i="1"/>
  <c r="R26" i="1" s="1"/>
  <c r="CT26" i="1"/>
  <c r="S26" i="1" s="1"/>
  <c r="CY26" i="1" s="1"/>
  <c r="X26" i="1" s="1"/>
  <c r="CU26" i="1"/>
  <c r="T26" i="1" s="1"/>
  <c r="CV26" i="1"/>
  <c r="GL26" i="1"/>
  <c r="GO26" i="1"/>
  <c r="GP26" i="1"/>
  <c r="GV26" i="1"/>
  <c r="HC26" i="1"/>
  <c r="GX26" i="1" s="1"/>
  <c r="I27" i="1"/>
  <c r="P27" i="1" s="1"/>
  <c r="U27" i="1"/>
  <c r="AC27" i="1"/>
  <c r="AE27" i="1"/>
  <c r="AD27" i="1" s="1"/>
  <c r="AB27" i="1" s="1"/>
  <c r="AF27" i="1"/>
  <c r="AG27" i="1"/>
  <c r="AH27" i="1"/>
  <c r="AI27" i="1"/>
  <c r="AJ27" i="1"/>
  <c r="CX27" i="1" s="1"/>
  <c r="W27" i="1" s="1"/>
  <c r="CQ27" i="1"/>
  <c r="CR27" i="1"/>
  <c r="Q27" i="1" s="1"/>
  <c r="CS27" i="1"/>
  <c r="R27" i="1" s="1"/>
  <c r="CZ27" i="1" s="1"/>
  <c r="Y27" i="1" s="1"/>
  <c r="CT27" i="1"/>
  <c r="S27" i="1" s="1"/>
  <c r="CU27" i="1"/>
  <c r="T27" i="1" s="1"/>
  <c r="CV27" i="1"/>
  <c r="CW27" i="1"/>
  <c r="V27" i="1" s="1"/>
  <c r="GL27" i="1"/>
  <c r="GO27" i="1"/>
  <c r="GP27" i="1"/>
  <c r="GV27" i="1"/>
  <c r="HC27" i="1"/>
  <c r="GX27" i="1" s="1"/>
  <c r="C28" i="1"/>
  <c r="D28" i="1"/>
  <c r="I28" i="1"/>
  <c r="K28" i="1"/>
  <c r="V28" i="1"/>
  <c r="AC28" i="1"/>
  <c r="AB28" i="1" s="1"/>
  <c r="AD28" i="1"/>
  <c r="AE28" i="1"/>
  <c r="AF28" i="1"/>
  <c r="AG28" i="1"/>
  <c r="CU28" i="1" s="1"/>
  <c r="T28" i="1" s="1"/>
  <c r="AH28" i="1"/>
  <c r="AI28" i="1"/>
  <c r="AJ28" i="1"/>
  <c r="CQ28" i="1"/>
  <c r="CR28" i="1"/>
  <c r="CS28" i="1"/>
  <c r="CT28" i="1"/>
  <c r="CV28" i="1"/>
  <c r="CW28" i="1"/>
  <c r="CX28" i="1"/>
  <c r="W28" i="1" s="1"/>
  <c r="GL28" i="1"/>
  <c r="GO28" i="1"/>
  <c r="GP28" i="1"/>
  <c r="GV28" i="1"/>
  <c r="HC28" i="1" s="1"/>
  <c r="GX28" i="1" s="1"/>
  <c r="I29" i="1"/>
  <c r="W29" i="1"/>
  <c r="AC29" i="1"/>
  <c r="AB29" i="1" s="1"/>
  <c r="AD29" i="1"/>
  <c r="AE29" i="1"/>
  <c r="AF29" i="1"/>
  <c r="AG29" i="1"/>
  <c r="CU29" i="1" s="1"/>
  <c r="T29" i="1" s="1"/>
  <c r="AH29" i="1"/>
  <c r="CV29" i="1" s="1"/>
  <c r="U29" i="1" s="1"/>
  <c r="AI29" i="1"/>
  <c r="AJ29" i="1"/>
  <c r="CQ29" i="1"/>
  <c r="P29" i="1" s="1"/>
  <c r="CP29" i="1" s="1"/>
  <c r="O29" i="1" s="1"/>
  <c r="CR29" i="1"/>
  <c r="Q29" i="1" s="1"/>
  <c r="CS29" i="1"/>
  <c r="R29" i="1" s="1"/>
  <c r="CT29" i="1"/>
  <c r="S29" i="1" s="1"/>
  <c r="CW29" i="1"/>
  <c r="V29" i="1" s="1"/>
  <c r="CX29" i="1"/>
  <c r="GL29" i="1"/>
  <c r="GO29" i="1"/>
  <c r="GP29" i="1"/>
  <c r="GV29" i="1"/>
  <c r="HC29" i="1" s="1"/>
  <c r="GX29" i="1" s="1"/>
  <c r="C30" i="1"/>
  <c r="D30" i="1"/>
  <c r="I30" i="1"/>
  <c r="K30" i="1"/>
  <c r="T30" i="1"/>
  <c r="V30" i="1"/>
  <c r="AC30" i="1"/>
  <c r="AD30" i="1"/>
  <c r="AE30" i="1"/>
  <c r="AF30" i="1"/>
  <c r="AG30" i="1"/>
  <c r="AH30" i="1"/>
  <c r="AI30" i="1"/>
  <c r="AJ30" i="1"/>
  <c r="CQ30" i="1"/>
  <c r="CR30" i="1"/>
  <c r="CS30" i="1"/>
  <c r="CT30" i="1"/>
  <c r="CU30" i="1"/>
  <c r="CV30" i="1"/>
  <c r="CW30" i="1"/>
  <c r="CX30" i="1"/>
  <c r="W30" i="1" s="1"/>
  <c r="GL30" i="1"/>
  <c r="GO30" i="1"/>
  <c r="GP30" i="1"/>
  <c r="GV30" i="1"/>
  <c r="HC30" i="1" s="1"/>
  <c r="GX30" i="1" s="1"/>
  <c r="I31" i="1"/>
  <c r="S31" i="1"/>
  <c r="T31" i="1"/>
  <c r="AC31" i="1"/>
  <c r="AB31" i="1" s="1"/>
  <c r="AD31" i="1"/>
  <c r="AE31" i="1"/>
  <c r="AF31" i="1"/>
  <c r="AG31" i="1"/>
  <c r="AH31" i="1"/>
  <c r="CV31" i="1" s="1"/>
  <c r="U31" i="1" s="1"/>
  <c r="AI31" i="1"/>
  <c r="CW31" i="1" s="1"/>
  <c r="V31" i="1" s="1"/>
  <c r="AJ31" i="1"/>
  <c r="CQ31" i="1"/>
  <c r="P31" i="1" s="1"/>
  <c r="CR31" i="1"/>
  <c r="Q31" i="1" s="1"/>
  <c r="CS31" i="1"/>
  <c r="R31" i="1" s="1"/>
  <c r="CY31" i="1" s="1"/>
  <c r="X31" i="1" s="1"/>
  <c r="CT31" i="1"/>
  <c r="CU31" i="1"/>
  <c r="CX31" i="1"/>
  <c r="W31" i="1" s="1"/>
  <c r="GL31" i="1"/>
  <c r="GO31" i="1"/>
  <c r="GP31" i="1"/>
  <c r="GV31" i="1"/>
  <c r="HC31" i="1" s="1"/>
  <c r="GX31" i="1" s="1"/>
  <c r="C32" i="1"/>
  <c r="D32" i="1"/>
  <c r="I32" i="1"/>
  <c r="K32" i="1"/>
  <c r="V32" i="1"/>
  <c r="AC32" i="1"/>
  <c r="AE32" i="1"/>
  <c r="AD32" i="1" s="1"/>
  <c r="AF32" i="1"/>
  <c r="AG32" i="1"/>
  <c r="AH32" i="1"/>
  <c r="AI32" i="1"/>
  <c r="AJ32" i="1"/>
  <c r="CQ32" i="1"/>
  <c r="CR32" i="1"/>
  <c r="CS32" i="1"/>
  <c r="CT32" i="1"/>
  <c r="CU32" i="1"/>
  <c r="T32" i="1" s="1"/>
  <c r="CV32" i="1"/>
  <c r="CW32" i="1"/>
  <c r="CX32" i="1"/>
  <c r="W32" i="1" s="1"/>
  <c r="GL32" i="1"/>
  <c r="GO32" i="1"/>
  <c r="GP32" i="1"/>
  <c r="GV32" i="1"/>
  <c r="HC32" i="1"/>
  <c r="GX32" i="1" s="1"/>
  <c r="I33" i="1"/>
  <c r="S33" i="1" s="1"/>
  <c r="Q33" i="1"/>
  <c r="AC33" i="1"/>
  <c r="AB33" i="1" s="1"/>
  <c r="AE33" i="1"/>
  <c r="AD33" i="1" s="1"/>
  <c r="AF33" i="1"/>
  <c r="AG33" i="1"/>
  <c r="AH33" i="1"/>
  <c r="AI33" i="1"/>
  <c r="CW33" i="1" s="1"/>
  <c r="V33" i="1" s="1"/>
  <c r="AJ33" i="1"/>
  <c r="CQ33" i="1"/>
  <c r="CR33" i="1"/>
  <c r="CS33" i="1"/>
  <c r="R33" i="1" s="1"/>
  <c r="CT33" i="1"/>
  <c r="CU33" i="1"/>
  <c r="T33" i="1" s="1"/>
  <c r="CV33" i="1"/>
  <c r="U33" i="1" s="1"/>
  <c r="CX33" i="1"/>
  <c r="W33" i="1" s="1"/>
  <c r="GL33" i="1"/>
  <c r="GO33" i="1"/>
  <c r="GP33" i="1"/>
  <c r="GV33" i="1"/>
  <c r="HC33" i="1"/>
  <c r="GX33" i="1" s="1"/>
  <c r="C34" i="1"/>
  <c r="D34" i="1"/>
  <c r="I34" i="1"/>
  <c r="K34" i="1"/>
  <c r="V34" i="1"/>
  <c r="AC34" i="1"/>
  <c r="AE34" i="1"/>
  <c r="AD34" i="1" s="1"/>
  <c r="AF34" i="1"/>
  <c r="AG34" i="1"/>
  <c r="AH34" i="1"/>
  <c r="AI34" i="1"/>
  <c r="AJ34" i="1"/>
  <c r="CQ34" i="1"/>
  <c r="CR34" i="1"/>
  <c r="CS34" i="1"/>
  <c r="CT34" i="1"/>
  <c r="CU34" i="1"/>
  <c r="T34" i="1" s="1"/>
  <c r="CV34" i="1"/>
  <c r="CW34" i="1"/>
  <c r="CX34" i="1"/>
  <c r="W34" i="1" s="1"/>
  <c r="GL34" i="1"/>
  <c r="GO34" i="1"/>
  <c r="GP34" i="1"/>
  <c r="GV34" i="1"/>
  <c r="HC34" i="1" s="1"/>
  <c r="GX34" i="1" s="1"/>
  <c r="I35" i="1"/>
  <c r="P35" i="1" s="1"/>
  <c r="V35" i="1"/>
  <c r="AC35" i="1"/>
  <c r="AB35" i="1" s="1"/>
  <c r="AE35" i="1"/>
  <c r="AD35" i="1" s="1"/>
  <c r="AF35" i="1"/>
  <c r="AG35" i="1"/>
  <c r="AH35" i="1"/>
  <c r="CV35" i="1" s="1"/>
  <c r="U35" i="1" s="1"/>
  <c r="AI35" i="1"/>
  <c r="AJ35" i="1"/>
  <c r="CQ35" i="1"/>
  <c r="CR35" i="1"/>
  <c r="Q35" i="1" s="1"/>
  <c r="CS35" i="1"/>
  <c r="R35" i="1" s="1"/>
  <c r="CT35" i="1"/>
  <c r="CU35" i="1"/>
  <c r="T35" i="1" s="1"/>
  <c r="CW35" i="1"/>
  <c r="CX35" i="1"/>
  <c r="W35" i="1" s="1"/>
  <c r="GL35" i="1"/>
  <c r="GO35" i="1"/>
  <c r="GP35" i="1"/>
  <c r="GV35" i="1"/>
  <c r="HC35" i="1" s="1"/>
  <c r="GX35" i="1" s="1"/>
  <c r="C36" i="1"/>
  <c r="D36" i="1"/>
  <c r="V36" i="1"/>
  <c r="AC36" i="1"/>
  <c r="AE36" i="1"/>
  <c r="AD36" i="1" s="1"/>
  <c r="AF36" i="1"/>
  <c r="AG36" i="1"/>
  <c r="AH36" i="1"/>
  <c r="AI36" i="1"/>
  <c r="AJ36" i="1"/>
  <c r="CX36" i="1" s="1"/>
  <c r="W36" i="1" s="1"/>
  <c r="CQ36" i="1"/>
  <c r="CR36" i="1"/>
  <c r="CS36" i="1"/>
  <c r="CT36" i="1"/>
  <c r="CU36" i="1"/>
  <c r="T36" i="1" s="1"/>
  <c r="CV36" i="1"/>
  <c r="CW36" i="1"/>
  <c r="GL36" i="1"/>
  <c r="GO36" i="1"/>
  <c r="GP36" i="1"/>
  <c r="GV36" i="1"/>
  <c r="HC36" i="1"/>
  <c r="GX36" i="1" s="1"/>
  <c r="I37" i="1"/>
  <c r="R37" i="1"/>
  <c r="U37" i="1"/>
  <c r="AC37" i="1"/>
  <c r="AE37" i="1"/>
  <c r="AD37" i="1" s="1"/>
  <c r="AB37" i="1" s="1"/>
  <c r="AF37" i="1"/>
  <c r="AG37" i="1"/>
  <c r="AH37" i="1"/>
  <c r="AI37" i="1"/>
  <c r="AJ37" i="1"/>
  <c r="CX37" i="1" s="1"/>
  <c r="W37" i="1" s="1"/>
  <c r="CQ37" i="1"/>
  <c r="P37" i="1" s="1"/>
  <c r="CR37" i="1"/>
  <c r="Q37" i="1" s="1"/>
  <c r="CS37" i="1"/>
  <c r="CT37" i="1"/>
  <c r="S37" i="1" s="1"/>
  <c r="CU37" i="1"/>
  <c r="T37" i="1" s="1"/>
  <c r="CV37" i="1"/>
  <c r="CW37" i="1"/>
  <c r="V37" i="1" s="1"/>
  <c r="GL37" i="1"/>
  <c r="GO37" i="1"/>
  <c r="GP37" i="1"/>
  <c r="GV37" i="1"/>
  <c r="HC37" i="1"/>
  <c r="GX37" i="1" s="1"/>
  <c r="C38" i="1"/>
  <c r="D38" i="1"/>
  <c r="T38" i="1"/>
  <c r="U38" i="1"/>
  <c r="V38" i="1"/>
  <c r="AC38" i="1"/>
  <c r="AD38" i="1"/>
  <c r="AE38" i="1"/>
  <c r="AF38" i="1"/>
  <c r="AG38" i="1"/>
  <c r="AH38" i="1"/>
  <c r="AI38" i="1"/>
  <c r="AJ38" i="1"/>
  <c r="CQ38" i="1"/>
  <c r="CR38" i="1"/>
  <c r="CS38" i="1"/>
  <c r="CT38" i="1"/>
  <c r="CU38" i="1"/>
  <c r="CV38" i="1"/>
  <c r="CW38" i="1"/>
  <c r="CX38" i="1"/>
  <c r="W38" i="1" s="1"/>
  <c r="GL38" i="1"/>
  <c r="GO38" i="1"/>
  <c r="GP38" i="1"/>
  <c r="GV38" i="1"/>
  <c r="GX38" i="1"/>
  <c r="HC38" i="1"/>
  <c r="I39" i="1"/>
  <c r="T39" i="1"/>
  <c r="AC39" i="1"/>
  <c r="AB39" i="1" s="1"/>
  <c r="AD39" i="1"/>
  <c r="AE39" i="1"/>
  <c r="AF39" i="1"/>
  <c r="AG39" i="1"/>
  <c r="AH39" i="1"/>
  <c r="AI39" i="1"/>
  <c r="CW39" i="1" s="1"/>
  <c r="V39" i="1" s="1"/>
  <c r="AJ39" i="1"/>
  <c r="CQ39" i="1"/>
  <c r="P39" i="1" s="1"/>
  <c r="CP39" i="1" s="1"/>
  <c r="O39" i="1" s="1"/>
  <c r="CR39" i="1"/>
  <c r="Q39" i="1" s="1"/>
  <c r="CS39" i="1"/>
  <c r="R39" i="1" s="1"/>
  <c r="CT39" i="1"/>
  <c r="S39" i="1" s="1"/>
  <c r="CU39" i="1"/>
  <c r="CV39" i="1"/>
  <c r="U39" i="1" s="1"/>
  <c r="CX39" i="1"/>
  <c r="W39" i="1" s="1"/>
  <c r="GL39" i="1"/>
  <c r="GO39" i="1"/>
  <c r="GP39" i="1"/>
  <c r="GV39" i="1"/>
  <c r="GX39" i="1"/>
  <c r="HC39" i="1"/>
  <c r="C40" i="1"/>
  <c r="D40" i="1"/>
  <c r="I40" i="1"/>
  <c r="K40" i="1"/>
  <c r="AC40" i="1"/>
  <c r="AE40" i="1"/>
  <c r="AD40" i="1" s="1"/>
  <c r="AF40" i="1"/>
  <c r="AG40" i="1"/>
  <c r="AH40" i="1"/>
  <c r="AI40" i="1"/>
  <c r="AJ40" i="1"/>
  <c r="CX40" i="1" s="1"/>
  <c r="W40" i="1" s="1"/>
  <c r="CQ40" i="1"/>
  <c r="CR40" i="1"/>
  <c r="CS40" i="1"/>
  <c r="CT40" i="1"/>
  <c r="CU40" i="1"/>
  <c r="T40" i="1" s="1"/>
  <c r="CV40" i="1"/>
  <c r="CW40" i="1"/>
  <c r="GL40" i="1"/>
  <c r="GO40" i="1"/>
  <c r="GP40" i="1"/>
  <c r="GV40" i="1"/>
  <c r="HC40" i="1"/>
  <c r="GX40" i="1" s="1"/>
  <c r="I41" i="1"/>
  <c r="S41" i="1" s="1"/>
  <c r="Q41" i="1"/>
  <c r="AC41" i="1"/>
  <c r="AE41" i="1"/>
  <c r="AD41" i="1" s="1"/>
  <c r="AB41" i="1" s="1"/>
  <c r="AF41" i="1"/>
  <c r="AG41" i="1"/>
  <c r="AH41" i="1"/>
  <c r="AI41" i="1"/>
  <c r="CW41" i="1" s="1"/>
  <c r="V41" i="1" s="1"/>
  <c r="AJ41" i="1"/>
  <c r="CX41" i="1" s="1"/>
  <c r="W41" i="1" s="1"/>
  <c r="CQ41" i="1"/>
  <c r="P41" i="1" s="1"/>
  <c r="CP41" i="1" s="1"/>
  <c r="O41" i="1" s="1"/>
  <c r="CR41" i="1"/>
  <c r="CS41" i="1"/>
  <c r="R41" i="1" s="1"/>
  <c r="CT41" i="1"/>
  <c r="CU41" i="1"/>
  <c r="T41" i="1" s="1"/>
  <c r="CV41" i="1"/>
  <c r="U41" i="1" s="1"/>
  <c r="GL41" i="1"/>
  <c r="GO41" i="1"/>
  <c r="GP41" i="1"/>
  <c r="GV41" i="1"/>
  <c r="HC41" i="1"/>
  <c r="GX41" i="1" s="1"/>
  <c r="I42" i="1"/>
  <c r="S42" i="1" s="1"/>
  <c r="Q42" i="1"/>
  <c r="AC42" i="1"/>
  <c r="AE42" i="1"/>
  <c r="AD42" i="1" s="1"/>
  <c r="AB42" i="1" s="1"/>
  <c r="AF42" i="1"/>
  <c r="AG42" i="1"/>
  <c r="CU42" i="1" s="1"/>
  <c r="T42" i="1" s="1"/>
  <c r="AH42" i="1"/>
  <c r="AI42" i="1"/>
  <c r="CW42" i="1" s="1"/>
  <c r="V42" i="1" s="1"/>
  <c r="AJ42" i="1"/>
  <c r="CX42" i="1" s="1"/>
  <c r="W42" i="1" s="1"/>
  <c r="CQ42" i="1"/>
  <c r="P42" i="1" s="1"/>
  <c r="CR42" i="1"/>
  <c r="CS42" i="1"/>
  <c r="R42" i="1" s="1"/>
  <c r="CT42" i="1"/>
  <c r="CV42" i="1"/>
  <c r="U42" i="1" s="1"/>
  <c r="GL42" i="1"/>
  <c r="GO42" i="1"/>
  <c r="GP42" i="1"/>
  <c r="GV42" i="1"/>
  <c r="HC42" i="1"/>
  <c r="GX42" i="1" s="1"/>
  <c r="I43" i="1"/>
  <c r="S43" i="1" s="1"/>
  <c r="Q43" i="1"/>
  <c r="AC43" i="1"/>
  <c r="AE43" i="1"/>
  <c r="AD43" i="1" s="1"/>
  <c r="AB43" i="1" s="1"/>
  <c r="AF43" i="1"/>
  <c r="AG43" i="1"/>
  <c r="AH43" i="1"/>
  <c r="AI43" i="1"/>
  <c r="CW43" i="1" s="1"/>
  <c r="V43" i="1" s="1"/>
  <c r="AJ43" i="1"/>
  <c r="CX43" i="1" s="1"/>
  <c r="W43" i="1" s="1"/>
  <c r="CQ43" i="1"/>
  <c r="P43" i="1" s="1"/>
  <c r="CR43" i="1"/>
  <c r="CS43" i="1"/>
  <c r="R43" i="1" s="1"/>
  <c r="CT43" i="1"/>
  <c r="CU43" i="1"/>
  <c r="T43" i="1" s="1"/>
  <c r="CV43" i="1"/>
  <c r="U43" i="1" s="1"/>
  <c r="GL43" i="1"/>
  <c r="GO43" i="1"/>
  <c r="GP43" i="1"/>
  <c r="GV43" i="1"/>
  <c r="HC43" i="1"/>
  <c r="GX43" i="1" s="1"/>
  <c r="C44" i="1"/>
  <c r="D44" i="1"/>
  <c r="I44" i="1"/>
  <c r="K44" i="1"/>
  <c r="AC44" i="1"/>
  <c r="AE44" i="1"/>
  <c r="AD44" i="1" s="1"/>
  <c r="AF44" i="1"/>
  <c r="AG44" i="1"/>
  <c r="CU44" i="1" s="1"/>
  <c r="T44" i="1" s="1"/>
  <c r="AH44" i="1"/>
  <c r="AI44" i="1"/>
  <c r="AJ44" i="1"/>
  <c r="CQ44" i="1"/>
  <c r="CR44" i="1"/>
  <c r="CS44" i="1"/>
  <c r="CT44" i="1"/>
  <c r="CV44" i="1"/>
  <c r="CW44" i="1"/>
  <c r="CX44" i="1"/>
  <c r="W44" i="1" s="1"/>
  <c r="GL44" i="1"/>
  <c r="GO44" i="1"/>
  <c r="GP44" i="1"/>
  <c r="GV44" i="1"/>
  <c r="HC44" i="1" s="1"/>
  <c r="GX44" i="1" s="1"/>
  <c r="I45" i="1"/>
  <c r="S45" i="1" s="1"/>
  <c r="V45" i="1"/>
  <c r="AC45" i="1"/>
  <c r="AE45" i="1"/>
  <c r="AD45" i="1" s="1"/>
  <c r="AF45" i="1"/>
  <c r="AG45" i="1"/>
  <c r="CU45" i="1" s="1"/>
  <c r="T45" i="1" s="1"/>
  <c r="AH45" i="1"/>
  <c r="AI45" i="1"/>
  <c r="AJ45" i="1"/>
  <c r="CQ45" i="1"/>
  <c r="P45" i="1" s="1"/>
  <c r="CR45" i="1"/>
  <c r="Q45" i="1" s="1"/>
  <c r="CS45" i="1"/>
  <c r="R45" i="1" s="1"/>
  <c r="CT45" i="1"/>
  <c r="CV45" i="1"/>
  <c r="U45" i="1" s="1"/>
  <c r="CW45" i="1"/>
  <c r="CX45" i="1"/>
  <c r="W45" i="1" s="1"/>
  <c r="GL45" i="1"/>
  <c r="GO45" i="1"/>
  <c r="GP45" i="1"/>
  <c r="GV45" i="1"/>
  <c r="HC45" i="1" s="1"/>
  <c r="GX45" i="1" s="1"/>
  <c r="I46" i="1"/>
  <c r="S46" i="1" s="1"/>
  <c r="V46" i="1"/>
  <c r="AC46" i="1"/>
  <c r="AB46" i="1" s="1"/>
  <c r="AE46" i="1"/>
  <c r="AD46" i="1" s="1"/>
  <c r="AF46" i="1"/>
  <c r="AG46" i="1"/>
  <c r="CU46" i="1" s="1"/>
  <c r="T46" i="1" s="1"/>
  <c r="AH46" i="1"/>
  <c r="AI46" i="1"/>
  <c r="AJ46" i="1"/>
  <c r="CQ46" i="1"/>
  <c r="P46" i="1" s="1"/>
  <c r="CR46" i="1"/>
  <c r="Q46" i="1" s="1"/>
  <c r="CS46" i="1"/>
  <c r="R46" i="1" s="1"/>
  <c r="CT46" i="1"/>
  <c r="CV46" i="1"/>
  <c r="U46" i="1" s="1"/>
  <c r="CW46" i="1"/>
  <c r="CX46" i="1"/>
  <c r="W46" i="1" s="1"/>
  <c r="GL46" i="1"/>
  <c r="GO46" i="1"/>
  <c r="GP46" i="1"/>
  <c r="GV46" i="1"/>
  <c r="HC46" i="1" s="1"/>
  <c r="GX46" i="1" s="1"/>
  <c r="I47" i="1"/>
  <c r="S47" i="1" s="1"/>
  <c r="V47" i="1"/>
  <c r="AC47" i="1"/>
  <c r="AE47" i="1"/>
  <c r="AD47" i="1" s="1"/>
  <c r="AF47" i="1"/>
  <c r="AG47" i="1"/>
  <c r="CU47" i="1" s="1"/>
  <c r="T47" i="1" s="1"/>
  <c r="AH47" i="1"/>
  <c r="AI47" i="1"/>
  <c r="AJ47" i="1"/>
  <c r="CQ47" i="1"/>
  <c r="P47" i="1" s="1"/>
  <c r="CR47" i="1"/>
  <c r="Q47" i="1" s="1"/>
  <c r="CS47" i="1"/>
  <c r="R47" i="1" s="1"/>
  <c r="CT47" i="1"/>
  <c r="CV47" i="1"/>
  <c r="U47" i="1" s="1"/>
  <c r="CW47" i="1"/>
  <c r="CX47" i="1"/>
  <c r="W47" i="1" s="1"/>
  <c r="GL47" i="1"/>
  <c r="GO47" i="1"/>
  <c r="GP47" i="1"/>
  <c r="GV47" i="1"/>
  <c r="HC47" i="1" s="1"/>
  <c r="GX47" i="1" s="1"/>
  <c r="I48" i="1"/>
  <c r="S48" i="1" s="1"/>
  <c r="V48" i="1"/>
  <c r="AC48" i="1"/>
  <c r="AB48" i="1" s="1"/>
  <c r="AD48" i="1"/>
  <c r="AE48" i="1"/>
  <c r="AF48" i="1"/>
  <c r="AG48" i="1"/>
  <c r="CU48" i="1" s="1"/>
  <c r="T48" i="1" s="1"/>
  <c r="AH48" i="1"/>
  <c r="AI48" i="1"/>
  <c r="AJ48" i="1"/>
  <c r="CQ48" i="1"/>
  <c r="P48" i="1" s="1"/>
  <c r="CP48" i="1" s="1"/>
  <c r="O48" i="1" s="1"/>
  <c r="CR48" i="1"/>
  <c r="Q48" i="1" s="1"/>
  <c r="CS48" i="1"/>
  <c r="R48" i="1" s="1"/>
  <c r="CT48" i="1"/>
  <c r="CV48" i="1"/>
  <c r="U48" i="1" s="1"/>
  <c r="CW48" i="1"/>
  <c r="CX48" i="1"/>
  <c r="W48" i="1" s="1"/>
  <c r="GL48" i="1"/>
  <c r="GO48" i="1"/>
  <c r="GP48" i="1"/>
  <c r="GV48" i="1"/>
  <c r="HC48" i="1" s="1"/>
  <c r="GX48" i="1" s="1"/>
  <c r="I49" i="1"/>
  <c r="S49" i="1" s="1"/>
  <c r="V49" i="1"/>
  <c r="AC49" i="1"/>
  <c r="AB49" i="1" s="1"/>
  <c r="AD49" i="1"/>
  <c r="AE49" i="1"/>
  <c r="AF49" i="1"/>
  <c r="AG49" i="1"/>
  <c r="CU49" i="1" s="1"/>
  <c r="T49" i="1" s="1"/>
  <c r="AH49" i="1"/>
  <c r="CV49" i="1" s="1"/>
  <c r="U49" i="1" s="1"/>
  <c r="AI49" i="1"/>
  <c r="AJ49" i="1"/>
  <c r="CQ49" i="1"/>
  <c r="P49" i="1" s="1"/>
  <c r="CP49" i="1" s="1"/>
  <c r="O49" i="1" s="1"/>
  <c r="CR49" i="1"/>
  <c r="Q49" i="1" s="1"/>
  <c r="CS49" i="1"/>
  <c r="R49" i="1" s="1"/>
  <c r="CT49" i="1"/>
  <c r="CW49" i="1"/>
  <c r="CX49" i="1"/>
  <c r="W49" i="1" s="1"/>
  <c r="GL49" i="1"/>
  <c r="GO49" i="1"/>
  <c r="GP49" i="1"/>
  <c r="GV49" i="1"/>
  <c r="HC49" i="1" s="1"/>
  <c r="GX49" i="1" s="1"/>
  <c r="C50" i="1"/>
  <c r="D50" i="1"/>
  <c r="I50" i="1"/>
  <c r="K50" i="1"/>
  <c r="AC50" i="1"/>
  <c r="AE50" i="1"/>
  <c r="AD50" i="1" s="1"/>
  <c r="AF50" i="1"/>
  <c r="AG50" i="1"/>
  <c r="AH50" i="1"/>
  <c r="AI50" i="1"/>
  <c r="AJ50" i="1"/>
  <c r="CQ50" i="1"/>
  <c r="CR50" i="1"/>
  <c r="CS50" i="1"/>
  <c r="CT50" i="1"/>
  <c r="CU50" i="1"/>
  <c r="T50" i="1" s="1"/>
  <c r="CV50" i="1"/>
  <c r="CW50" i="1"/>
  <c r="CX50" i="1"/>
  <c r="W50" i="1" s="1"/>
  <c r="GL50" i="1"/>
  <c r="GO50" i="1"/>
  <c r="GP50" i="1"/>
  <c r="GV50" i="1"/>
  <c r="HC50" i="1" s="1"/>
  <c r="GX50" i="1" s="1"/>
  <c r="I51" i="1"/>
  <c r="P51" i="1"/>
  <c r="S51" i="1"/>
  <c r="CZ51" i="1" s="1"/>
  <c r="Y51" i="1" s="1"/>
  <c r="V51" i="1"/>
  <c r="AC51" i="1"/>
  <c r="AB51" i="1" s="1"/>
  <c r="AE51" i="1"/>
  <c r="AD51" i="1" s="1"/>
  <c r="AF51" i="1"/>
  <c r="AG51" i="1"/>
  <c r="AH51" i="1"/>
  <c r="CV51" i="1" s="1"/>
  <c r="U51" i="1" s="1"/>
  <c r="AI51" i="1"/>
  <c r="AJ51" i="1"/>
  <c r="CQ51" i="1"/>
  <c r="CR51" i="1"/>
  <c r="Q51" i="1" s="1"/>
  <c r="CP51" i="1" s="1"/>
  <c r="O51" i="1" s="1"/>
  <c r="CS51" i="1"/>
  <c r="R51" i="1" s="1"/>
  <c r="CT51" i="1"/>
  <c r="CU51" i="1"/>
  <c r="T51" i="1" s="1"/>
  <c r="CW51" i="1"/>
  <c r="CX51" i="1"/>
  <c r="W51" i="1" s="1"/>
  <c r="GL51" i="1"/>
  <c r="GO51" i="1"/>
  <c r="GP51" i="1"/>
  <c r="GV51" i="1"/>
  <c r="HC51" i="1" s="1"/>
  <c r="GX51" i="1" s="1"/>
  <c r="I52" i="1"/>
  <c r="P52" i="1" s="1"/>
  <c r="S52" i="1"/>
  <c r="AC52" i="1"/>
  <c r="AB52" i="1" s="1"/>
  <c r="AE52" i="1"/>
  <c r="AD52" i="1" s="1"/>
  <c r="AF52" i="1"/>
  <c r="AG52" i="1"/>
  <c r="AH52" i="1"/>
  <c r="CV52" i="1" s="1"/>
  <c r="U52" i="1" s="1"/>
  <c r="AI52" i="1"/>
  <c r="CW52" i="1" s="1"/>
  <c r="V52" i="1" s="1"/>
  <c r="AJ52" i="1"/>
  <c r="CP52" i="1"/>
  <c r="O52" i="1" s="1"/>
  <c r="CQ52" i="1"/>
  <c r="CR52" i="1"/>
  <c r="Q52" i="1" s="1"/>
  <c r="CS52" i="1"/>
  <c r="R52" i="1" s="1"/>
  <c r="CT52" i="1"/>
  <c r="CU52" i="1"/>
  <c r="T52" i="1" s="1"/>
  <c r="CX52" i="1"/>
  <c r="W52" i="1" s="1"/>
  <c r="GL52" i="1"/>
  <c r="GO52" i="1"/>
  <c r="GP52" i="1"/>
  <c r="GV52" i="1"/>
  <c r="HC52" i="1" s="1"/>
  <c r="GX52" i="1" s="1"/>
  <c r="C53" i="1"/>
  <c r="D53" i="1"/>
  <c r="I53" i="1"/>
  <c r="K53" i="1"/>
  <c r="AC53" i="1"/>
  <c r="AE53" i="1"/>
  <c r="AD53" i="1" s="1"/>
  <c r="AF53" i="1"/>
  <c r="AG53" i="1"/>
  <c r="AH53" i="1"/>
  <c r="AI53" i="1"/>
  <c r="AJ53" i="1"/>
  <c r="CQ53" i="1"/>
  <c r="CR53" i="1"/>
  <c r="CS53" i="1"/>
  <c r="CT53" i="1"/>
  <c r="CU53" i="1"/>
  <c r="T53" i="1" s="1"/>
  <c r="CV53" i="1"/>
  <c r="CW53" i="1"/>
  <c r="CX53" i="1"/>
  <c r="W53" i="1" s="1"/>
  <c r="GL53" i="1"/>
  <c r="GO53" i="1"/>
  <c r="GP53" i="1"/>
  <c r="GV53" i="1"/>
  <c r="HC53" i="1"/>
  <c r="GX53" i="1" s="1"/>
  <c r="I54" i="1"/>
  <c r="S54" i="1" s="1"/>
  <c r="P54" i="1"/>
  <c r="AC54" i="1"/>
  <c r="AE54" i="1"/>
  <c r="AD54" i="1" s="1"/>
  <c r="AF54" i="1"/>
  <c r="AG54" i="1"/>
  <c r="AH54" i="1"/>
  <c r="CV54" i="1" s="1"/>
  <c r="U54" i="1" s="1"/>
  <c r="AI54" i="1"/>
  <c r="CW54" i="1" s="1"/>
  <c r="V54" i="1" s="1"/>
  <c r="AJ54" i="1"/>
  <c r="CQ54" i="1"/>
  <c r="CR54" i="1"/>
  <c r="Q54" i="1" s="1"/>
  <c r="CS54" i="1"/>
  <c r="R54" i="1" s="1"/>
  <c r="CZ54" i="1" s="1"/>
  <c r="Y54" i="1" s="1"/>
  <c r="CT54" i="1"/>
  <c r="CU54" i="1"/>
  <c r="T54" i="1" s="1"/>
  <c r="CX54" i="1"/>
  <c r="W54" i="1" s="1"/>
  <c r="GL54" i="1"/>
  <c r="GO54" i="1"/>
  <c r="GP54" i="1"/>
  <c r="GV54" i="1"/>
  <c r="HC54" i="1" s="1"/>
  <c r="GX54" i="1" s="1"/>
  <c r="C55" i="1"/>
  <c r="D55" i="1"/>
  <c r="U55" i="1"/>
  <c r="AC55" i="1"/>
  <c r="AE55" i="1"/>
  <c r="AD55" i="1" s="1"/>
  <c r="AF55" i="1"/>
  <c r="AG55" i="1"/>
  <c r="AH55" i="1"/>
  <c r="AI55" i="1"/>
  <c r="AJ55" i="1"/>
  <c r="CX55" i="1" s="1"/>
  <c r="W55" i="1" s="1"/>
  <c r="CQ55" i="1"/>
  <c r="CR55" i="1"/>
  <c r="CS55" i="1"/>
  <c r="CT55" i="1"/>
  <c r="CU55" i="1"/>
  <c r="T55" i="1" s="1"/>
  <c r="AG63" i="1" s="1"/>
  <c r="CV55" i="1"/>
  <c r="CW55" i="1"/>
  <c r="GL55" i="1"/>
  <c r="BZ63" i="1" s="1"/>
  <c r="BZ22" i="1" s="1"/>
  <c r="GO55" i="1"/>
  <c r="GP55" i="1"/>
  <c r="GV55" i="1"/>
  <c r="HC55" i="1"/>
  <c r="GX55" i="1" s="1"/>
  <c r="I56" i="1"/>
  <c r="R56" i="1"/>
  <c r="U56" i="1"/>
  <c r="AC56" i="1"/>
  <c r="AE56" i="1"/>
  <c r="AD56" i="1" s="1"/>
  <c r="AB56" i="1" s="1"/>
  <c r="AF56" i="1"/>
  <c r="AG56" i="1"/>
  <c r="AH56" i="1"/>
  <c r="AI56" i="1"/>
  <c r="AJ56" i="1"/>
  <c r="CX56" i="1" s="1"/>
  <c r="W56" i="1" s="1"/>
  <c r="CQ56" i="1"/>
  <c r="P56" i="1" s="1"/>
  <c r="CR56" i="1"/>
  <c r="Q56" i="1" s="1"/>
  <c r="CS56" i="1"/>
  <c r="CT56" i="1"/>
  <c r="S56" i="1" s="1"/>
  <c r="CU56" i="1"/>
  <c r="T56" i="1" s="1"/>
  <c r="CV56" i="1"/>
  <c r="CW56" i="1"/>
  <c r="V56" i="1" s="1"/>
  <c r="GL56" i="1"/>
  <c r="GO56" i="1"/>
  <c r="GP56" i="1"/>
  <c r="GV56" i="1"/>
  <c r="HC56" i="1"/>
  <c r="GX56" i="1" s="1"/>
  <c r="I57" i="1"/>
  <c r="R57" i="1"/>
  <c r="U57" i="1"/>
  <c r="AC57" i="1"/>
  <c r="AE57" i="1"/>
  <c r="AD57" i="1" s="1"/>
  <c r="AB57" i="1" s="1"/>
  <c r="AF57" i="1"/>
  <c r="AG57" i="1"/>
  <c r="AH57" i="1"/>
  <c r="AI57" i="1"/>
  <c r="AJ57" i="1"/>
  <c r="CX57" i="1" s="1"/>
  <c r="W57" i="1" s="1"/>
  <c r="CQ57" i="1"/>
  <c r="P57" i="1" s="1"/>
  <c r="CP57" i="1" s="1"/>
  <c r="O57" i="1" s="1"/>
  <c r="CR57" i="1"/>
  <c r="Q57" i="1" s="1"/>
  <c r="CS57" i="1"/>
  <c r="CT57" i="1"/>
  <c r="S57" i="1" s="1"/>
  <c r="CU57" i="1"/>
  <c r="T57" i="1" s="1"/>
  <c r="CV57" i="1"/>
  <c r="CW57" i="1"/>
  <c r="V57" i="1" s="1"/>
  <c r="GL57" i="1"/>
  <c r="GO57" i="1"/>
  <c r="GP57" i="1"/>
  <c r="GV57" i="1"/>
  <c r="HC57" i="1"/>
  <c r="GX57" i="1" s="1"/>
  <c r="I58" i="1"/>
  <c r="R58" i="1"/>
  <c r="U58" i="1"/>
  <c r="AC58" i="1"/>
  <c r="AE58" i="1"/>
  <c r="AD58" i="1" s="1"/>
  <c r="AB58" i="1" s="1"/>
  <c r="AF58" i="1"/>
  <c r="AG58" i="1"/>
  <c r="AH58" i="1"/>
  <c r="AI58" i="1"/>
  <c r="AJ58" i="1"/>
  <c r="CX58" i="1" s="1"/>
  <c r="W58" i="1" s="1"/>
  <c r="CQ58" i="1"/>
  <c r="P58" i="1" s="1"/>
  <c r="CR58" i="1"/>
  <c r="Q58" i="1" s="1"/>
  <c r="CS58" i="1"/>
  <c r="CT58" i="1"/>
  <c r="S58" i="1" s="1"/>
  <c r="CU58" i="1"/>
  <c r="T58" i="1" s="1"/>
  <c r="CV58" i="1"/>
  <c r="CW58" i="1"/>
  <c r="V58" i="1" s="1"/>
  <c r="GL58" i="1"/>
  <c r="GO58" i="1"/>
  <c r="GP58" i="1"/>
  <c r="GV58" i="1"/>
  <c r="HC58" i="1"/>
  <c r="GX58" i="1" s="1"/>
  <c r="V59" i="1"/>
  <c r="AC59" i="1"/>
  <c r="AB59" i="1" s="1"/>
  <c r="AE59" i="1"/>
  <c r="AD59" i="1" s="1"/>
  <c r="AF59" i="1"/>
  <c r="AG59" i="1"/>
  <c r="CU59" i="1" s="1"/>
  <c r="T59" i="1" s="1"/>
  <c r="AH59" i="1"/>
  <c r="AI59" i="1"/>
  <c r="AJ59" i="1"/>
  <c r="CQ59" i="1"/>
  <c r="P59" i="1" s="1"/>
  <c r="CR59" i="1"/>
  <c r="Q59" i="1" s="1"/>
  <c r="CS59" i="1"/>
  <c r="R59" i="1" s="1"/>
  <c r="CT59" i="1"/>
  <c r="S59" i="1" s="1"/>
  <c r="CV59" i="1"/>
  <c r="U59" i="1" s="1"/>
  <c r="CW59" i="1"/>
  <c r="CX59" i="1"/>
  <c r="W59" i="1" s="1"/>
  <c r="GL59" i="1"/>
  <c r="GO59" i="1"/>
  <c r="GP59" i="1"/>
  <c r="GV59" i="1"/>
  <c r="HC59" i="1" s="1"/>
  <c r="GX59" i="1" s="1"/>
  <c r="C60" i="1"/>
  <c r="D60" i="1"/>
  <c r="I60" i="1"/>
  <c r="K60" i="1"/>
  <c r="AC60" i="1"/>
  <c r="AE60" i="1"/>
  <c r="AD60" i="1" s="1"/>
  <c r="AF60" i="1"/>
  <c r="AG60" i="1"/>
  <c r="AH60" i="1"/>
  <c r="AI60" i="1"/>
  <c r="AJ60" i="1"/>
  <c r="CQ60" i="1"/>
  <c r="CR60" i="1"/>
  <c r="CS60" i="1"/>
  <c r="CT60" i="1"/>
  <c r="CU60" i="1"/>
  <c r="T60" i="1" s="1"/>
  <c r="CV60" i="1"/>
  <c r="CW60" i="1"/>
  <c r="CX60" i="1"/>
  <c r="W60" i="1" s="1"/>
  <c r="GL60" i="1"/>
  <c r="GO60" i="1"/>
  <c r="GP60" i="1"/>
  <c r="GV60" i="1"/>
  <c r="HC60" i="1" s="1"/>
  <c r="GX60" i="1" s="1"/>
  <c r="I61" i="1"/>
  <c r="S61" i="1"/>
  <c r="AC61" i="1"/>
  <c r="AE61" i="1"/>
  <c r="AD61" i="1" s="1"/>
  <c r="AF61" i="1"/>
  <c r="AG61" i="1"/>
  <c r="AH61" i="1"/>
  <c r="AI61" i="1"/>
  <c r="CW61" i="1" s="1"/>
  <c r="V61" i="1" s="1"/>
  <c r="AJ61" i="1"/>
  <c r="CQ61" i="1"/>
  <c r="P61" i="1" s="1"/>
  <c r="CR61" i="1"/>
  <c r="Q61" i="1" s="1"/>
  <c r="CS61" i="1"/>
  <c r="R61" i="1" s="1"/>
  <c r="CT61" i="1"/>
  <c r="CU61" i="1"/>
  <c r="T61" i="1" s="1"/>
  <c r="CV61" i="1"/>
  <c r="U61" i="1" s="1"/>
  <c r="CX61" i="1"/>
  <c r="W61" i="1" s="1"/>
  <c r="GL61" i="1"/>
  <c r="GO61" i="1"/>
  <c r="GP61" i="1"/>
  <c r="GV61" i="1"/>
  <c r="HC61" i="1" s="1"/>
  <c r="GX61" i="1" s="1"/>
  <c r="B63" i="1"/>
  <c r="B22" i="1" s="1"/>
  <c r="C63" i="1"/>
  <c r="C22" i="1" s="1"/>
  <c r="D63" i="1"/>
  <c r="D22" i="1" s="1"/>
  <c r="F63" i="1"/>
  <c r="F22" i="1" s="1"/>
  <c r="G63" i="1"/>
  <c r="G22" i="1" s="1"/>
  <c r="BX63" i="1"/>
  <c r="BX22" i="1" s="1"/>
  <c r="BY63" i="1"/>
  <c r="BY22" i="1" s="1"/>
  <c r="CC63" i="1"/>
  <c r="CC22" i="1" s="1"/>
  <c r="CD63" i="1"/>
  <c r="CD22" i="1" s="1"/>
  <c r="CK63" i="1"/>
  <c r="CK22" i="1" s="1"/>
  <c r="CL63" i="1"/>
  <c r="CL22" i="1" s="1"/>
  <c r="CM63" i="1"/>
  <c r="CM22" i="1" s="1"/>
  <c r="B96" i="1"/>
  <c r="B18" i="1" s="1"/>
  <c r="C96" i="1"/>
  <c r="C18" i="1" s="1"/>
  <c r="D96" i="1"/>
  <c r="D18" i="1" s="1"/>
  <c r="F96" i="1"/>
  <c r="F18" i="1" s="1"/>
  <c r="G96" i="1"/>
  <c r="G18" i="1" s="1"/>
  <c r="F12" i="6"/>
  <c r="G12" i="6"/>
  <c r="AO144" i="7" l="1"/>
  <c r="K144" i="7"/>
  <c r="I144" i="7" s="1"/>
  <c r="L91" i="7"/>
  <c r="L276" i="7"/>
  <c r="K40" i="7"/>
  <c r="K95" i="7"/>
  <c r="I95" i="7" s="1"/>
  <c r="AO192" i="7"/>
  <c r="AN192" i="7"/>
  <c r="K192" i="7"/>
  <c r="I192" i="7" s="1"/>
  <c r="L187" i="7"/>
  <c r="L247" i="7"/>
  <c r="L241" i="7"/>
  <c r="L290" i="7" s="1"/>
  <c r="L271" i="7"/>
  <c r="L212" i="7"/>
  <c r="L64" i="7"/>
  <c r="L200" i="7"/>
  <c r="K39" i="7"/>
  <c r="L283" i="7"/>
  <c r="L137" i="7"/>
  <c r="L164" i="7"/>
  <c r="AN144" i="7"/>
  <c r="AB30" i="1"/>
  <c r="AB55" i="1"/>
  <c r="AB40" i="1"/>
  <c r="AB25" i="1"/>
  <c r="AB44" i="1"/>
  <c r="AB36" i="1"/>
  <c r="AB38" i="1"/>
  <c r="AB34" i="1"/>
  <c r="AB60" i="1"/>
  <c r="CY58" i="1"/>
  <c r="X58" i="1" s="1"/>
  <c r="CZ58" i="1"/>
  <c r="Y58" i="1" s="1"/>
  <c r="AG22" i="1"/>
  <c r="T63" i="1"/>
  <c r="CJ63" i="1"/>
  <c r="CP58" i="1"/>
  <c r="O58" i="1" s="1"/>
  <c r="GM58" i="1" s="1"/>
  <c r="GN58" i="1" s="1"/>
  <c r="AB61" i="1"/>
  <c r="CP61" i="1"/>
  <c r="O61" i="1" s="1"/>
  <c r="CY61" i="1"/>
  <c r="X61" i="1" s="1"/>
  <c r="CY59" i="1"/>
  <c r="X59" i="1" s="1"/>
  <c r="CZ59" i="1"/>
  <c r="Y59" i="1" s="1"/>
  <c r="CY56" i="1"/>
  <c r="X56" i="1" s="1"/>
  <c r="CZ56" i="1"/>
  <c r="Y56" i="1" s="1"/>
  <c r="CY57" i="1"/>
  <c r="X57" i="1" s="1"/>
  <c r="GM57" i="1" s="1"/>
  <c r="GN57" i="1" s="1"/>
  <c r="CZ57" i="1"/>
  <c r="Y57" i="1" s="1"/>
  <c r="AJ63" i="1"/>
  <c r="CP59" i="1"/>
  <c r="O59" i="1" s="1"/>
  <c r="CP56" i="1"/>
  <c r="O56" i="1" s="1"/>
  <c r="BD63" i="1"/>
  <c r="CY47" i="1"/>
  <c r="X47" i="1" s="1"/>
  <c r="CZ47" i="1"/>
  <c r="Y47" i="1" s="1"/>
  <c r="CY45" i="1"/>
  <c r="X45" i="1" s="1"/>
  <c r="CZ45" i="1"/>
  <c r="Y45" i="1" s="1"/>
  <c r="CP27" i="1"/>
  <c r="O27" i="1" s="1"/>
  <c r="CG63" i="1"/>
  <c r="BC63" i="1"/>
  <c r="AU63" i="1"/>
  <c r="CP43" i="1"/>
  <c r="O43" i="1" s="1"/>
  <c r="CY41" i="1"/>
  <c r="X41" i="1" s="1"/>
  <c r="CZ41" i="1"/>
  <c r="Y41" i="1" s="1"/>
  <c r="GM41" i="1" s="1"/>
  <c r="GN41" i="1" s="1"/>
  <c r="BB63" i="1"/>
  <c r="AT63" i="1"/>
  <c r="CY43" i="1"/>
  <c r="X43" i="1" s="1"/>
  <c r="CZ43" i="1"/>
  <c r="Y43" i="1" s="1"/>
  <c r="CY39" i="1"/>
  <c r="X39" i="1" s="1"/>
  <c r="CZ39" i="1"/>
  <c r="Y39" i="1" s="1"/>
  <c r="GM39" i="1" s="1"/>
  <c r="GN39" i="1" s="1"/>
  <c r="CP31" i="1"/>
  <c r="O31" i="1" s="1"/>
  <c r="GM31" i="1" s="1"/>
  <c r="GN31" i="1" s="1"/>
  <c r="CZ61" i="1"/>
  <c r="Y61" i="1" s="1"/>
  <c r="CU107" i="3"/>
  <c r="CX111" i="3"/>
  <c r="CV107" i="3"/>
  <c r="U60" i="1" s="1"/>
  <c r="CX116" i="3"/>
  <c r="CX107" i="3"/>
  <c r="CX109" i="3"/>
  <c r="CX112" i="3"/>
  <c r="CP46" i="1"/>
  <c r="O46" i="1" s="1"/>
  <c r="CY37" i="1"/>
  <c r="X37" i="1" s="1"/>
  <c r="CZ37" i="1"/>
  <c r="Y37" i="1" s="1"/>
  <c r="AB32" i="1"/>
  <c r="CI63" i="1"/>
  <c r="AB54" i="1"/>
  <c r="AB53" i="1"/>
  <c r="CY48" i="1"/>
  <c r="X48" i="1" s="1"/>
  <c r="GM48" i="1" s="1"/>
  <c r="GN48" i="1" s="1"/>
  <c r="CZ48" i="1"/>
  <c r="Y48" i="1" s="1"/>
  <c r="CY46" i="1"/>
  <c r="X46" i="1" s="1"/>
  <c r="CZ46" i="1"/>
  <c r="Y46" i="1" s="1"/>
  <c r="CP42" i="1"/>
  <c r="O42" i="1" s="1"/>
  <c r="CZ31" i="1"/>
  <c r="Y31" i="1" s="1"/>
  <c r="AQ63" i="1"/>
  <c r="CZ52" i="1"/>
  <c r="Y52" i="1" s="1"/>
  <c r="CY52" i="1"/>
  <c r="X52" i="1" s="1"/>
  <c r="GM52" i="1" s="1"/>
  <c r="GN52" i="1" s="1"/>
  <c r="CY42" i="1"/>
  <c r="X42" i="1" s="1"/>
  <c r="CZ42" i="1"/>
  <c r="Y42" i="1" s="1"/>
  <c r="AP63" i="1"/>
  <c r="CP54" i="1"/>
  <c r="O54" i="1" s="1"/>
  <c r="AB47" i="1"/>
  <c r="AB45" i="1"/>
  <c r="CP37" i="1"/>
  <c r="O37" i="1" s="1"/>
  <c r="CY29" i="1"/>
  <c r="X29" i="1" s="1"/>
  <c r="GM29" i="1" s="1"/>
  <c r="GN29" i="1" s="1"/>
  <c r="CZ29" i="1"/>
  <c r="Y29" i="1" s="1"/>
  <c r="AO63" i="1"/>
  <c r="CY54" i="1"/>
  <c r="X54" i="1" s="1"/>
  <c r="AB50" i="1"/>
  <c r="CY49" i="1"/>
  <c r="X49" i="1" s="1"/>
  <c r="GM49" i="1" s="1"/>
  <c r="GN49" i="1" s="1"/>
  <c r="CZ49" i="1"/>
  <c r="Y49" i="1" s="1"/>
  <c r="CP47" i="1"/>
  <c r="O47" i="1" s="1"/>
  <c r="GM47" i="1" s="1"/>
  <c r="GN47" i="1" s="1"/>
  <c r="CP45" i="1"/>
  <c r="O45" i="1" s="1"/>
  <c r="GM45" i="1" s="1"/>
  <c r="GN45" i="1" s="1"/>
  <c r="CY33" i="1"/>
  <c r="X33" i="1" s="1"/>
  <c r="CZ33" i="1"/>
  <c r="Y33" i="1" s="1"/>
  <c r="CY51" i="1"/>
  <c r="X51" i="1" s="1"/>
  <c r="GM51" i="1" s="1"/>
  <c r="GN51" i="1" s="1"/>
  <c r="CU21" i="3"/>
  <c r="CX21" i="3"/>
  <c r="AB24" i="1"/>
  <c r="CX113" i="3"/>
  <c r="CX108" i="3"/>
  <c r="DF101" i="3"/>
  <c r="DJ101" i="3" s="1"/>
  <c r="DG101" i="3"/>
  <c r="DH101" i="3"/>
  <c r="DI101" i="3"/>
  <c r="CW92" i="3"/>
  <c r="CX114" i="3"/>
  <c r="DH102" i="3"/>
  <c r="DI102" i="3"/>
  <c r="DF102" i="3"/>
  <c r="DJ102" i="3" s="1"/>
  <c r="DG102" i="3"/>
  <c r="CX93" i="3"/>
  <c r="CX56" i="3"/>
  <c r="CX50" i="3"/>
  <c r="CX58" i="3"/>
  <c r="CU55" i="3"/>
  <c r="CX71" i="3"/>
  <c r="CW58" i="3"/>
  <c r="CW60" i="3"/>
  <c r="CX67" i="3"/>
  <c r="CX60" i="3"/>
  <c r="CX68" i="3"/>
  <c r="CX63" i="3"/>
  <c r="CX27" i="3"/>
  <c r="CU27" i="3"/>
  <c r="CV27" i="3"/>
  <c r="U34" i="1" s="1"/>
  <c r="CX29" i="3"/>
  <c r="P33" i="1"/>
  <c r="CP33" i="1" s="1"/>
  <c r="O33" i="1" s="1"/>
  <c r="GM33" i="1" s="1"/>
  <c r="GN33" i="1" s="1"/>
  <c r="CZ26" i="1"/>
  <c r="Y26" i="1" s="1"/>
  <c r="CW109" i="3"/>
  <c r="CX94" i="3"/>
  <c r="CX78" i="3"/>
  <c r="CX115" i="3"/>
  <c r="CW110" i="3"/>
  <c r="DF103" i="3"/>
  <c r="DJ103" i="3" s="1"/>
  <c r="DG103" i="3"/>
  <c r="DH103" i="3"/>
  <c r="DI103" i="3"/>
  <c r="CV89" i="3"/>
  <c r="CW41" i="3"/>
  <c r="CU88" i="3"/>
  <c r="CX87" i="3"/>
  <c r="CV88" i="3"/>
  <c r="CX88" i="3"/>
  <c r="CX92" i="3"/>
  <c r="CU86" i="3"/>
  <c r="CU87" i="3"/>
  <c r="CX90" i="3"/>
  <c r="CX96" i="3"/>
  <c r="CV87" i="3"/>
  <c r="CU89" i="3"/>
  <c r="S35" i="1"/>
  <c r="CP35" i="1" s="1"/>
  <c r="O35" i="1" s="1"/>
  <c r="DI105" i="3"/>
  <c r="DF105" i="3"/>
  <c r="DJ105" i="3" s="1"/>
  <c r="DG105" i="3"/>
  <c r="DH105" i="3"/>
  <c r="CX95" i="3"/>
  <c r="CU38" i="3"/>
  <c r="CX44" i="3"/>
  <c r="CX52" i="3"/>
  <c r="CV38" i="3"/>
  <c r="U40" i="1" s="1"/>
  <c r="CX45" i="3"/>
  <c r="CX38" i="3"/>
  <c r="CX40" i="3"/>
  <c r="CX49" i="3"/>
  <c r="CX42" i="3"/>
  <c r="CX53" i="3"/>
  <c r="CU24" i="3"/>
  <c r="CX24" i="3"/>
  <c r="CV24" i="3"/>
  <c r="U32" i="1" s="1"/>
  <c r="CY27" i="1"/>
  <c r="X27" i="1" s="1"/>
  <c r="DF106" i="3"/>
  <c r="DJ106" i="3" s="1"/>
  <c r="DG106" i="3"/>
  <c r="DH106" i="3"/>
  <c r="DI106" i="3"/>
  <c r="AB26" i="1"/>
  <c r="CP26" i="1"/>
  <c r="O26" i="1" s="1"/>
  <c r="GM26" i="1" s="1"/>
  <c r="GN26" i="1" s="1"/>
  <c r="CW91" i="3"/>
  <c r="V53" i="1" s="1"/>
  <c r="CW75" i="3"/>
  <c r="CX84" i="3"/>
  <c r="CW77" i="3"/>
  <c r="CX80" i="3"/>
  <c r="CX75" i="3"/>
  <c r="CX85" i="3"/>
  <c r="CU72" i="3"/>
  <c r="CX81" i="3"/>
  <c r="CX73" i="3"/>
  <c r="CX77" i="3"/>
  <c r="CX82" i="3"/>
  <c r="CU19" i="3"/>
  <c r="CX19" i="3"/>
  <c r="CX20" i="3"/>
  <c r="DH99" i="3"/>
  <c r="DI99" i="3"/>
  <c r="DF99" i="3"/>
  <c r="DG99" i="3"/>
  <c r="CW76" i="3"/>
  <c r="DI100" i="3"/>
  <c r="CW99" i="3"/>
  <c r="V55" i="1" s="1"/>
  <c r="CX83" i="3"/>
  <c r="CX74" i="3"/>
  <c r="CX69" i="3"/>
  <c r="CV55" i="3"/>
  <c r="U44" i="1" s="1"/>
  <c r="CX54" i="3"/>
  <c r="CW43" i="3"/>
  <c r="CX43" i="3"/>
  <c r="DG6" i="3"/>
  <c r="DH6" i="3"/>
  <c r="DI6" i="3"/>
  <c r="DJ6" i="3" s="1"/>
  <c r="DF6" i="3"/>
  <c r="CX62" i="3"/>
  <c r="CX61" i="3"/>
  <c r="DH37" i="3"/>
  <c r="DI37" i="3"/>
  <c r="DH36" i="3"/>
  <c r="DI36" i="3"/>
  <c r="DF36" i="3"/>
  <c r="DJ36" i="3" s="1"/>
  <c r="CX4" i="3"/>
  <c r="CX3" i="3"/>
  <c r="CU1" i="3"/>
  <c r="CV1" i="3"/>
  <c r="U24" i="1" s="1"/>
  <c r="AH63" i="1" s="1"/>
  <c r="CX1" i="3"/>
  <c r="DG100" i="3"/>
  <c r="DJ100" i="3" s="1"/>
  <c r="CX97" i="3"/>
  <c r="CX51" i="3"/>
  <c r="CW42" i="3"/>
  <c r="DF35" i="3"/>
  <c r="DG35" i="3"/>
  <c r="CV30" i="3"/>
  <c r="U36" i="1" s="1"/>
  <c r="CX30" i="3"/>
  <c r="CX23" i="3"/>
  <c r="CX22" i="3"/>
  <c r="CX110" i="3"/>
  <c r="CX91" i="3"/>
  <c r="DG37" i="3"/>
  <c r="DG36" i="3"/>
  <c r="DI35" i="3"/>
  <c r="CX28" i="3"/>
  <c r="DI104" i="3"/>
  <c r="DI98" i="3"/>
  <c r="DJ98" i="3" s="1"/>
  <c r="CV86" i="3"/>
  <c r="U53" i="1" s="1"/>
  <c r="CX86" i="3"/>
  <c r="CX76" i="3"/>
  <c r="CV72" i="3"/>
  <c r="U50" i="1" s="1"/>
  <c r="CX72" i="3"/>
  <c r="CW59" i="3"/>
  <c r="CX59" i="3"/>
  <c r="CX41" i="3"/>
  <c r="DF37" i="3"/>
  <c r="DJ37" i="3" s="1"/>
  <c r="CV21" i="3"/>
  <c r="U30" i="1" s="1"/>
  <c r="CX66" i="3"/>
  <c r="CW57" i="3"/>
  <c r="CX48" i="3"/>
  <c r="CW40" i="3"/>
  <c r="V40" i="1" s="1"/>
  <c r="CX39" i="3"/>
  <c r="DG104" i="3"/>
  <c r="DG98" i="3"/>
  <c r="CX89" i="3"/>
  <c r="CX79" i="3"/>
  <c r="CX65" i="3"/>
  <c r="CX47" i="3"/>
  <c r="CX46" i="3"/>
  <c r="DH34" i="3"/>
  <c r="R38" i="1" s="1"/>
  <c r="DI34" i="3"/>
  <c r="DG33" i="3"/>
  <c r="DH33" i="3"/>
  <c r="DG32" i="3"/>
  <c r="DH32" i="3"/>
  <c r="DI32" i="3"/>
  <c r="CX26" i="3"/>
  <c r="CX25" i="3"/>
  <c r="DG11" i="3"/>
  <c r="DH11" i="3"/>
  <c r="DI11" i="3"/>
  <c r="CW2" i="3"/>
  <c r="V24" i="1" s="1"/>
  <c r="CW74" i="3"/>
  <c r="V50" i="1" s="1"/>
  <c r="CX70" i="3"/>
  <c r="CX64" i="3"/>
  <c r="CX55" i="3"/>
  <c r="DF31" i="3"/>
  <c r="DI31" i="3"/>
  <c r="CV19" i="3"/>
  <c r="U28" i="1" s="1"/>
  <c r="DH18" i="3"/>
  <c r="DI18" i="3"/>
  <c r="DF18" i="3"/>
  <c r="DJ18" i="3" s="1"/>
  <c r="DF17" i="3"/>
  <c r="DJ17" i="3" s="1"/>
  <c r="DG17" i="3"/>
  <c r="DI17" i="3"/>
  <c r="DF16" i="3"/>
  <c r="DJ16" i="3" s="1"/>
  <c r="DG16" i="3"/>
  <c r="DH16" i="3"/>
  <c r="DG15" i="3"/>
  <c r="DH15" i="3"/>
  <c r="DI15" i="3"/>
  <c r="DF14" i="3"/>
  <c r="DJ14" i="3" s="1"/>
  <c r="DH14" i="3"/>
  <c r="DI14" i="3"/>
  <c r="DF12" i="3"/>
  <c r="DJ12" i="3" s="1"/>
  <c r="DG12" i="3"/>
  <c r="DH12" i="3"/>
  <c r="DG13" i="3"/>
  <c r="DF10" i="3"/>
  <c r="CX7" i="3"/>
  <c r="DF13" i="3"/>
  <c r="DJ13" i="3" s="1"/>
  <c r="DI8" i="3"/>
  <c r="DI5" i="3"/>
  <c r="CX57" i="3"/>
  <c r="CX9" i="3"/>
  <c r="DG5" i="3"/>
  <c r="CX2" i="3"/>
  <c r="L203" i="7" l="1"/>
  <c r="L201" i="7" s="1"/>
  <c r="L198" i="7" s="1"/>
  <c r="L196" i="7" s="1"/>
  <c r="L267" i="7" s="1"/>
  <c r="L274" i="7"/>
  <c r="L272" i="7" s="1"/>
  <c r="L269" i="7" s="1"/>
  <c r="DI64" i="3"/>
  <c r="DF64" i="3"/>
  <c r="DJ64" i="3" s="1"/>
  <c r="DG64" i="3"/>
  <c r="DH64" i="3"/>
  <c r="DG26" i="3"/>
  <c r="DH26" i="3"/>
  <c r="DF26" i="3"/>
  <c r="DJ26" i="3" s="1"/>
  <c r="DI26" i="3"/>
  <c r="DH46" i="3"/>
  <c r="DI46" i="3"/>
  <c r="DF46" i="3"/>
  <c r="DJ46" i="3" s="1"/>
  <c r="DG46" i="3"/>
  <c r="DF28" i="3"/>
  <c r="DJ28" i="3" s="1"/>
  <c r="DG28" i="3"/>
  <c r="DH28" i="3"/>
  <c r="DI28" i="3"/>
  <c r="DG30" i="3"/>
  <c r="Q36" i="1" s="1"/>
  <c r="DH30" i="3"/>
  <c r="R36" i="1" s="1"/>
  <c r="DF30" i="3"/>
  <c r="P36" i="1" s="1"/>
  <c r="DI30" i="3"/>
  <c r="DF1" i="3"/>
  <c r="DG1" i="3"/>
  <c r="DH1" i="3"/>
  <c r="DI1" i="3"/>
  <c r="DG43" i="3"/>
  <c r="DH43" i="3"/>
  <c r="DI43" i="3"/>
  <c r="DF43" i="3"/>
  <c r="DG80" i="3"/>
  <c r="DH80" i="3"/>
  <c r="DI80" i="3"/>
  <c r="DF80" i="3"/>
  <c r="DJ80" i="3" s="1"/>
  <c r="DF42" i="3"/>
  <c r="DG42" i="3"/>
  <c r="DH42" i="3"/>
  <c r="DI42" i="3"/>
  <c r="DH87" i="3"/>
  <c r="DI87" i="3"/>
  <c r="DJ87" i="3" s="1"/>
  <c r="DF87" i="3"/>
  <c r="DG87" i="3"/>
  <c r="GM42" i="1"/>
  <c r="GN42" i="1" s="1"/>
  <c r="GM43" i="1"/>
  <c r="GN43" i="1" s="1"/>
  <c r="DH47" i="3"/>
  <c r="DI47" i="3"/>
  <c r="DF47" i="3"/>
  <c r="DJ47" i="3" s="1"/>
  <c r="DG47" i="3"/>
  <c r="AH22" i="1"/>
  <c r="U63" i="1"/>
  <c r="DI82" i="3"/>
  <c r="DF82" i="3"/>
  <c r="DJ82" i="3" s="1"/>
  <c r="DG82" i="3"/>
  <c r="DH82" i="3"/>
  <c r="DI49" i="3"/>
  <c r="DF49" i="3"/>
  <c r="DJ49" i="3" s="1"/>
  <c r="DG49" i="3"/>
  <c r="DH49" i="3"/>
  <c r="DG95" i="3"/>
  <c r="DH95" i="3"/>
  <c r="DI95" i="3"/>
  <c r="DF95" i="3"/>
  <c r="DJ95" i="3" s="1"/>
  <c r="DF96" i="3"/>
  <c r="DJ96" i="3" s="1"/>
  <c r="DG96" i="3"/>
  <c r="DH96" i="3"/>
  <c r="DI96" i="3"/>
  <c r="DF115" i="3"/>
  <c r="DJ115" i="3" s="1"/>
  <c r="DG115" i="3"/>
  <c r="DH115" i="3"/>
  <c r="DI115" i="3"/>
  <c r="DF71" i="3"/>
  <c r="DJ71" i="3" s="1"/>
  <c r="DG71" i="3"/>
  <c r="DH71" i="3"/>
  <c r="DI71" i="3"/>
  <c r="DH108" i="3"/>
  <c r="DI108" i="3"/>
  <c r="DJ108" i="3" s="1"/>
  <c r="DF108" i="3"/>
  <c r="DG108" i="3"/>
  <c r="DG111" i="3"/>
  <c r="DH111" i="3"/>
  <c r="DI111" i="3"/>
  <c r="DF111" i="3"/>
  <c r="DJ111" i="3" s="1"/>
  <c r="AU22" i="1"/>
  <c r="AU96" i="1"/>
  <c r="F82" i="1"/>
  <c r="CJ22" i="1"/>
  <c r="BA63" i="1"/>
  <c r="DG72" i="3"/>
  <c r="DH72" i="3"/>
  <c r="DF72" i="3"/>
  <c r="DI72" i="3"/>
  <c r="DH65" i="3"/>
  <c r="DI65" i="3"/>
  <c r="DF65" i="3"/>
  <c r="DJ65" i="3" s="1"/>
  <c r="DG65" i="3"/>
  <c r="V44" i="1"/>
  <c r="DJ35" i="3"/>
  <c r="Q38" i="1"/>
  <c r="DG61" i="3"/>
  <c r="DH61" i="3"/>
  <c r="DI61" i="3"/>
  <c r="DF61" i="3"/>
  <c r="DJ61" i="3" s="1"/>
  <c r="DH54" i="3"/>
  <c r="DI54" i="3"/>
  <c r="DF54" i="3"/>
  <c r="DJ54" i="3" s="1"/>
  <c r="DG54" i="3"/>
  <c r="DJ99" i="3"/>
  <c r="DF77" i="3"/>
  <c r="DG77" i="3"/>
  <c r="DJ77" i="3" s="1"/>
  <c r="DH77" i="3"/>
  <c r="DI77" i="3"/>
  <c r="DG84" i="3"/>
  <c r="DH84" i="3"/>
  <c r="DF84" i="3"/>
  <c r="DJ84" i="3" s="1"/>
  <c r="DI84" i="3"/>
  <c r="DI40" i="3"/>
  <c r="DF40" i="3"/>
  <c r="DG40" i="3"/>
  <c r="DH40" i="3"/>
  <c r="DF90" i="3"/>
  <c r="DG90" i="3"/>
  <c r="DH90" i="3"/>
  <c r="DI90" i="3"/>
  <c r="DJ90" i="3" s="1"/>
  <c r="DF78" i="3"/>
  <c r="DJ78" i="3" s="1"/>
  <c r="DI78" i="3"/>
  <c r="DG78" i="3"/>
  <c r="DH78" i="3"/>
  <c r="DH27" i="3"/>
  <c r="R34" i="1" s="1"/>
  <c r="DI27" i="3"/>
  <c r="DF27" i="3"/>
  <c r="P34" i="1" s="1"/>
  <c r="DG27" i="3"/>
  <c r="Q34" i="1" s="1"/>
  <c r="DF113" i="3"/>
  <c r="DJ113" i="3" s="1"/>
  <c r="DG113" i="3"/>
  <c r="DH113" i="3"/>
  <c r="DI113" i="3"/>
  <c r="GM37" i="1"/>
  <c r="GN37" i="1" s="1"/>
  <c r="BC22" i="1"/>
  <c r="BC96" i="1"/>
  <c r="F79" i="1"/>
  <c r="T22" i="1"/>
  <c r="T96" i="1"/>
  <c r="F84" i="1"/>
  <c r="DF2" i="3"/>
  <c r="DG2" i="3"/>
  <c r="DJ2" i="3" s="1"/>
  <c r="DH2" i="3"/>
  <c r="DI2" i="3"/>
  <c r="DF9" i="3"/>
  <c r="DG9" i="3"/>
  <c r="DJ9" i="3" s="1"/>
  <c r="DH9" i="3"/>
  <c r="DI9" i="3"/>
  <c r="DF57" i="3"/>
  <c r="DG57" i="3"/>
  <c r="DJ57" i="3" s="1"/>
  <c r="DH57" i="3"/>
  <c r="DI57" i="3"/>
  <c r="DH79" i="3"/>
  <c r="DI79" i="3"/>
  <c r="DF79" i="3"/>
  <c r="DJ79" i="3" s="1"/>
  <c r="DG79" i="3"/>
  <c r="DG66" i="3"/>
  <c r="DH66" i="3"/>
  <c r="DI66" i="3"/>
  <c r="DF66" i="3"/>
  <c r="DJ66" i="3" s="1"/>
  <c r="DH76" i="3"/>
  <c r="DI76" i="3"/>
  <c r="DF76" i="3"/>
  <c r="DG76" i="3"/>
  <c r="P38" i="1"/>
  <c r="DH3" i="3"/>
  <c r="DI3" i="3"/>
  <c r="DF3" i="3"/>
  <c r="DJ3" i="3" s="1"/>
  <c r="DG3" i="3"/>
  <c r="DG62" i="3"/>
  <c r="DH62" i="3"/>
  <c r="DF62" i="3"/>
  <c r="DJ62" i="3" s="1"/>
  <c r="DI62" i="3"/>
  <c r="DF73" i="3"/>
  <c r="DG73" i="3"/>
  <c r="DH73" i="3"/>
  <c r="DI73" i="3"/>
  <c r="DJ73" i="3" s="1"/>
  <c r="DF38" i="3"/>
  <c r="DI38" i="3"/>
  <c r="DH38" i="3"/>
  <c r="DG38" i="3"/>
  <c r="DF94" i="3"/>
  <c r="DJ94" i="3" s="1"/>
  <c r="DG94" i="3"/>
  <c r="DH94" i="3"/>
  <c r="DI94" i="3"/>
  <c r="DF63" i="3"/>
  <c r="DJ63" i="3" s="1"/>
  <c r="DG63" i="3"/>
  <c r="DH63" i="3"/>
  <c r="DI63" i="3"/>
  <c r="DH58" i="3"/>
  <c r="DI58" i="3"/>
  <c r="DF58" i="3"/>
  <c r="DG58" i="3"/>
  <c r="DJ58" i="3" s="1"/>
  <c r="DH114" i="3"/>
  <c r="DI114" i="3"/>
  <c r="DF114" i="3"/>
  <c r="DJ114" i="3" s="1"/>
  <c r="DG114" i="3"/>
  <c r="GM46" i="1"/>
  <c r="GN46" i="1" s="1"/>
  <c r="AT22" i="1"/>
  <c r="F81" i="1"/>
  <c r="F16" i="2" s="1"/>
  <c r="AT96" i="1"/>
  <c r="CG22" i="1"/>
  <c r="AX63" i="1"/>
  <c r="BD22" i="1"/>
  <c r="BD96" i="1"/>
  <c r="F88" i="1"/>
  <c r="DF48" i="3"/>
  <c r="DJ48" i="3" s="1"/>
  <c r="DG48" i="3"/>
  <c r="DH48" i="3"/>
  <c r="DI48" i="3"/>
  <c r="DG89" i="3"/>
  <c r="DH89" i="3"/>
  <c r="DI89" i="3"/>
  <c r="DJ89" i="3" s="1"/>
  <c r="DF89" i="3"/>
  <c r="DG86" i="3"/>
  <c r="DH86" i="3"/>
  <c r="DF86" i="3"/>
  <c r="DI86" i="3"/>
  <c r="DF91" i="3"/>
  <c r="DG91" i="3"/>
  <c r="DH91" i="3"/>
  <c r="DI91" i="3"/>
  <c r="DF4" i="3"/>
  <c r="DJ4" i="3" s="1"/>
  <c r="DG4" i="3"/>
  <c r="DH4" i="3"/>
  <c r="DI4" i="3"/>
  <c r="DH69" i="3"/>
  <c r="DI69" i="3"/>
  <c r="DF69" i="3"/>
  <c r="DJ69" i="3" s="1"/>
  <c r="DG69" i="3"/>
  <c r="DF81" i="3"/>
  <c r="DJ81" i="3" s="1"/>
  <c r="DG81" i="3"/>
  <c r="DH81" i="3"/>
  <c r="DI81" i="3"/>
  <c r="DF45" i="3"/>
  <c r="DJ45" i="3" s="1"/>
  <c r="DG45" i="3"/>
  <c r="DH45" i="3"/>
  <c r="DI45" i="3"/>
  <c r="V60" i="1"/>
  <c r="AI63" i="1" s="1"/>
  <c r="DF68" i="3"/>
  <c r="DJ68" i="3" s="1"/>
  <c r="DI68" i="3"/>
  <c r="DG68" i="3"/>
  <c r="DH68" i="3"/>
  <c r="DF50" i="3"/>
  <c r="DJ50" i="3" s="1"/>
  <c r="DI50" i="3"/>
  <c r="DG50" i="3"/>
  <c r="DH50" i="3"/>
  <c r="DF21" i="3"/>
  <c r="DG21" i="3"/>
  <c r="DH21" i="3"/>
  <c r="DI21" i="3"/>
  <c r="DF112" i="3"/>
  <c r="DJ112" i="3" s="1"/>
  <c r="DG112" i="3"/>
  <c r="DH112" i="3"/>
  <c r="DI112" i="3"/>
  <c r="BB22" i="1"/>
  <c r="F76" i="1"/>
  <c r="BB96" i="1"/>
  <c r="GM27" i="1"/>
  <c r="GN27" i="1" s="1"/>
  <c r="GM56" i="1"/>
  <c r="GN56" i="1" s="1"/>
  <c r="DF110" i="3"/>
  <c r="DG110" i="3"/>
  <c r="DH110" i="3"/>
  <c r="DI110" i="3"/>
  <c r="DG51" i="3"/>
  <c r="DH51" i="3"/>
  <c r="DI51" i="3"/>
  <c r="DF51" i="3"/>
  <c r="DJ51" i="3" s="1"/>
  <c r="DH74" i="3"/>
  <c r="DI74" i="3"/>
  <c r="DF74" i="3"/>
  <c r="DG74" i="3"/>
  <c r="DJ74" i="3" s="1"/>
  <c r="DF24" i="3"/>
  <c r="DI24" i="3"/>
  <c r="DG24" i="3"/>
  <c r="DH24" i="3"/>
  <c r="DF92" i="3"/>
  <c r="DG92" i="3"/>
  <c r="DH92" i="3"/>
  <c r="DI92" i="3"/>
  <c r="DF60" i="3"/>
  <c r="DI60" i="3"/>
  <c r="DG60" i="3"/>
  <c r="DH60" i="3"/>
  <c r="DF56" i="3"/>
  <c r="DI56" i="3"/>
  <c r="DJ56" i="3" s="1"/>
  <c r="DH56" i="3"/>
  <c r="DG56" i="3"/>
  <c r="GM54" i="1"/>
  <c r="GN54" i="1" s="1"/>
  <c r="DF109" i="3"/>
  <c r="DG109" i="3"/>
  <c r="DH109" i="3"/>
  <c r="DI109" i="3"/>
  <c r="GM59" i="1"/>
  <c r="GN59" i="1" s="1"/>
  <c r="DG70" i="3"/>
  <c r="DH70" i="3"/>
  <c r="DF70" i="3"/>
  <c r="DJ70" i="3" s="1"/>
  <c r="DI70" i="3"/>
  <c r="DJ5" i="3"/>
  <c r="S25" i="1"/>
  <c r="DJ34" i="3"/>
  <c r="S38" i="1"/>
  <c r="DH41" i="3"/>
  <c r="DI41" i="3"/>
  <c r="DF41" i="3"/>
  <c r="DG41" i="3"/>
  <c r="DH22" i="3"/>
  <c r="DI22" i="3"/>
  <c r="DF22" i="3"/>
  <c r="DJ22" i="3" s="1"/>
  <c r="DG22" i="3"/>
  <c r="DF97" i="3"/>
  <c r="P55" i="1" s="1"/>
  <c r="DG97" i="3"/>
  <c r="Q55" i="1" s="1"/>
  <c r="DH97" i="3"/>
  <c r="R55" i="1" s="1"/>
  <c r="DI97" i="3"/>
  <c r="DH83" i="3"/>
  <c r="DI83" i="3"/>
  <c r="DF83" i="3"/>
  <c r="DJ83" i="3" s="1"/>
  <c r="DG83" i="3"/>
  <c r="DF20" i="3"/>
  <c r="DJ20" i="3" s="1"/>
  <c r="DI20" i="3"/>
  <c r="DG20" i="3"/>
  <c r="DH20" i="3"/>
  <c r="DF85" i="3"/>
  <c r="DJ85" i="3" s="1"/>
  <c r="DG85" i="3"/>
  <c r="DH85" i="3"/>
  <c r="DI85" i="3"/>
  <c r="DG52" i="3"/>
  <c r="DH52" i="3"/>
  <c r="DF52" i="3"/>
  <c r="DJ52" i="3" s="1"/>
  <c r="DI52" i="3"/>
  <c r="CY35" i="1"/>
  <c r="X35" i="1" s="1"/>
  <c r="GM35" i="1" s="1"/>
  <c r="GN35" i="1" s="1"/>
  <c r="CZ35" i="1"/>
  <c r="Y35" i="1" s="1"/>
  <c r="DF88" i="3"/>
  <c r="DG88" i="3"/>
  <c r="DH88" i="3"/>
  <c r="DI88" i="3"/>
  <c r="DJ88" i="3" s="1"/>
  <c r="DF67" i="3"/>
  <c r="DJ67" i="3" s="1"/>
  <c r="DG67" i="3"/>
  <c r="DH67" i="3"/>
  <c r="DI67" i="3"/>
  <c r="DI93" i="3"/>
  <c r="DF93" i="3"/>
  <c r="DJ93" i="3" s="1"/>
  <c r="DG93" i="3"/>
  <c r="DH93" i="3"/>
  <c r="AP22" i="1"/>
  <c r="F72" i="1"/>
  <c r="G16" i="2" s="1"/>
  <c r="AP96" i="1"/>
  <c r="AQ22" i="1"/>
  <c r="F73" i="1"/>
  <c r="AQ96" i="1"/>
  <c r="DF107" i="3"/>
  <c r="DG107" i="3"/>
  <c r="DH107" i="3"/>
  <c r="DI107" i="3"/>
  <c r="AJ22" i="1"/>
  <c r="W63" i="1"/>
  <c r="GM61" i="1"/>
  <c r="GN61" i="1" s="1"/>
  <c r="Q25" i="1"/>
  <c r="DI7" i="3"/>
  <c r="DF7" i="3"/>
  <c r="P25" i="1" s="1"/>
  <c r="CP25" i="1" s="1"/>
  <c r="O25" i="1" s="1"/>
  <c r="DG7" i="3"/>
  <c r="DH7" i="3"/>
  <c r="R25" i="1" s="1"/>
  <c r="DI55" i="3"/>
  <c r="DF55" i="3"/>
  <c r="DG55" i="3"/>
  <c r="DH55" i="3"/>
  <c r="R44" i="1" s="1"/>
  <c r="DG25" i="3"/>
  <c r="DH25" i="3"/>
  <c r="DI25" i="3"/>
  <c r="DF25" i="3"/>
  <c r="DJ25" i="3" s="1"/>
  <c r="DG39" i="3"/>
  <c r="DH39" i="3"/>
  <c r="DI39" i="3"/>
  <c r="DJ39" i="3" s="1"/>
  <c r="DF39" i="3"/>
  <c r="DG59" i="3"/>
  <c r="DJ59" i="3" s="1"/>
  <c r="DH59" i="3"/>
  <c r="DF59" i="3"/>
  <c r="DI59" i="3"/>
  <c r="DH23" i="3"/>
  <c r="DI23" i="3"/>
  <c r="DF23" i="3"/>
  <c r="DJ23" i="3" s="1"/>
  <c r="DG23" i="3"/>
  <c r="DI19" i="3"/>
  <c r="DF19" i="3"/>
  <c r="P28" i="1" s="1"/>
  <c r="DG19" i="3"/>
  <c r="Q28" i="1" s="1"/>
  <c r="DH19" i="3"/>
  <c r="R28" i="1" s="1"/>
  <c r="DF75" i="3"/>
  <c r="DG75" i="3"/>
  <c r="DH75" i="3"/>
  <c r="DI75" i="3"/>
  <c r="DF53" i="3"/>
  <c r="DJ53" i="3" s="1"/>
  <c r="DG53" i="3"/>
  <c r="DH53" i="3"/>
  <c r="DI53" i="3"/>
  <c r="DG44" i="3"/>
  <c r="DH44" i="3"/>
  <c r="DF44" i="3"/>
  <c r="DJ44" i="3" s="1"/>
  <c r="DI44" i="3"/>
  <c r="DI29" i="3"/>
  <c r="DF29" i="3"/>
  <c r="DJ29" i="3" s="1"/>
  <c r="DG29" i="3"/>
  <c r="DH29" i="3"/>
  <c r="AO22" i="1"/>
  <c r="F67" i="1"/>
  <c r="AO96" i="1"/>
  <c r="CI22" i="1"/>
  <c r="AZ63" i="1"/>
  <c r="DF116" i="3"/>
  <c r="DJ116" i="3" s="1"/>
  <c r="DG116" i="3"/>
  <c r="DH116" i="3"/>
  <c r="DI116" i="3"/>
  <c r="AI22" i="1" l="1"/>
  <c r="V63" i="1"/>
  <c r="AO18" i="1"/>
  <c r="F100" i="1"/>
  <c r="DJ75" i="3"/>
  <c r="P44" i="1"/>
  <c r="W22" i="1"/>
  <c r="W96" i="1"/>
  <c r="F87" i="1"/>
  <c r="DJ27" i="3"/>
  <c r="S34" i="1"/>
  <c r="R50" i="1"/>
  <c r="R24" i="1"/>
  <c r="AP18" i="1"/>
  <c r="F105" i="1"/>
  <c r="CY25" i="1"/>
  <c r="X25" i="1" s="1"/>
  <c r="GM25" i="1" s="1"/>
  <c r="GN25" i="1" s="1"/>
  <c r="CZ25" i="1"/>
  <c r="Y25" i="1" s="1"/>
  <c r="R32" i="1"/>
  <c r="BD18" i="1"/>
  <c r="F121" i="1"/>
  <c r="Q40" i="1"/>
  <c r="CP38" i="1"/>
  <c r="O38" i="1" s="1"/>
  <c r="Q50" i="1"/>
  <c r="Q24" i="1"/>
  <c r="DJ107" i="3"/>
  <c r="S60" i="1"/>
  <c r="DJ109" i="3"/>
  <c r="DJ60" i="3"/>
  <c r="Q32" i="1"/>
  <c r="DJ21" i="3"/>
  <c r="S30" i="1"/>
  <c r="DJ91" i="3"/>
  <c r="R40" i="1"/>
  <c r="DJ76" i="3"/>
  <c r="BA22" i="1"/>
  <c r="F83" i="1"/>
  <c r="BA96" i="1"/>
  <c r="P24" i="1"/>
  <c r="DJ7" i="3"/>
  <c r="R60" i="1"/>
  <c r="DJ97" i="3"/>
  <c r="S55" i="1"/>
  <c r="DJ41" i="3"/>
  <c r="DJ24" i="3"/>
  <c r="S32" i="1"/>
  <c r="BB18" i="1"/>
  <c r="F109" i="1"/>
  <c r="R30" i="1"/>
  <c r="AX22" i="1"/>
  <c r="F70" i="1"/>
  <c r="AX96" i="1"/>
  <c r="DJ38" i="3"/>
  <c r="S40" i="1"/>
  <c r="DJ40" i="3"/>
  <c r="DJ30" i="3"/>
  <c r="S36" i="1"/>
  <c r="CP36" i="1" s="1"/>
  <c r="O36" i="1" s="1"/>
  <c r="DJ55" i="3"/>
  <c r="S44" i="1"/>
  <c r="Q60" i="1"/>
  <c r="P32" i="1"/>
  <c r="Q30" i="1"/>
  <c r="DJ86" i="3"/>
  <c r="S53" i="1"/>
  <c r="P40" i="1"/>
  <c r="T18" i="1"/>
  <c r="F117" i="1"/>
  <c r="H16" i="2"/>
  <c r="AZ22" i="1"/>
  <c r="F74" i="1"/>
  <c r="AZ96" i="1"/>
  <c r="DJ19" i="3"/>
  <c r="S28" i="1"/>
  <c r="CP28" i="1" s="1"/>
  <c r="O28" i="1" s="1"/>
  <c r="P60" i="1"/>
  <c r="P30" i="1"/>
  <c r="P53" i="1"/>
  <c r="AT18" i="1"/>
  <c r="F114" i="1"/>
  <c r="AU18" i="1"/>
  <c r="F115" i="1"/>
  <c r="DJ42" i="3"/>
  <c r="AQ18" i="1"/>
  <c r="F106" i="1"/>
  <c r="CP55" i="1"/>
  <c r="O55" i="1" s="1"/>
  <c r="R53" i="1"/>
  <c r="DJ72" i="3"/>
  <c r="S50" i="1"/>
  <c r="DJ43" i="3"/>
  <c r="Q44" i="1"/>
  <c r="CY38" i="1"/>
  <c r="X38" i="1" s="1"/>
  <c r="CZ38" i="1"/>
  <c r="Y38" i="1" s="1"/>
  <c r="DJ92" i="3"/>
  <c r="DJ110" i="3"/>
  <c r="Q53" i="1"/>
  <c r="BC18" i="1"/>
  <c r="F112" i="1"/>
  <c r="CP34" i="1"/>
  <c r="O34" i="1" s="1"/>
  <c r="P50" i="1"/>
  <c r="U22" i="1"/>
  <c r="F85" i="1"/>
  <c r="U96" i="1"/>
  <c r="DJ1" i="3"/>
  <c r="S24" i="1"/>
  <c r="AE63" i="1" l="1"/>
  <c r="CP53" i="1"/>
  <c r="O53" i="1" s="1"/>
  <c r="CY24" i="1"/>
  <c r="X24" i="1" s="1"/>
  <c r="CZ24" i="1"/>
  <c r="Y24" i="1" s="1"/>
  <c r="AF63" i="1"/>
  <c r="CY30" i="1"/>
  <c r="X30" i="1" s="1"/>
  <c r="CZ30" i="1"/>
  <c r="Y30" i="1" s="1"/>
  <c r="U18" i="1"/>
  <c r="F118" i="1"/>
  <c r="CP24" i="1"/>
  <c r="O24" i="1" s="1"/>
  <c r="AC63" i="1"/>
  <c r="GM38" i="1"/>
  <c r="GN38" i="1" s="1"/>
  <c r="CP44" i="1"/>
  <c r="O44" i="1" s="1"/>
  <c r="CY40" i="1"/>
  <c r="X40" i="1" s="1"/>
  <c r="CZ40" i="1"/>
  <c r="Y40" i="1" s="1"/>
  <c r="AE22" i="1"/>
  <c r="R63" i="1"/>
  <c r="CP32" i="1"/>
  <c r="O32" i="1" s="1"/>
  <c r="CP30" i="1"/>
  <c r="O30" i="1" s="1"/>
  <c r="CP50" i="1"/>
  <c r="O50" i="1" s="1"/>
  <c r="CP60" i="1"/>
  <c r="O60" i="1" s="1"/>
  <c r="AX18" i="1"/>
  <c r="F103" i="1"/>
  <c r="CY34" i="1"/>
  <c r="X34" i="1" s="1"/>
  <c r="GM34" i="1" s="1"/>
  <c r="GN34" i="1" s="1"/>
  <c r="CZ34" i="1"/>
  <c r="Y34" i="1" s="1"/>
  <c r="BA18" i="1"/>
  <c r="F116" i="1"/>
  <c r="CY28" i="1"/>
  <c r="X28" i="1" s="1"/>
  <c r="CZ28" i="1"/>
  <c r="Y28" i="1" s="1"/>
  <c r="CY44" i="1"/>
  <c r="X44" i="1" s="1"/>
  <c r="CZ44" i="1"/>
  <c r="Y44" i="1" s="1"/>
  <c r="CY55" i="1"/>
  <c r="X55" i="1" s="1"/>
  <c r="CZ55" i="1"/>
  <c r="Y55" i="1" s="1"/>
  <c r="CY60" i="1"/>
  <c r="X60" i="1" s="1"/>
  <c r="CZ60" i="1"/>
  <c r="Y60" i="1" s="1"/>
  <c r="V22" i="1"/>
  <c r="V96" i="1"/>
  <c r="F86" i="1"/>
  <c r="CY32" i="1"/>
  <c r="X32" i="1" s="1"/>
  <c r="CZ32" i="1"/>
  <c r="Y32" i="1" s="1"/>
  <c r="CP40" i="1"/>
  <c r="O40" i="1" s="1"/>
  <c r="GM55" i="1"/>
  <c r="GN55" i="1" s="1"/>
  <c r="CZ50" i="1"/>
  <c r="Y50" i="1" s="1"/>
  <c r="CY50" i="1"/>
  <c r="X50" i="1" s="1"/>
  <c r="AZ18" i="1"/>
  <c r="F107" i="1"/>
  <c r="CY53" i="1"/>
  <c r="X53" i="1" s="1"/>
  <c r="CZ53" i="1"/>
  <c r="Y53" i="1" s="1"/>
  <c r="CY36" i="1"/>
  <c r="X36" i="1" s="1"/>
  <c r="CZ36" i="1"/>
  <c r="Y36" i="1" s="1"/>
  <c r="AD63" i="1"/>
  <c r="W18" i="1"/>
  <c r="F120" i="1"/>
  <c r="GM53" i="1" l="1"/>
  <c r="GN53" i="1" s="1"/>
  <c r="GM28" i="1"/>
  <c r="GN28" i="1" s="1"/>
  <c r="GM30" i="1"/>
  <c r="GN30" i="1" s="1"/>
  <c r="GM36" i="1"/>
  <c r="GN36" i="1" s="1"/>
  <c r="GM40" i="1"/>
  <c r="GN40" i="1" s="1"/>
  <c r="R22" i="1"/>
  <c r="F77" i="1"/>
  <c r="R96" i="1"/>
  <c r="V18" i="1"/>
  <c r="F119" i="1"/>
  <c r="AD22" i="1"/>
  <c r="Q63" i="1"/>
  <c r="GM60" i="1"/>
  <c r="GN60" i="1" s="1"/>
  <c r="GM50" i="1"/>
  <c r="GN50" i="1" s="1"/>
  <c r="GM44" i="1"/>
  <c r="GN44" i="1" s="1"/>
  <c r="AF22" i="1"/>
  <c r="S63" i="1"/>
  <c r="AL63" i="1"/>
  <c r="AC22" i="1"/>
  <c r="CF63" i="1"/>
  <c r="CH63" i="1"/>
  <c r="P63" i="1"/>
  <c r="CE63" i="1"/>
  <c r="AK63" i="1"/>
  <c r="GM32" i="1"/>
  <c r="GN32" i="1" s="1"/>
  <c r="GM24" i="1"/>
  <c r="AB63" i="1"/>
  <c r="AB22" i="1" l="1"/>
  <c r="O63" i="1"/>
  <c r="CH22" i="1"/>
  <c r="AY63" i="1"/>
  <c r="Q22" i="1"/>
  <c r="F75" i="1"/>
  <c r="Q96" i="1"/>
  <c r="S22" i="1"/>
  <c r="F78" i="1"/>
  <c r="J16" i="2" s="1"/>
  <c r="S96" i="1"/>
  <c r="AK22" i="1"/>
  <c r="X63" i="1"/>
  <c r="R18" i="1"/>
  <c r="F110" i="1"/>
  <c r="AL22" i="1"/>
  <c r="Y63" i="1"/>
  <c r="CF22" i="1"/>
  <c r="AW63" i="1"/>
  <c r="GN24" i="1"/>
  <c r="CB63" i="1" s="1"/>
  <c r="CA63" i="1"/>
  <c r="CE22" i="1"/>
  <c r="AV63" i="1"/>
  <c r="P22" i="1"/>
  <c r="P96" i="1"/>
  <c r="F66" i="1"/>
  <c r="Y22" i="1" l="1"/>
  <c r="Y96" i="1"/>
  <c r="F90" i="1"/>
  <c r="Q18" i="1"/>
  <c r="F108" i="1"/>
  <c r="AV22" i="1"/>
  <c r="F68" i="1"/>
  <c r="AV96" i="1"/>
  <c r="P18" i="1"/>
  <c r="F99" i="1"/>
  <c r="X22" i="1"/>
  <c r="F89" i="1"/>
  <c r="X96" i="1"/>
  <c r="AY22" i="1"/>
  <c r="AY96" i="1"/>
  <c r="F71" i="1"/>
  <c r="CB22" i="1"/>
  <c r="AS63" i="1"/>
  <c r="CA22" i="1"/>
  <c r="AR63" i="1"/>
  <c r="AW22" i="1"/>
  <c r="F69" i="1"/>
  <c r="AW96" i="1"/>
  <c r="S18" i="1"/>
  <c r="F111" i="1"/>
  <c r="O22" i="1"/>
  <c r="F65" i="1"/>
  <c r="O96" i="1"/>
  <c r="AV18" i="1" l="1"/>
  <c r="F101" i="1"/>
  <c r="AY18" i="1"/>
  <c r="F104" i="1"/>
  <c r="AR22" i="1"/>
  <c r="AR96" i="1"/>
  <c r="F91" i="1"/>
  <c r="F92" i="1" s="1"/>
  <c r="AW18" i="1"/>
  <c r="F102" i="1"/>
  <c r="O18" i="1"/>
  <c r="F98" i="1"/>
  <c r="AS22" i="1"/>
  <c r="AS96" i="1"/>
  <c r="F80" i="1"/>
  <c r="E16" i="2" s="1"/>
  <c r="I16" i="2" s="1"/>
  <c r="N16" i="2" s="1"/>
  <c r="Y18" i="1"/>
  <c r="F123" i="1"/>
  <c r="X18" i="1"/>
  <c r="F122" i="1"/>
  <c r="F93" i="1" l="1"/>
  <c r="F94" i="1" s="1"/>
  <c r="AR18" i="1"/>
  <c r="F124" i="1"/>
  <c r="F125" i="1" s="1"/>
  <c r="AS18" i="1"/>
  <c r="F113" i="1"/>
  <c r="F126" i="1" l="1"/>
  <c r="F127" i="1" s="1"/>
</calcChain>
</file>

<file path=xl/sharedStrings.xml><?xml version="1.0" encoding="utf-8"?>
<sst xmlns="http://schemas.openxmlformats.org/spreadsheetml/2006/main" count="4928" uniqueCount="558">
  <si>
    <t>Smeta.RU Flash  (495) 974-1589</t>
  </si>
  <si>
    <t>_PS_</t>
  </si>
  <si>
    <t>Smeta.RU Flash</t>
  </si>
  <si>
    <t/>
  </si>
  <si>
    <t>Новый объект</t>
  </si>
  <si>
    <t>Аварийный ремонт труб ЦО в ХК</t>
  </si>
  <si>
    <t>Сметные нормы списания</t>
  </si>
  <si>
    <t>Коды ценников</t>
  </si>
  <si>
    <t>ФСНБ-2022_И18</t>
  </si>
  <si>
    <t>Версия 1.18.0 для ФСНБ-2022 И18</t>
  </si>
  <si>
    <t>ФСНБ-2022 - Изменения И18</t>
  </si>
  <si>
    <t>Поправки для ФСНБ-2022 от 21.05.2026 г И18 (55/пр) Капитальный ремонт жилых и общественных зданий</t>
  </si>
  <si>
    <t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t>
  </si>
  <si>
    <t>ГСН</t>
  </si>
  <si>
    <t>1</t>
  </si>
  <si>
    <t>65-02-003-04</t>
  </si>
  <si>
    <t>Разборка трубопроводов из водогазопроводных труб в зданиях и сооружениях на сварке диаметром: до 50 мм</t>
  </si>
  <si>
    <t>100 м</t>
  </si>
  <si>
    <t>ГЭСНр-2022, 65-02-003-04, приказ Минстроя России от 18.05.2022 г. № 378/пр</t>
  </si>
  <si>
    <t>*(0,35+1)</t>
  </si>
  <si>
    <t>Ремонтно-строительные работы</t>
  </si>
  <si>
    <t>Внутренние санитарно-технические работы</t>
  </si>
  <si>
    <t>Внутренние санитарнотехнические работы: демонтаж и разборка</t>
  </si>
  <si>
    <t>рФЕР-65</t>
  </si>
  <si>
    <t>Поправка: 421/пр_2020_прил.10_т.5_п.5_гр.5</t>
  </si>
  <si>
    <t>Пр/812-099.1-1</t>
  </si>
  <si>
    <t>Пр/774-099.1</t>
  </si>
  <si>
    <t>2</t>
  </si>
  <si>
    <t>16-07-003-06</t>
  </si>
  <si>
    <t>Врезка в действующие внутренние сети трубопроводов отопления и водоснабжения диаметром: 50 мм</t>
  </si>
  <si>
    <t>ШТ</t>
  </si>
  <si>
    <t>ГЭСН-2022, 16-07-003-06, приказ Минстроя России от 18.05.2022 г. № 378/пр</t>
  </si>
  <si>
    <t>*(0,35+1)*1,25</t>
  </si>
  <si>
    <t>*(0,35+1)*1,15</t>
  </si>
  <si>
    <t>*0,9</t>
  </si>
  <si>
    <t>*0,85</t>
  </si>
  <si>
    <t>Общестроительные работы</t>
  </si>
  <si>
    <t>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</si>
  <si>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Трубопроводы внутренние</t>
  </si>
  <si>
    <t>ФЕР-16</t>
  </si>
  <si>
    <t>Поправка: 421/пр_2020_прил.10_т.5_п.5_гр.3
Поправка: 421/пр_2020_п.58_пп.б</t>
  </si>
  <si>
    <t>Пр/812-016.0-1</t>
  </si>
  <si>
    <t>Пр/774-016.0</t>
  </si>
  <si>
    <t>2,1</t>
  </si>
  <si>
    <t>18.1.02.01</t>
  </si>
  <si>
    <t>Арматура трубопроводная фланцевая</t>
  </si>
  <si>
    <t>2,2</t>
  </si>
  <si>
    <t>23.8.03.11</t>
  </si>
  <si>
    <t>Фланцы стальные</t>
  </si>
  <si>
    <t>69-01-001-02</t>
  </si>
  <si>
    <t>Пробивка отверстий в кирпичных стенах для водогазопроводных труб вручную при толщине стен: в 1 кирпич</t>
  </si>
  <si>
    <t>100 отверстий</t>
  </si>
  <si>
    <t>ГЭСНр-2022, 69-01-001-02, приказ Минстроя России от 18.05.2022 г. № 378/пр</t>
  </si>
  <si>
    <t>Прочие ремонтно-строительные работы</t>
  </si>
  <si>
    <t>рФЕР-69</t>
  </si>
  <si>
    <t>Пр/812-103.0-1</t>
  </si>
  <si>
    <t>Пр/774-103.0</t>
  </si>
  <si>
    <t>999-9900</t>
  </si>
  <si>
    <t>Строительный мусор</t>
  </si>
  <si>
    <t>т</t>
  </si>
  <si>
    <t>69-01-002-01</t>
  </si>
  <si>
    <t>Сверление отверстий: в кирпичных стенах электроперфоратором диаметром до 20 мм, толщина стен 0,5 кирпича</t>
  </si>
  <si>
    <t>ГЭСНр-2022, 69-01-002-01, приказ Минстроя России от 18.05.2022 г. № 378/пр</t>
  </si>
  <si>
    <t>69-01-002-02</t>
  </si>
  <si>
    <t>Сверление отверстий: на каждые 0,5 кирпича толщины стен добавлять к норме 69-01-002-01</t>
  </si>
  <si>
    <t>ГЭСНр-2022, 69-01-002-02, приказ Минстроя России от 18.05.2022 г. № 378/пр</t>
  </si>
  <si>
    <t>69-01-002-03</t>
  </si>
  <si>
    <t>Сверление отверстий: на каждые 10 мм диаметра свыше 20 мм добавлять к норме 69-01-002-01</t>
  </si>
  <si>
    <t>ГЭСНр-2022, 69-01-002-03, приказ Минстроя России от 18.05.2022 г. № 378/пр</t>
  </si>
  <si>
    <t>*4</t>
  </si>
  <si>
    <t>69-01-040-04</t>
  </si>
  <si>
    <t>Сверление отверстий в строительных конструкциях из кирпича установками алмазного сверления, диаметр кольцевого алмазного сверла: 50 мм</t>
  </si>
  <si>
    <t>м</t>
  </si>
  <si>
    <t>ГЭСНр-2022 доп.18, 69-01-040-04, приказ Минстроя России от 15.05.2026 г. № 301/пр</t>
  </si>
  <si>
    <t>01.7.17.09</t>
  </si>
  <si>
    <t>Сверла, буры</t>
  </si>
  <si>
    <t>3</t>
  </si>
  <si>
    <t>69-01-040-05</t>
  </si>
  <si>
    <t>Сверление отверстий в строительных конструкциях из кирпича установками алмазного сверления, диаметр кольцевого алмазного сверла: 60 мм</t>
  </si>
  <si>
    <t>ГЭСНр-2022 доп.18, 69-01-040-05, приказ Минстроя России от 15.05.2026 г. № 301/пр</t>
  </si>
  <si>
    <t>3,1</t>
  </si>
  <si>
    <t>01.7.17.09-0069</t>
  </si>
  <si>
    <t>Сверло кольцевое алмазное, диаметр 60 мм</t>
  </si>
  <si>
    <t>ФСБЦ-2022 доп.7, 01.7.17.09-0069, приказ Минстроя России от 02.08.2023 г. № 551/пр</t>
  </si>
  <si>
    <t>16-02-002-06</t>
  </si>
  <si>
    <t>Прокладка трубопроводов водоснабжения из стальных водогазопроводных оцинкованных труб диаметром: 50 мм</t>
  </si>
  <si>
    <t>ГЭСН-2022, 16-02-002-06, приказ Минстроя России от 18.05.2022 г. № 378/пр</t>
  </si>
  <si>
    <t>18.1.09.06</t>
  </si>
  <si>
    <t>Арматура муфтовая</t>
  </si>
  <si>
    <t>18.2.07.01</t>
  </si>
  <si>
    <t>Трубопроводы с гильзами</t>
  </si>
  <si>
    <t>23.1.02.07</t>
  </si>
  <si>
    <t>Крепления</t>
  </si>
  <si>
    <t>кг</t>
  </si>
  <si>
    <t>4</t>
  </si>
  <si>
    <t>16-02-004-01</t>
  </si>
  <si>
    <t>Прокладка трубопроводов отопления и газоснабжения из стальных бесшовных труб диаметром: 50 мм</t>
  </si>
  <si>
    <t>ГЭСН-2022, 16-02-004-01, приказ Минстроя России от 18.05.2022 г. № 378/пр</t>
  </si>
  <si>
    <t>4,1</t>
  </si>
  <si>
    <t>23.3.06.02-0025</t>
  </si>
  <si>
    <t>Трубы стальные сварные оцинкованные водогазопроводные без резьбы, обыкновенные, номинальный диаметр 50 мм, толщина стенки 3,5 мм</t>
  </si>
  <si>
    <t>ФСБЦ-2022, 23.3.06.02-0025, приказ Минстроя России от 18.05.2022 г. № 378/пр</t>
  </si>
  <si>
    <t>4,2</t>
  </si>
  <si>
    <t>23.8.04.06-0063</t>
  </si>
  <si>
    <t>Отвод 90° с радиусом кривизны R=1,5 Ду на давление до 16 МПа, номинальный диаметр 50 мм, наружный диаметр 57 мм, толщина стенки 3 мм</t>
  </si>
  <si>
    <t>ФСБЦ-2022, 23.8.04.06-0063, приказ Минстроя России от 18.05.2022 г. № 378/пр</t>
  </si>
  <si>
    <t>4,3</t>
  </si>
  <si>
    <t>07.2.06.06-1100</t>
  </si>
  <si>
    <t>Кронштейны стальные оцинкованные угловые, размеры 50х50х40 мм, толщина 2 мм</t>
  </si>
  <si>
    <t>100 ШТ</t>
  </si>
  <si>
    <t>ФСБЦ-2022, 07.2.06.06-1100, приказ Минстроя России от 18.05.2022 г. № 378/пр</t>
  </si>
  <si>
    <t>4,4</t>
  </si>
  <si>
    <t>4,5</t>
  </si>
  <si>
    <t>23.7.01.02</t>
  </si>
  <si>
    <t>16-02-005-02</t>
  </si>
  <si>
    <t>Прокладка трубопроводов отопления и водоснабжения из стальных электросварных труб диаметром: 50 мм</t>
  </si>
  <si>
    <t>ГЭСН-2022, 16-02-005-02, приказ Минстроя России от 18.05.2022 г. № 378/пр</t>
  </si>
  <si>
    <t>23.7.01.04</t>
  </si>
  <si>
    <t>22-03-003-01</t>
  </si>
  <si>
    <t>Установка фасонных частей стальных сварным соединением с трубопроводом отводы, колена, патрубки и переходы диаметром: до 100 мм</t>
  </si>
  <si>
    <t>10 ШТ</t>
  </si>
  <si>
    <t>ГЭСН-2022 доп.5, 22-03-003-01, приказ Минстроя России от 10.02.2023 г. № 84/пр</t>
  </si>
  <si>
    <t>Наружные сети водопровода, канализации, теплоснабжения, газопроводы</t>
  </si>
  <si>
    <t>ФЕР-22</t>
  </si>
  <si>
    <t>Пр/812-018.0-1</t>
  </si>
  <si>
    <t>Пр/774-018.0</t>
  </si>
  <si>
    <t>23.8.04.06</t>
  </si>
  <si>
    <t>Фасонные части стальные сварные</t>
  </si>
  <si>
    <t>5</t>
  </si>
  <si>
    <t>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</si>
  <si>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</si>
  <si>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ГЭСН-2022, 16-05-001-02, приказ Минстроя России от 18.05.2022 г. № 378/пр</t>
  </si>
  <si>
    <t>5,1</t>
  </si>
  <si>
    <t>18.1.09.07-0316</t>
  </si>
  <si>
    <t>Кран шаровой стальной для теплоснабжения, неполнопроходной, под приварку, с рукояткой, сталь 09Г2С, номинальное давление до 4,0 МПа, номинальный диаметр 50 мм</t>
  </si>
  <si>
    <t>ФСБЦ-2022 доп.17, 18.1.09.07-0316, приказ Минстроя России от 17.02.2026 г. № 91/пр</t>
  </si>
  <si>
    <t>5,2</t>
  </si>
  <si>
    <t>5,3</t>
  </si>
  <si>
    <t>18.1.09.07-0343</t>
  </si>
  <si>
    <t>Кран шаровой стальной для теплоснабжения, полнопроходной, под приварку, с рукояткой, сталь 09Г2С, номинальное давление до 4,0 МПа, номинальный диаметр 50 мм</t>
  </si>
  <si>
    <t>ФСБЦ-2022 доп.17, 18.1.09.07-0343, приказ Минстроя России от 17.02.2026 г. № 91/пр</t>
  </si>
  <si>
    <t>6</t>
  </si>
  <si>
    <t>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</si>
  <si>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</si>
  <si>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10 м</t>
  </si>
  <si>
    <t>ГЭСН-2022 доп.18, 26-01-017-01, приказ Минстроя России от 15.05.2026 г. № 301/пр</t>
  </si>
  <si>
    <t>Теплоизоляционные работы</t>
  </si>
  <si>
    <t>ФЕР-26</t>
  </si>
  <si>
    <t>Пр/812-020.0-1</t>
  </si>
  <si>
    <t>Пр/774-020.0</t>
  </si>
  <si>
    <t>6,1</t>
  </si>
  <si>
    <t>12.2.07.04-0212</t>
  </si>
  <si>
    <t>Трубки теплоизоляционные из вспененного синтетического каучука, без покрытия, Г1, плотность 40 кг/м3, температура применения от -200 до +110 °C, внутренний диаметр 54 мм, толщина 13 мм</t>
  </si>
  <si>
    <t>ФСБЦ-2022, 12.2.07.04-0212, приказ Минстроя России от 18.05.2022 г. № 378/пр</t>
  </si>
  <si>
    <t>ПЗ</t>
  </si>
  <si>
    <t>Прямые затраты</t>
  </si>
  <si>
    <t>СтМатОб</t>
  </si>
  <si>
    <t>Стоимость материальных ресурсов (всего)</t>
  </si>
  <si>
    <t>СтМатОбЗак</t>
  </si>
  <si>
    <t>Стоимость материалов и оборудования заказчика</t>
  </si>
  <si>
    <t>СтМатОбПод</t>
  </si>
  <si>
    <t>Стоимость материалов и оборудования подрядчика</t>
  </si>
  <si>
    <t>СтМат</t>
  </si>
  <si>
    <t>Стоимость материалов (всего)</t>
  </si>
  <si>
    <t>СтМатЗак</t>
  </si>
  <si>
    <t>Стоимость материалов заказчика</t>
  </si>
  <si>
    <t>СтМатПод</t>
  </si>
  <si>
    <t>Стоимость материалов подрядчика</t>
  </si>
  <si>
    <t>Оборуд</t>
  </si>
  <si>
    <t>Стоимость оборудования (всего)</t>
  </si>
  <si>
    <t>ОборудЗак</t>
  </si>
  <si>
    <t>Стоимость оборудования заказчика</t>
  </si>
  <si>
    <t>ОборудПод</t>
  </si>
  <si>
    <t>Стоимость оборудования подрядчика</t>
  </si>
  <si>
    <t>ЭММ</t>
  </si>
  <si>
    <t>Эксплуатация машин</t>
  </si>
  <si>
    <t>ЭММсНРиСП</t>
  </si>
  <si>
    <t>Эксплуатация машин по ТСН-2001.16</t>
  </si>
  <si>
    <t>ЗПМ</t>
  </si>
  <si>
    <t>ЗП машинистов</t>
  </si>
  <si>
    <t>ОЗП</t>
  </si>
  <si>
    <t>Основная ЗП рабочих</t>
  </si>
  <si>
    <t>ОЗПсНРиСП</t>
  </si>
  <si>
    <t>Основная ЗП рабочих по ТСН-2001.16</t>
  </si>
  <si>
    <t>Строит</t>
  </si>
  <si>
    <t>Строительные работы с НР и СП</t>
  </si>
  <si>
    <t>Монтаж</t>
  </si>
  <si>
    <t>Монтажные работы с НР и СП</t>
  </si>
  <si>
    <t>Прочие</t>
  </si>
  <si>
    <t>Прочие работы с НР и СП</t>
  </si>
  <si>
    <t>ПрочиеЗатр</t>
  </si>
  <si>
    <t>Прочие затраты по ТСН-2001.16</t>
  </si>
  <si>
    <t>ВозврМат</t>
  </si>
  <si>
    <t>Возврат материалов</t>
  </si>
  <si>
    <t>ТрудСтр</t>
  </si>
  <si>
    <t>Трудозатраты строителей</t>
  </si>
  <si>
    <t>ТрудМаш</t>
  </si>
  <si>
    <t>Трудозатраты машинистов</t>
  </si>
  <si>
    <t>ТранспМат</t>
  </si>
  <si>
    <t>Транспорт материалов</t>
  </si>
  <si>
    <t>Перевозка</t>
  </si>
  <si>
    <t>Перевозка грузов</t>
  </si>
  <si>
    <t>НР</t>
  </si>
  <si>
    <t>Накладные расходы</t>
  </si>
  <si>
    <t>СмПриб</t>
  </si>
  <si>
    <t>Сметная прибыль</t>
  </si>
  <si>
    <t>Всего</t>
  </si>
  <si>
    <t>Всего с НР и СП</t>
  </si>
  <si>
    <t>НДС 22 %</t>
  </si>
  <si>
    <t>Всего с НДС</t>
  </si>
  <si>
    <t>СТР_РЕК</t>
  </si>
  <si>
    <t>СТРОИТЕЛЬСТВО и РЕКОНСТРУКЦИЯ  зданий и сооружений всех назначений</t>
  </si>
  <si>
    <t>Строительство и реконструкция</t>
  </si>
  <si>
    <t>РЕМ_ЖИЛ</t>
  </si>
  <si>
    <t>КАП. РЕМ. ЖИЛЫХ И ОБЩЕСТВЕННЫХ ЗДАНИЙ</t>
  </si>
  <si>
    <t>Капитальный ремонт жилых и общественных зданий</t>
  </si>
  <si>
    <t>РЕМ_ПР</t>
  </si>
  <si>
    <t>КАП. РЕМ. ПРОИЗВОДСТВЕННЫХ ЗД. и СООРУЖЕНИЙ,  НАРУЖНЫХ ИНЖЕНЕРНЫХ СЕТЕЙ, УЛИЦ И ДОРОГ МЕСТНОГО ЗНАЧЕНИЯ, ИНЖ,СООРУЖЕНИЙ ( ГИДРОТЕХ,СООРУЖ, МОСТОВ И ПУТЕПРОВОДОВ И Т.П.)</t>
  </si>
  <si>
    <t>Капитальный ремонт прозводственных зданий</t>
  </si>
  <si>
    <t>Территория</t>
  </si>
  <si>
    <t>для территории Российской Федерации, не относящейся к районам Крайнего Севера и приравненным к ним местностям</t>
  </si>
  <si>
    <t>МПРКС</t>
  </si>
  <si>
    <t>для территории Российской Федерации, относящейся к местностям, приравненным к районам Крайнего Севера</t>
  </si>
  <si>
    <t>РКС</t>
  </si>
  <si>
    <t>для территории Российской Федерации, относящейся к районам Крайнего Севера</t>
  </si>
  <si>
    <t>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</si>
  <si>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АЭС.</t>
  </si>
  <si>
    <t>Для сборников ФЕР ( при производстве работ на технически сложных объектах ):  ·  { СЛЖ } - (вкл.)    - работа на сложных объектах  (к=1,2 к НР)           ·  { СЛЖ } - (выкл.) - работа на обычных объектах</t>
  </si>
  <si>
    <t>Сложные объекты</t>
  </si>
  <si>
    <t>СТНДРТ</t>
  </si>
  <si>
    <t>При определении сметной стоимости строительства объектов капитального строительства (за исключением АЭС).</t>
  </si>
  <si>
    <t>АЭС_ПНР</t>
  </si>
  <si>
    <t>При определении сметной стоимости строительства объектов капитального строительства АЭС. Пусконаладочные работы (за исключением технологического оборудования АЭС).</t>
  </si>
  <si>
    <t>АЭС</t>
  </si>
  <si>
    <t>АЭС_ПНР_ТЕХ</t>
  </si>
  <si>
    <t>При определении сметной стоимости строительства объектов капитального строительства АЭС. Пусконаладочные работы технологического оборудования АЭС.</t>
  </si>
  <si>
    <t>Для сборника ФЕРм -39  и ФЕРМ-08  ( при работах по контролю сварных соединений) :    {мАЭС} - ( вкл.)  -     при выполнении работ по на АЭС  (HР=101%; СП= 68%;             {мАЭС} - (выкл.) -  при выполнении работ  на обычных объектах</t>
  </si>
  <si>
    <t>АЭС, ПНР технологического оборудования АЭС.</t>
  </si>
  <si>
    <t>ОПТ/В</t>
  </si>
  <si>
    <t>{вкл}    - Прокладка  МЕЖДУГОРОДНЫХ  ВОЛОКОННО-ОПТИЧЕСКИХ ЛИНИЙ (для ФЕРм10, отд. 6 разд.3)  {выкл} - Прокладка  ГОРОДСКИХ               ВОЛОКОННО-ОПТИЧЕСКИХ ЛИНИЙ  (для ФЕРм10, отд. 6 разд.3)</t>
  </si>
  <si>
    <t>Для сборников ФЕРм-10  ( волоконно-оптические линии связи ): ·  {М_ГОР_опт} -  ( вкл.)  - междугородные сети связи ( НР=120% , СП=70% )           ·  {М_ГОР_опт} - ( выкл.) - городские сети связи  ( НР=100%; СП=65%)</t>
  </si>
  <si>
    <t>Прокладка междугородных в/опт. кабелей</t>
  </si>
  <si>
    <t>АВИ</t>
  </si>
  <si>
    <t>(вкл)   -  При работах по ДИСПЕТЧЕРИЗАЦИИ управления движением АВИАТРАНСПОРТОМ {вкл}  (монтажные работы )</t>
  </si>
  <si>
    <t>Для сборников ФЕРм 08;10;11 :    · {мАВИА} -  (вкл.)     -  производство монтажных  работы по диспетчеризации управления  движением авиатранспортном (НР=95%, СП=55%) ;    ·            {мАВИА} -  (выкл. ) -  при производстве работ на прочих объектах , кром</t>
  </si>
  <si>
    <t>Диспетчеризация авиатранспорта</t>
  </si>
  <si>
    <t>ЗАКР</t>
  </si>
  <si>
    <t>{вкл}   -  Обслуживающие и сопутствующие работы в тоннелях при  производстве работ ЗАКРЫТЫМ СПОСОБОМ   {выкл} - Обслуживающие и сопутствующие работы в тоннелях при  производстве работ  ОТКРЫТЫМ</t>
  </si>
  <si>
    <t>Для сборника ФЕР -29 ( сопутствующие работы в тоннелях и метро. ): ·  {ЗАКР} - (вкл.)     -  при выполнении работ в тоннелях  и метро закрытым способом  (НР=145% , СП=75%); ·                {ЗАКР} - (выкл.) -   при выполнении работ в тоннелях и метро  отк</t>
  </si>
  <si>
    <t>Производство работ закрытым способом (обслуживающие процессы)</t>
  </si>
  <si>
    <t>АВТО_ДРГ</t>
  </si>
  <si>
    <t>{вкл} - НР и СП по п.021.0 "Автомобильные дороги" (раздел 2 нормы 27-02-010-01:07)  {выкл} - НР и СП по п.021.1 Устройство покрытий дорожек, тротуаров, мостовых и площадок и прочее (раздел 2 нормы 27-02-010-01:07)</t>
  </si>
  <si>
    <t>ГОР</t>
  </si>
  <si>
    <t>(вкл) - ФЕРм-08, выполнение работ на горнорудных объектах  (выкл) - ФЕРм-08, выполнение работ на других объектах</t>
  </si>
  <si>
    <t>Выполнение работ на горнорудных объектах</t>
  </si>
  <si>
    <t>ОБ_ПР</t>
  </si>
  <si>
    <t>Объект производственного назначения</t>
  </si>
  <si>
    <t>ОБ_НПР</t>
  </si>
  <si>
    <t>Объект непроизводственного назначения</t>
  </si>
  <si>
    <t>К_НР_РЕМ</t>
  </si>
  <si>
    <t>при ремонте жилых и общественных зданий если  ( если {РЕМ_ЖИЛ}= [вкл.]</t>
  </si>
  <si>
    <t>Для сборников  ФЕР и  ФЕРмр :  · Значение {_МДСрем_НР}= 0,90 -  при ремонте зданий жилого и гражданского назначений ( 0,90 к НР) ;  · Значение {_МДСрем_НР}= 1,00  - при строительстве  и реконструкции  объектов всех назначений</t>
  </si>
  <si>
    <t>п.25</t>
  </si>
  <si>
    <t>К_СП_РЕМ</t>
  </si>
  <si>
    <t>к нормам СП при капитальном ремонте зданий и сооружений всех назначений ( если или {РЕМ_ЖИЛ}=[вкл] , или (РЕМ_ПР}=[вкл] )</t>
  </si>
  <si>
    <t>Для сборников  ФЕР и  ФЕРмр :   · Значение {_МДСрем_СП} = 0.85  -  при ремонте зданий всех назначений ( 0,85 к СП);   · Значение {_МДСрем_СП} = 1,00 -  при строительстве  и реконструкции  объектов всех назначений</t>
  </si>
  <si>
    <t>п.16</t>
  </si>
  <si>
    <t>К_НР_СЛЖ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</si>
  <si>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За исключением объектов атомных электрических станций.  ( если {СЛЖ} = [вкл] )</t>
  </si>
  <si>
    <t>п.27 СЛОЖН</t>
  </si>
  <si>
    <t>К_НР_АЭС</t>
  </si>
  <si>
    <t>При определении сметной стоимости строительства объектов капитального строительства, относящихся к особо опасным и технически сложным. Для объектов атомных электрических станций.  ( если {АЭС} = [вкл] )</t>
  </si>
  <si>
    <t>п.27 АЭС</t>
  </si>
  <si>
    <t>Р_ОКР</t>
  </si>
  <si>
    <t>Разрядность округления результата расчета НР и СП  (с 05.04.2020 - до семи знаков после запятой)</t>
  </si>
  <si>
    <t>Лист_НРиСП</t>
  </si>
  <si>
    <t>Уровень цен</t>
  </si>
  <si>
    <t>Вид цен</t>
  </si>
  <si>
    <t>Москва, КТЦ к ФСНБ-2022, 2 квартал 2026 г</t>
  </si>
  <si>
    <t>Сборник индексов</t>
  </si>
  <si>
    <t>ФСНБ-2022 ФГИС ЦС Москва</t>
  </si>
  <si>
    <t>Письмо Минстроя России  «О размещении индексов изменения сметной стоимости строительства по группам однородных строительных ресурсов на II квартал 2026 года»</t>
  </si>
  <si>
    <t>Справочная информация</t>
  </si>
  <si>
    <t>Письмо Минстроя России от 22.05.2026 № 31076-ИФ/09</t>
  </si>
  <si>
    <t>Письмо Департамента экономической политики и развития города Москвы от 27.10.2025 № ДПР-3-23615/25(1)</t>
  </si>
  <si>
    <t>_OBSM_</t>
  </si>
  <si>
    <t>1-100-30</t>
  </si>
  <si>
    <t>Средний разряд работы 3,0</t>
  </si>
  <si>
    <t>чел.-ч.</t>
  </si>
  <si>
    <t>91.17.04-042</t>
  </si>
  <si>
    <t>ФСЭМ-2022, 91.17.04-042, приказ Минстроя России от 18.05.2022 г. № 378/пр</t>
  </si>
  <si>
    <t>Аппараты для газовой сварки и резки</t>
  </si>
  <si>
    <t>маш.-ч</t>
  </si>
  <si>
    <t>01.3.02.03-0001</t>
  </si>
  <si>
    <t>ФСБЦ-2022, 01.3.02.03-0001, приказ Минстроя России от 18.05.2022 г. № 378/пр</t>
  </si>
  <si>
    <t>Ацетилен газообразный технический</t>
  </si>
  <si>
    <t>м3</t>
  </si>
  <si>
    <t>01.3.02.08-0001</t>
  </si>
  <si>
    <t>ФСБЦ-2022 доп.3, 01.3.02.08-0001, приказ Минстроя России от 26.10.2022 г. № 905/пр</t>
  </si>
  <si>
    <t>Кислород газообразный технический</t>
  </si>
  <si>
    <t>1-100-40</t>
  </si>
  <si>
    <t>Средний разряд работы 4,0</t>
  </si>
  <si>
    <t>4-100-00</t>
  </si>
  <si>
    <t>Затраты труда машинистов</t>
  </si>
  <si>
    <t>91.05.01-017</t>
  </si>
  <si>
    <t>ФСЭМ-2022 доп.3, 91.05.01-017, приказ Минстроя России от 26.10.2022 г. № 905/пр</t>
  </si>
  <si>
    <t>Краны башенные, грузоподъемность 8 т</t>
  </si>
  <si>
    <t>4-100-060</t>
  </si>
  <si>
    <t>91.14.02-001</t>
  </si>
  <si>
    <t>ФСЭМ-2022 доп.7, 91.14.02-001, приказ Минстроя России от 02.08.2023 г. № 551/пр</t>
  </si>
  <si>
    <t>Автомобили бортовые, грузоподъемность до 5 т</t>
  </si>
  <si>
    <t>4-100-040</t>
  </si>
  <si>
    <t>91.17.04-233</t>
  </si>
  <si>
    <t>ФСЭМ-2022, 91.17.04-233, приказ Минстроя России от 18.05.2022 г. № 378/пр</t>
  </si>
  <si>
    <t>Аппараты сварочные для ручной дуговой сварки, сварочный ток до 350 А</t>
  </si>
  <si>
    <t>01.1.02.08-0001</t>
  </si>
  <si>
    <t>ФСБЦ-2022, 01.1.02.08-0001, приказ Минстроя России от 18.05.2022 г. № 378/пр</t>
  </si>
  <si>
    <t>Прокладки из паронита ПМБ, толщина 1 мм, диаметр 50 мм</t>
  </si>
  <si>
    <t>1000 ШТ</t>
  </si>
  <si>
    <t>01.7.11.07-0227</t>
  </si>
  <si>
    <t>ФСБЦ-2022, 01.7.11.07-0227, приказ Минстроя России от 18.05.2022 г. № 378/пр</t>
  </si>
  <si>
    <t>Электроды сварочные для сварки низколегированных и углеродистых сталей УОНИ 13/45, Э42А, диаметр 4-5 мм</t>
  </si>
  <si>
    <t>01.7.15.03-0014</t>
  </si>
  <si>
    <t>ФСБЦ-2022 доп.11, 01.7.15.03-0014, приказ Минстроя России от 09.08.2024 г. № 524/пр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</si>
  <si>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</si>
  <si>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23.3.03.02-0030</t>
  </si>
  <si>
    <t>ФСБЦ-2022, 23.3.03.02-0030, приказ Минстроя России от 18.05.2022 г. № 378/пр</t>
  </si>
  <si>
    <t>Трубы стальные бесшовные горячедеформированные со снятой фаской из стали марок 10, 20, 35, наружный диаметр 57 мм, толщина стенки 3,5 мм</t>
  </si>
  <si>
    <t>1-100-20</t>
  </si>
  <si>
    <t>Средний разряд работы 2,0</t>
  </si>
  <si>
    <t>01.7.03.04-0001</t>
  </si>
  <si>
    <t>ФСБЦ-2022, 01.7.03.04-0001, приказ Минстроя России от 18.05.2022 г. № 378/пр</t>
  </si>
  <si>
    <t>Электроэнергия</t>
  </si>
  <si>
    <t>КВТ-Ч</t>
  </si>
  <si>
    <t>1-100-50</t>
  </si>
  <si>
    <t>Средний разряд работы 5,0</t>
  </si>
  <si>
    <t>91.21.20-013</t>
  </si>
  <si>
    <t>ФСЭМ-2022 доп.17, 91.21.20-013, приказ Минстроя России от 17.02.2026 г. № 91/пр</t>
  </si>
  <si>
    <t>Установки алмазного бурения скважин в железобетоне электрические, диаметр бурения до 250 мм</t>
  </si>
  <si>
    <t>01.7.03.01-0001</t>
  </si>
  <si>
    <t>ФСБЦ-2022, 01.7.03.01-0001, приказ Минстроя России от 18.05.2022 г. № 378/пр</t>
  </si>
  <si>
    <t>Вода</t>
  </si>
  <si>
    <t>91.05.05-015</t>
  </si>
  <si>
    <t>ФСЭМ-2022, 91.05.05-015, приказ Минстроя России от 18.05.2022 г. № 378/пр</t>
  </si>
  <si>
    <t>Краны на автомобильном ходу, грузоподъемность 16 т</t>
  </si>
  <si>
    <t>01.3.02.03-0012</t>
  </si>
  <si>
    <t>ФСБЦ-2022 доп.3, 01.3.02.03-0012, приказ Минстроя России от 26.10.2022 г. № 905/пр</t>
  </si>
  <si>
    <t>Ацетилен растворенный технический, марка Б</t>
  </si>
  <si>
    <t>01.7.07.29-0101</t>
  </si>
  <si>
    <t>ФСБЦ-2022, 01.7.07.29-0101, приказ Минстроя России от 18.05.2022 г. № 378/пр</t>
  </si>
  <si>
    <t>Очес льняной</t>
  </si>
  <si>
    <t>01.7.11.04-0072</t>
  </si>
  <si>
    <t>ФСБЦ-2022, 01.7.11.04-0072, приказ Минстроя России от 18.05.2022 г. № 378/пр</t>
  </si>
  <si>
    <t>Проволока сварочная без покрытия СВ-08Г2С, диаметр 4 мм</t>
  </si>
  <si>
    <t>03.1.02.03-0015</t>
  </si>
  <si>
    <t>ФСБЦ-2022, 03.1.02.03-0015, приказ Минстроя России от 18.05.2022 г. № 378/пр</t>
  </si>
  <si>
    <t>Известь строительная негашеная хлорная, марка А</t>
  </si>
  <si>
    <t>14.4.02.04-0142</t>
  </si>
  <si>
    <t>ФСБЦ-2022, 14.4.02.04-0142, приказ Минстроя России от 18.05.2022 г. № 378/пр</t>
  </si>
  <si>
    <t>Краска масляная МА-0115, мумия, сурик железный</t>
  </si>
  <si>
    <t>14.5.05.01-0012</t>
  </si>
  <si>
    <t>ФСБЦ-2022, 14.5.05.01-0012, приказ Минстроя России от 18.05.2022 г. № 378/пр</t>
  </si>
  <si>
    <t>Олифа комбинированная для разведения масляных густотертых красок и для внешних работ по деревянным поверхностям</t>
  </si>
  <si>
    <t>1-100-41</t>
  </si>
  <si>
    <t>Средний разряд работы 4,1</t>
  </si>
  <si>
    <t>04.3.01.09-0016</t>
  </si>
  <si>
    <t>ФСБЦ-2022, 04.3.01.09-0016, приказ Минстроя России от 18.05.2022 г. № 378/пр</t>
  </si>
  <si>
    <t>Раствор готовый кладочный, цементный, М200</t>
  </si>
  <si>
    <t>2-100-01</t>
  </si>
  <si>
    <t>Рабочий 1 разряда</t>
  </si>
  <si>
    <t>чел.-ч</t>
  </si>
  <si>
    <t>2-100-03</t>
  </si>
  <si>
    <t>Рабочий 3 разряда</t>
  </si>
  <si>
    <t>2-100-04</t>
  </si>
  <si>
    <t>Рабочий 4 разряда</t>
  </si>
  <si>
    <t>2-100-05</t>
  </si>
  <si>
    <t>Рабочий 5 разряда</t>
  </si>
  <si>
    <t>91.17.04-033</t>
  </si>
  <si>
    <t>ФСЭМ-2022 доп.11, 91.17.04-033, приказ Минстроя России от 07.11.2024 г. № 747/пр</t>
  </si>
  <si>
    <t>Агрегаты сварочные для ручной дуговой сварки на тракторе, сварочный ток до 250 А, количество постов 2, мощность трактора 79 кВт (108 л.с.)</t>
  </si>
  <si>
    <t>4-100-050</t>
  </si>
  <si>
    <t>01.7.11.07-0039</t>
  </si>
  <si>
    <t>ФСБЦ-2022, 01.7.11.07-0039, приказ Минстроя России от 18.05.2022 г. № 378/пр</t>
  </si>
  <si>
    <t>Электроды сварочные для сварки низколегированных и углеродистых сталей Э50, диаметр 4 мм</t>
  </si>
  <si>
    <t>01.7.17.07-0053</t>
  </si>
  <si>
    <t>ФСБЦ-2022 доп.10, 01.7.17.07-0053, приказ Минстроя России от 13.05.2024 г. № 323/пр</t>
  </si>
  <si>
    <t>Круг шлифовальный прямого профиля, размеры 180х10х22 мм</t>
  </si>
  <si>
    <t>1-100-35</t>
  </si>
  <si>
    <t>Средний разряд работы 3,5</t>
  </si>
  <si>
    <t>1-100-42</t>
  </si>
  <si>
    <t>Средний разряд работы 4,2</t>
  </si>
  <si>
    <t>91.21.22-443</t>
  </si>
  <si>
    <t>ФСЭМ-2022 доп.4, 91.21.22-443, приказ Минстроя России от 27.12.2022 г. № 1133/пр</t>
  </si>
  <si>
    <t>Станки универсальные электромеханические для изготовления бандажей, диафрагм, пряжек, мощность 0,75 кВт</t>
  </si>
  <si>
    <t>01.7.06.14-0036</t>
  </si>
  <si>
    <t>ФСБЦ-2022, 01.7.06.14-0036, приказ Минстроя России от 18.05.2022 г. № 378/пр</t>
  </si>
  <si>
    <t>Ленты термоизоляционные на основе вспененного каучука с липким слоем с одной стороны для герметизации стыков рулонной теплоизоляции, цвет серый, ширина 50 мм, толщина 3 мм</t>
  </si>
  <si>
    <t>10.1.02.02-0102</t>
  </si>
  <si>
    <t>ФСБЦ-2022, 10.1.02.02-0102, приказ Минстроя России от 18.05.2022 г. № 378/пр</t>
  </si>
  <si>
    <t>Листы из алюминия марки АД1Н, толщина 0,5-2,0 мм</t>
  </si>
  <si>
    <t>12.2.01.01-0021</t>
  </si>
  <si>
    <t>ФСБЦ-2022, 12.2.01.01-0021, приказ Минстроя России от 18.05.2022 г. № 378/пр</t>
  </si>
  <si>
    <t>Клипсы (зажимы)</t>
  </si>
  <si>
    <t>14.1.04.01-0004</t>
  </si>
  <si>
    <t>ФСБЦ-2022 доп.18, 14.1.04.01-0004, приказ Минстроя России от 15.05.2026 г. № 301/пр</t>
  </si>
  <si>
    <t>Клей контактный на основе бутадиен-нитрильного каучука для соединения теплоизоляционных материалов, плотность 0,84 г/см3</t>
  </si>
  <si>
    <t>л</t>
  </si>
  <si>
    <t>14.5.09.05-0103</t>
  </si>
  <si>
    <t>ФСБЦ-2022, 14.5.09.05-0103, приказ Минстроя России от 18.05.2022 г. № 378/пр</t>
  </si>
  <si>
    <t>Очиститель клея</t>
  </si>
  <si>
    <t>12.2.07.04</t>
  </si>
  <si>
    <t>Трубки из вспененного каучука, полиэтилена</t>
  </si>
  <si>
    <t>14.3.02.06-0008</t>
  </si>
  <si>
    <t>ФСБЦ-2022 доп.7, 14.3.02.06-0008, приказ Минстроя России от 02.08.2023 г. № 551/пр</t>
  </si>
  <si>
    <t>Краска полимерная на водной основе для защиты теплоизоляционных материалов, температура применения от +7 до +30 °C, расход 0,4 л/м2, цвет белый, серый</t>
  </si>
  <si>
    <t>*1,35</t>
  </si>
  <si>
    <t>421/пр_2020_прил.10_т.5_п.5_гр.5</t>
  </si>
  <si>
    <t>Методика 421/пр (Кап. ремонт)</t>
  </si>
  <si>
    <t>421/пр_2020_прил.10_т.5_п.5_гр.3</t>
  </si>
  <si>
    <t>*1,25</t>
  </si>
  <si>
    <t>*1,15</t>
  </si>
  <si>
    <t>421/пр_2020_п.58_пп.б</t>
  </si>
  <si>
    <t>Методика 421/пр (О.П.)</t>
  </si>
  <si>
    <t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t>
  </si>
  <si>
    <t>Производство ремонтно-строительных работ осуществляется внутри работающих трансформаторных и распределительных подстанций, в электропомещениях (щитовые, пультовые, подстанции, реакторные, РУ и пункты, кабельные шахты, тоннели и каналы, кабельные полуэтажи) с действующим электрооборудованием или кабельными линиями под напряжением</t>
  </si>
  <si>
    <t>Поправка: 421/пр_2020_прил.10_т.5_п.5_гр.5
Наименование: Производство ремонтно-строительных работ осуществляется внутри работающих трансформаторных и распределительных подстанций, в электропомещениях (щитовые, пультовые, подстанции, реакторные, РУ и пункты, кабельные шахты, тоннели и каналы, кабельные полуэтажи) с действующим электрооборудованием или кабельными линиями под напряжением</t>
  </si>
  <si>
    <t>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</si>
  <si>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Поправка: 421/пр_2020_прил.10_т.5_п.5_гр.3
Наименование: Производство ремонтно-строительных работ осуществляется внутри работающих трансформаторных и распределительных подстанций, в электропомещениях (щитовые, пультовые, подстанции, реакторные, РУ и пункты, кабельные шахты, тоннели и каналы, кабельные полуэтажи) с действующим электрооборудованием или кабельными линиями под напряжением
Поправка: 421/пр_2020_п.58_пп.б
Наименование: 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</t>
  </si>
  <si>
    <t>Наименование программного продукта</t>
  </si>
  <si>
    <t>Наименование редакции сметных нормативов</t>
  </si>
  <si>
    <t>Реквизиты приказа Минстроя России об утверждении дополнений и изменений к сметным нормативам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</si>
  <si>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N 326/пр 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</si>
  <si>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N 1452</t>
  </si>
  <si>
    <t>Обоснование принятых текущих цен на строительные ресурсы</t>
  </si>
  <si>
    <t>Наименование субъекта Российской Федерации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</si>
  <si>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</si>
  <si>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</si>
  <si>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</si>
  <si>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(наименование работ и затрат)</t>
  </si>
  <si>
    <t>Составлен</t>
  </si>
  <si>
    <t>методом</t>
  </si>
  <si>
    <t>Основание</t>
  </si>
  <si>
    <t>(проектная и (или) иная техническая документация)</t>
  </si>
  <si>
    <t>Сметная стоимость</t>
  </si>
  <si>
    <t>тыс. руб.</t>
  </si>
  <si>
    <t>Средства на оплату труда рабочих</t>
  </si>
  <si>
    <t>в том числе:</t>
  </si>
  <si>
    <t>Средства на оплату труда машинистов</t>
  </si>
  <si>
    <t>строительных работ</t>
  </si>
  <si>
    <t xml:space="preserve">Нормативные затраты труда рабочих </t>
  </si>
  <si>
    <t xml:space="preserve">монтажных работ    </t>
  </si>
  <si>
    <t xml:space="preserve">Нормативные затраты труда машинистов </t>
  </si>
  <si>
    <t xml:space="preserve">оборудования         </t>
  </si>
  <si>
    <t xml:space="preserve">прочих затрат     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</si>
  <si>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</si>
  <si>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</si>
  <si>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</si>
  <si>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</si>
  <si>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</si>
  <si>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</si>
  <si>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</si>
  <si>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</si>
  <si>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</si>
  <si>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</si>
  <si>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</si>
  <si>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</si>
  <si>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</si>
  <si>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Программа для ЭВМ «Программа: «Smeta.RU Flash» версия 12»</t>
  </si>
  <si>
    <t>ФГИС ЦС, конъюнктурный анализ</t>
  </si>
  <si>
    <t>Ресурсно-индексным</t>
  </si>
  <si>
    <t>Составлен(а) в текущем уровне цен на июнь 2026 года</t>
  </si>
  <si>
    <t>ГЭСНр 65-02-003-04</t>
  </si>
  <si>
    <t>Производство ремонтно-строительных работ осуществляется внутри работающих трансформаторных и распределительных подстанций, в электропомещениях (щитовые, пультовые, подстанции, реакторные, РУ и пункты, кабельные шахты, тоннели и каналы, кабельные полуэтажи) с действующим электрооборудованием или кабельными линиями под напряжением
ЭМ *1,35; ЗТ *1,35; ЗТм *1,35</t>
  </si>
  <si>
    <t>ОТ (ЗТ)</t>
  </si>
  <si>
    <t>ЭМ</t>
  </si>
  <si>
    <t>ОТм(ЗТм)</t>
  </si>
  <si>
    <t>М</t>
  </si>
  <si>
    <t>Итого прямые затраты</t>
  </si>
  <si>
    <t>ФОТ</t>
  </si>
  <si>
    <t>НР Внутренние санитарнотехнические работы: демонтаж и разборка</t>
  </si>
  <si>
    <t>%</t>
  </si>
  <si>
    <t>СП Внутренние санитарнотехнические работы: демонтаж и разборка</t>
  </si>
  <si>
    <t>Всего по позиции</t>
  </si>
  <si>
    <t>=</t>
  </si>
  <si>
    <t>ГЭСН 16-07-003-06</t>
  </si>
  <si>
    <t>При отсутствии необходимых норм (единичных расценок), включенных в сборники ГЭСНр (ФЕРр, ТЕРр), сметные затраты на работы по капитальному ремонту и реконструкции объектов капитального строительства могут быть определены по сметным нормам, включенным в ГЭСН (ФЕР, ТЕР), аналогичным технологическим процессам в новом строительстве, в том числе по возведению новых конструктивных элементов
ЭМ *1,25; ЗТ *1,15; ЗТм *1,25; НР *0,9; СП *0,85</t>
  </si>
  <si>
    <t>Результирующие коэффициенты: 
ЭМ (0,35+1)*1,25=1,6875;
ЗТ (0,35+1)*1,15=1,5525;
ЗТм (0,35+1)*1,25=1,6875;
НР 0,9;
СП 0,85</t>
  </si>
  <si>
    <t>ОТм(ЗТм) Средний разряд машинистов 6</t>
  </si>
  <si>
    <t>ОТм(ЗТм) Средний разряд машинистов 4</t>
  </si>
  <si>
    <t>Пр/812-016.0-1;_x000D_
п.25</t>
  </si>
  <si>
    <t>НР 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</si>
  <si>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Пр/774-016.0;_x000D_
п.16</t>
  </si>
  <si>
    <t>СП Сантехнические работы: внутренние трубопроводы, внутренние устройства водопровода, канализации, отопления, газоснабжения, вентиляция  кондиционирование воздуха</t>
  </si>
  <si>
    <t>ГЭСНр 69-01-040-05</t>
  </si>
  <si>
    <t>3.1</t>
  </si>
  <si>
    <t>НР Прочие ремонтно-строительные работы</t>
  </si>
  <si>
    <t>СП Прочие ремонтно-строительные работы</t>
  </si>
  <si>
    <t>ГЭСН 16-02-004-01</t>
  </si>
  <si>
    <t>4.1</t>
  </si>
  <si>
    <t>4.2</t>
  </si>
  <si>
    <t>4.3</t>
  </si>
  <si>
    <t>ГЭСН 16-05-001-02</t>
  </si>
  <si>
    <t>5.1</t>
  </si>
  <si>
    <t>ГЭСН 26-01-017-01</t>
  </si>
  <si>
    <t>6.1</t>
  </si>
  <si>
    <t>Пр/812-020.0-1;_x000D_
п.25</t>
  </si>
  <si>
    <t>НР Теплоизоляционные работы</t>
  </si>
  <si>
    <t>Пр/774-020.0;_x000D_
п.16</t>
  </si>
  <si>
    <t>СП Теплоизоляционные работы</t>
  </si>
  <si>
    <t>ИТОГИ ПО СМЕТЕ</t>
  </si>
  <si>
    <t>ВСЕГО строительные работы</t>
  </si>
  <si>
    <t>в том числе</t>
  </si>
  <si>
    <t>Всего прямые затраты</t>
  </si>
  <si>
    <t xml:space="preserve">  оплата труда (ОТ)</t>
  </si>
  <si>
    <t xml:space="preserve">  эксплуатация машин и механизмов</t>
  </si>
  <si>
    <t xml:space="preserve">  в том числе</t>
  </si>
  <si>
    <t xml:space="preserve">    в том числе</t>
  </si>
  <si>
    <t xml:space="preserve">    доплаты к оплате труда машинистов</t>
  </si>
  <si>
    <t xml:space="preserve">  материальные ресурсы</t>
  </si>
  <si>
    <t xml:space="preserve">    материальные ресурсы без учета дополнительной перевозки</t>
  </si>
  <si>
    <t xml:space="preserve">    дополнительная перевозка материальных ресурсов</t>
  </si>
  <si>
    <t xml:space="preserve">  перевозка</t>
  </si>
  <si>
    <t>ФОТ (справочно)</t>
  </si>
  <si>
    <t>накладные расходы</t>
  </si>
  <si>
    <t>сметная прибыль</t>
  </si>
  <si>
    <t xml:space="preserve">  оплата труда машинистов (ОТм)</t>
  </si>
  <si>
    <t>ВСЕГО монтажные работы</t>
  </si>
  <si>
    <t>ВСЕГО оборудование</t>
  </si>
  <si>
    <t xml:space="preserve">  оборудование без учета дополнительной перевозки</t>
  </si>
  <si>
    <t xml:space="preserve">  дополнительная перевозка оборудования</t>
  </si>
  <si>
    <t>ВСЕГО прочие затраты</t>
  </si>
  <si>
    <t xml:space="preserve">   прочие затраты</t>
  </si>
  <si>
    <t xml:space="preserve">   прочие перевозки</t>
  </si>
  <si>
    <t xml:space="preserve">   Хозяйственный инвентарь</t>
  </si>
  <si>
    <t>Пусконаладочные работы</t>
  </si>
  <si>
    <t>ВСЕГО по смете</t>
  </si>
  <si>
    <t>Всего ФОТ (справочно)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</si>
  <si>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</si>
  <si>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</si>
  <si>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</si>
  <si>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</si>
  <si>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>Справочно</t>
  </si>
  <si>
    <t xml:space="preserve">  материальные ресурсы, отсутствующие в ФРСН</t>
  </si>
  <si>
    <t xml:space="preserve">  оборудование, отсутствующие в ФРСН</t>
  </si>
  <si>
    <t xml:space="preserve">  затраты труда рабочих</t>
  </si>
  <si>
    <t xml:space="preserve">  затраты труда машинистов</t>
  </si>
  <si>
    <t xml:space="preserve">Составил   </t>
  </si>
  <si>
    <t>[должность,подпись(инициалы,фамилия)]</t>
  </si>
  <si>
    <t xml:space="preserve">Проверил   </t>
  </si>
  <si>
    <t>"УТВЕРЖДАЮ"</t>
  </si>
  <si>
    <t>___________________________</t>
  </si>
  <si>
    <t>" ___ " ___________ 20 ___ г.</t>
  </si>
  <si>
    <t>№ в ЛСР</t>
  </si>
  <si>
    <t>Ссылка на чертежи, спецификации</t>
  </si>
  <si>
    <t>Формула расчета, расчет объемов работ и расхода материалов</t>
  </si>
  <si>
    <t>Примечание</t>
  </si>
  <si>
    <t>Главный инженер проекта _________________</t>
  </si>
  <si>
    <t>Составил 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</si>
</sst>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0.0000"/>
    <numFmt numFmtId="166" formatCode="#,##0.00;[Red]\-\ #,##0.00"/>
    <numFmt numFmtId="167" formatCode="#,##0.00#####;[Red]\-\ #,##0.00#####"/>
  </numFmts>
  <fonts count="28" x14ac:knownFonts="1">
    <font>
      <sz val="10"/>
      <name val="Arial"/>
      <charset val="204"/>
    </font>
    <font>
      <b/>
      <sz val="10"/>
      <color indexed="12"/>
      <name val="Arial"/>
      <charset val="204"/>
    </font>
    <font>
      <b/>
      <sz val="10"/>
      <color indexed="16"/>
      <name val="Arial"/>
      <charset val="204"/>
    </font>
    <font>
      <b/>
      <sz val="10"/>
      <color indexed="20"/>
      <name val="Arial"/>
      <charset val="204"/>
    </font>
    <font>
      <b/>
      <sz val="10"/>
      <color indexed="17"/>
      <name val="Arial"/>
      <charset val="204"/>
    </font>
    <font>
      <sz val="10"/>
      <color indexed="17"/>
      <name val="Arial"/>
      <charset val="204"/>
    </font>
    <font>
      <sz val="10"/>
      <color indexed="12"/>
      <name val="Arial"/>
      <charset val="204"/>
    </font>
    <font>
      <sz val="10"/>
      <color indexed="14"/>
      <name val="Arial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 Cyr"/>
      <charset val="204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2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1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4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9" fillId="0" borderId="0" xfId="0" applyFont="1"/>
    <xf numFmtId="0" fontId="10" fillId="0" borderId="0" xfId="0" applyNumberFormat="1" applyFont="1" applyAlignment="1">
      <alignment horizontal="left" vertical="top" wrapText="1"/>
    </xf>
    <xf numFmtId="0" fontId="10" fillId="0" borderId="1" xfId="0" applyNumberFormat="1" applyFont="1" applyBorder="1" applyAlignment="1">
      <alignment horizontal="left" vertical="top" wrapText="1"/>
    </xf>
    <xf numFmtId="0" fontId="10" fillId="0" borderId="0" xfId="0" applyNumberFormat="1" applyFont="1" applyAlignment="1"/>
    <xf numFmtId="0" fontId="10" fillId="0" borderId="0" xfId="0" applyNumberFormat="1" applyFont="1" applyAlignment="1">
      <alignment vertical="top" wrapText="1"/>
    </xf>
    <xf numFmtId="0" fontId="10" fillId="0" borderId="2" xfId="0" applyNumberFormat="1" applyFont="1" applyBorder="1" applyAlignment="1">
      <alignment vertical="top"/>
    </xf>
    <xf numFmtId="0" fontId="10" fillId="0" borderId="0" xfId="0" applyNumberFormat="1" applyFont="1" applyAlignment="1">
      <alignment horizontal="left" vertical="top" wrapText="1"/>
    </xf>
    <xf numFmtId="0" fontId="10" fillId="0" borderId="2" xfId="0" applyNumberFormat="1" applyFont="1" applyBorder="1" applyAlignment="1">
      <alignment horizontal="left" vertical="top" wrapText="1"/>
    </xf>
    <xf numFmtId="0" fontId="11" fillId="0" borderId="0" xfId="0" applyNumberFormat="1" applyFont="1" applyAlignment="1"/>
    <xf numFmtId="0" fontId="11" fillId="0" borderId="2" xfId="0" applyNumberFormat="1" applyFont="1" applyBorder="1" applyAlignment="1"/>
    <xf numFmtId="0" fontId="14" fillId="0" borderId="0" xfId="0" applyNumberFormat="1" applyFont="1" applyAlignment="1">
      <alignment horizontal="center" wrapText="1"/>
    </xf>
    <xf numFmtId="0" fontId="14" fillId="0" borderId="1" xfId="0" applyNumberFormat="1" applyFont="1" applyBorder="1" applyAlignment="1">
      <alignment horizontal="center" wrapText="1"/>
    </xf>
    <xf numFmtId="0" fontId="16" fillId="0" borderId="2" xfId="0" applyNumberFormat="1" applyFont="1" applyBorder="1" applyAlignment="1">
      <alignment horizontal="center" vertical="top" wrapText="1"/>
    </xf>
    <xf numFmtId="0" fontId="17" fillId="0" borderId="0" xfId="0" applyNumberFormat="1" applyFont="1" applyAlignment="1"/>
    <xf numFmtId="0" fontId="17" fillId="0" borderId="0" xfId="0" applyNumberFormat="1" applyFont="1" applyAlignment="1">
      <alignment wrapText="1"/>
    </xf>
    <xf numFmtId="0" fontId="18" fillId="0" borderId="0" xfId="0" applyNumberFormat="1" applyFont="1" applyAlignment="1">
      <alignment vertical="center" wrapText="1"/>
    </xf>
    <xf numFmtId="0" fontId="18" fillId="0" borderId="0" xfId="0" applyNumberFormat="1" applyFont="1" applyAlignment="1">
      <alignment horizontal="center" wrapText="1"/>
    </xf>
    <xf numFmtId="0" fontId="19" fillId="0" borderId="1" xfId="0" applyNumberFormat="1" applyFont="1" applyBorder="1" applyAlignment="1">
      <alignment horizontal="center" wrapText="1"/>
    </xf>
    <xf numFmtId="0" fontId="10" fillId="0" borderId="0" xfId="0" applyNumberFormat="1" applyFont="1" applyAlignment="1">
      <alignment horizontal="center"/>
    </xf>
    <xf numFmtId="0" fontId="10" fillId="0" borderId="1" xfId="0" applyNumberFormat="1" applyFont="1" applyBorder="1" applyAlignment="1">
      <alignment horizontal="center"/>
    </xf>
    <xf numFmtId="0" fontId="10" fillId="0" borderId="2" xfId="0" applyNumberFormat="1" applyFont="1" applyBorder="1" applyAlignment="1"/>
    <xf numFmtId="0" fontId="10" fillId="0" borderId="1" xfId="0" applyNumberFormat="1" applyFont="1" applyBorder="1" applyAlignment="1">
      <alignment horizontal="left" wrapText="1"/>
    </xf>
    <xf numFmtId="0" fontId="10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wrapText="1"/>
    </xf>
    <xf numFmtId="0" fontId="13" fillId="0" borderId="0" xfId="0" applyNumberFormat="1" applyFont="1" applyAlignment="1"/>
    <xf numFmtId="14" fontId="17" fillId="0" borderId="0" xfId="0" applyNumberFormat="1" applyFont="1" applyAlignment="1"/>
    <xf numFmtId="0" fontId="10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/>
    <xf numFmtId="165" fontId="10" fillId="0" borderId="0" xfId="0" applyNumberFormat="1" applyFont="1" applyAlignment="1">
      <alignment horizontal="right"/>
    </xf>
    <xf numFmtId="0" fontId="17" fillId="0" borderId="1" xfId="0" applyNumberFormat="1" applyFont="1" applyBorder="1" applyAlignment="1"/>
    <xf numFmtId="0" fontId="10" fillId="0" borderId="2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/>
    </xf>
    <xf numFmtId="0" fontId="17" fillId="0" borderId="0" xfId="0" applyNumberFormat="1" applyFont="1" applyAlignment="1">
      <alignment horizontal="center"/>
    </xf>
    <xf numFmtId="0" fontId="17" fillId="0" borderId="7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left" vertical="top" wrapText="1"/>
    </xf>
    <xf numFmtId="0" fontId="20" fillId="0" borderId="0" xfId="0" applyFont="1"/>
    <xf numFmtId="0" fontId="20" fillId="0" borderId="0" xfId="0" quotePrefix="1" applyFont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right" vertical="top" wrapText="1"/>
    </xf>
    <xf numFmtId="166" fontId="20" fillId="0" borderId="0" xfId="0" applyNumberFormat="1" applyFont="1" applyAlignment="1">
      <alignment horizontal="right" vertical="top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22" fillId="0" borderId="0" xfId="0" quotePrefix="1" applyFont="1" applyAlignment="1">
      <alignment vertical="top" wrapText="1"/>
    </xf>
    <xf numFmtId="0" fontId="8" fillId="0" borderId="0" xfId="0" applyFont="1" applyAlignment="1">
      <alignment vertical="top" wrapText="1"/>
    </xf>
    <xf numFmtId="167" fontId="20" fillId="0" borderId="0" xfId="0" applyNumberFormat="1" applyFont="1" applyAlignment="1">
      <alignment horizontal="right" vertical="top"/>
    </xf>
    <xf numFmtId="166" fontId="23" fillId="0" borderId="0" xfId="0" applyNumberFormat="1" applyFont="1" applyAlignment="1">
      <alignment horizontal="right" vertical="top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right" vertical="top" wrapText="1"/>
    </xf>
    <xf numFmtId="0" fontId="20" fillId="0" borderId="1" xfId="0" applyFont="1" applyBorder="1" applyAlignment="1">
      <alignment horizontal="right" vertical="top"/>
    </xf>
    <xf numFmtId="166" fontId="20" fillId="0" borderId="1" xfId="0" applyNumberFormat="1" applyFont="1" applyBorder="1" applyAlignment="1">
      <alignment horizontal="right" vertical="top"/>
    </xf>
    <xf numFmtId="0" fontId="20" fillId="0" borderId="1" xfId="0" applyFont="1" applyBorder="1" applyAlignment="1">
      <alignment horizontal="right" vertical="top" wrapText="1"/>
    </xf>
    <xf numFmtId="166" fontId="0" fillId="0" borderId="0" xfId="0" applyNumberFormat="1"/>
    <xf numFmtId="166" fontId="20" fillId="0" borderId="0" xfId="0" applyNumberFormat="1" applyFont="1" applyAlignment="1">
      <alignment horizontal="right"/>
    </xf>
    <xf numFmtId="0" fontId="23" fillId="0" borderId="0" xfId="0" applyFont="1" applyAlignment="1">
      <alignment horizontal="left" vertical="top" wrapText="1"/>
    </xf>
    <xf numFmtId="0" fontId="20" fillId="0" borderId="0" xfId="0" applyFont="1" applyAlignment="1">
      <alignment vertical="top"/>
    </xf>
    <xf numFmtId="166" fontId="23" fillId="0" borderId="0" xfId="0" applyNumberFormat="1" applyFont="1" applyAlignment="1">
      <alignment horizontal="left" vertical="top"/>
    </xf>
    <xf numFmtId="166" fontId="23" fillId="0" borderId="2" xfId="0" applyNumberFormat="1" applyFont="1" applyBorder="1" applyAlignment="1">
      <alignment horizontal="right" vertical="top"/>
    </xf>
    <xf numFmtId="0" fontId="24" fillId="0" borderId="0" xfId="0" applyFont="1" applyAlignment="1">
      <alignment vertical="top" wrapText="1"/>
    </xf>
    <xf numFmtId="0" fontId="24" fillId="0" borderId="0" xfId="0" quotePrefix="1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3" fillId="0" borderId="0" xfId="0" applyFont="1" applyAlignment="1">
      <alignment vertical="top"/>
    </xf>
    <xf numFmtId="0" fontId="12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3" fillId="0" borderId="0" xfId="0" applyFont="1" applyAlignment="1">
      <alignment horizontal="right" vertical="top"/>
    </xf>
    <xf numFmtId="0" fontId="23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 wrapText="1"/>
    </xf>
    <xf numFmtId="0" fontId="23" fillId="0" borderId="2" xfId="0" applyFont="1" applyBorder="1" applyAlignment="1">
      <alignment horizontal="left" vertical="top" wrapText="1"/>
    </xf>
    <xf numFmtId="166" fontId="23" fillId="0" borderId="2" xfId="0" applyNumberFormat="1" applyFont="1" applyBorder="1" applyAlignment="1">
      <alignment horizontal="right" vertical="top"/>
    </xf>
    <xf numFmtId="0" fontId="23" fillId="0" borderId="2" xfId="0" applyFont="1" applyBorder="1" applyAlignment="1">
      <alignment horizontal="right" vertical="top"/>
    </xf>
    <xf numFmtId="0" fontId="21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wrapText="1"/>
    </xf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Alignment="1"/>
    <xf numFmtId="166" fontId="11" fillId="0" borderId="0" xfId="0" applyNumberFormat="1" applyFont="1" applyAlignment="1"/>
    <xf numFmtId="167" fontId="11" fillId="0" borderId="0" xfId="0" applyNumberFormat="1" applyFont="1" applyAlignment="1"/>
    <xf numFmtId="0" fontId="11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 vertical="center"/>
    </xf>
    <xf numFmtId="0" fontId="17" fillId="0" borderId="0" xfId="0" applyNumberFormat="1" applyFont="1" applyAlignment="1">
      <alignment horizontal="left"/>
    </xf>
    <xf numFmtId="0" fontId="17" fillId="0" borderId="1" xfId="0" applyNumberFormat="1" applyFont="1" applyBorder="1" applyAlignment="1">
      <alignment horizontal="left"/>
    </xf>
    <xf numFmtId="0" fontId="17" fillId="0" borderId="0" xfId="0" applyNumberFormat="1" applyFont="1" applyAlignment="1">
      <alignment horizontal="right"/>
    </xf>
    <xf numFmtId="0" fontId="25" fillId="0" borderId="2" xfId="0" applyNumberFormat="1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26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center" vertical="center"/>
    </xf>
    <xf numFmtId="0" fontId="20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23" fillId="0" borderId="0" xfId="0" applyFont="1" applyBorder="1"/>
    <xf numFmtId="0" fontId="23" fillId="0" borderId="0" xfId="0" applyFont="1" applyBorder="1" applyAlignment="1">
      <alignment horizontal="left"/>
    </xf>
    <xf numFmtId="0" fontId="23" fillId="0" borderId="0" xfId="0" applyFont="1" applyAlignment="1">
      <alignment horizontal="left" wrapText="1"/>
    </xf>
    <xf numFmtId="166" fontId="23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06"/>
  <sheetViews>
    <sheetView tabSelected="1" zoomScaleNormal="100" workbookViewId="0"/>
  </sheetViews>
  <sheetFormatPr defaultRowHeight="12.75" x14ac:dyDescent="0.2"/>
  <cols>
    <col min="1" max="1" width="5.7109375" customWidth="1"/>
    <col min="2" max="2" width="20.7109375" customWidth="1"/>
    <col min="3" max="3" width="40.7109375" customWidth="1"/>
    <col min="4" max="4" width="10.7109375" customWidth="1"/>
    <col min="5" max="12" width="15.7109375" customWidth="1"/>
    <col min="15" max="92" width="0" hidden="1" customWidth="1"/>
    <col min="93" max="93" width="108.7109375" hidden="1" customWidth="1"/>
    <col min="94" max="100" width="0" hidden="1" customWidth="1"/>
    <col min="101" max="101" width="83.7109375" hidden="1" customWidth="1"/>
  </cols>
  <sheetData>
    <row r="1" spans="1:93" x14ac:dyDescent="0.2">
      <c r="A1" s="14" t="str">
        <f>Source!B1</f>
        <v>Smeta.RU Flash  (495) 974-1589</v>
      </c>
    </row>
    <row r="2" spans="1:93" ht="12.75" customHeight="1" x14ac:dyDescent="0.2">
      <c r="A2" s="15" t="s">
        <v>428</v>
      </c>
      <c r="B2" s="15"/>
      <c r="C2" s="15"/>
      <c r="D2" s="15"/>
      <c r="E2" s="15"/>
      <c r="F2" s="16" t="s">
        <v>467</v>
      </c>
      <c r="G2" s="16"/>
      <c r="H2" s="16"/>
      <c r="I2" s="16"/>
      <c r="J2" s="16"/>
      <c r="K2" s="16"/>
      <c r="L2" s="16"/>
    </row>
    <row r="3" spans="1:93" ht="12.75" customHeight="1" x14ac:dyDescent="0.2">
      <c r="A3" s="18"/>
      <c r="B3" s="18"/>
      <c r="C3" s="18"/>
      <c r="D3" s="18"/>
      <c r="E3" s="18"/>
      <c r="F3" s="19"/>
      <c r="G3" s="19"/>
      <c r="H3" s="19"/>
      <c r="I3" s="19"/>
      <c r="J3" s="19"/>
      <c r="K3" s="19"/>
      <c r="L3" s="19"/>
    </row>
    <row r="4" spans="1:93" ht="25.5" x14ac:dyDescent="0.2">
      <c r="A4" s="15" t="s">
        <v>429</v>
      </c>
      <c r="B4" s="15"/>
      <c r="C4" s="15"/>
      <c r="D4" s="15"/>
      <c r="E4" s="15"/>
      <c r="F4" s="16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  <c r="G4" s="16"/>
      <c r="H4" s="16"/>
      <c r="I4" s="16"/>
      <c r="J4" s="16"/>
      <c r="K4" s="16"/>
      <c r="L4" s="16"/>
      <c r="CO4" s="62" t="str">
        <f>IF(Source!CQ12 &lt;&gt; "", Source!CQ12, "")</f>
        <v>Приказ Минстроя России от 30.12.2021 г. № 1046/пр;  Приказ Минстроя России от 04.08.2020 г. № 421/пр;  Приказ Минстроя России от 21.12.2020 г. № 812/пр;  Приказ Минстроя России от 11.12.2020 г. № 774/пр</v>
      </c>
    </row>
    <row r="5" spans="1:93" ht="12.75" customHeight="1" x14ac:dyDescent="0.2">
      <c r="A5" s="18"/>
      <c r="B5" s="18"/>
      <c r="C5" s="18"/>
      <c r="D5" s="18"/>
      <c r="E5" s="18"/>
      <c r="F5" s="19"/>
      <c r="G5" s="19"/>
      <c r="H5" s="19"/>
      <c r="I5" s="19"/>
      <c r="J5" s="19"/>
      <c r="K5" s="19"/>
      <c r="L5" s="19"/>
    </row>
    <row r="6" spans="1:93" ht="140.25" x14ac:dyDescent="0.2">
      <c r="A6" s="15" t="s">
        <v>430</v>
      </c>
      <c r="B6" s="15"/>
      <c r="C6" s="15"/>
      <c r="D6" s="15"/>
      <c r="E6" s="15"/>
      <c r="F6" s="16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  <c r="G6" s="16"/>
      <c r="H6" s="16"/>
      <c r="I6" s="16"/>
      <c r="J6" s="16"/>
      <c r="K6" s="16"/>
      <c r="L6" s="16"/>
      <c r="CO6" s="62" t="str">
        <f>IF(Source!CV12 &lt;&gt; "", Source!CV12, "")</f>
        <v>Приказ Минстроя России от 18.05.2022 г. № 378/пр; Приказ Минстроя России от 26.08.2022 г. № 703/пр; Приказ Минстроя России от 26.10.2022 г. № 905/пр;  Приказ Минстроя России от 27.12.2022 г. № 1133/пр; Приказ Минстроя России от 10.02.2023 г. № 84/пр; Приказ Минстроя России от 11.05.2023 г. № 335/пр;  Приказ Минстроя России от 02.08.2023 г. № 551/пр; Приказ Минстроя России от 14.11.2023 г. № 817/пр; Приказ Минстроя России от 16.02.2024 г. № 102/пр;  Приказ Минстроя России от 13.05.2024 г. № 323/пр; Приказ Минстроя России от 09.08.2024 г. № 524/пр; Приказ Минстроя России от 07.11.2024 г. № 747/пр;  Приказ Минстроя России от 07.02.2025 г. № 69/пр; Приказ Минстроя России от 19.05.2025 г. № 299/пр; Приказ Минстроя России от 14.08.2025 г. № 490/пр;  Приказ Минстроя России от 12.11.2025 г. № 696/пр; Приказ Минстроя России от 17.02.2026 г. № 91/пр; Приказ Минстроя России от 15.05.2026 г. № 301/пр;  Приказ Минстроя России от 07.07.2022 г. № 557/пр; Приказ Минстроя России от 30.01.2024 г. № 55/пр; Приказ Минстроя России от 23.01.2025 г. № 30/пр;  Приказ Минстроя России от 02.09.2021 г. № 636/пр; Приказ Минстроя России от 26.07.2022 г. № 611/пр; Приказ Минстроя России от 22.04.2022 г. № 317/пр</v>
      </c>
    </row>
    <row r="7" spans="1:93" ht="12.75" customHeight="1" x14ac:dyDescent="0.2">
      <c r="A7" s="18"/>
      <c r="B7" s="18"/>
      <c r="C7" s="18"/>
      <c r="D7" s="18"/>
      <c r="E7" s="18"/>
      <c r="F7" s="19"/>
      <c r="G7" s="19"/>
      <c r="H7" s="19"/>
      <c r="I7" s="19"/>
      <c r="J7" s="19"/>
      <c r="K7" s="19"/>
      <c r="L7" s="19"/>
    </row>
    <row r="8" spans="1:93" ht="76.5" customHeight="1" x14ac:dyDescent="0.2">
      <c r="A8" s="15" t="s">
        <v>431</v>
      </c>
      <c r="B8" s="15"/>
      <c r="C8" s="15"/>
      <c r="D8" s="15"/>
      <c r="E8" s="15"/>
      <c r="F8" s="16" t="s">
        <v>283</v>
      </c>
      <c r="G8" s="16"/>
      <c r="H8" s="16"/>
      <c r="I8" s="16"/>
      <c r="J8" s="16"/>
      <c r="K8" s="16"/>
      <c r="L8" s="16"/>
    </row>
    <row r="9" spans="1:93" ht="12.75" customHeight="1" x14ac:dyDescent="0.2">
      <c r="A9" s="18"/>
      <c r="B9" s="18"/>
      <c r="C9" s="18"/>
      <c r="D9" s="18"/>
      <c r="E9" s="18"/>
      <c r="F9" s="19"/>
      <c r="G9" s="19"/>
      <c r="H9" s="19"/>
      <c r="I9" s="19"/>
      <c r="J9" s="19"/>
      <c r="K9" s="19"/>
      <c r="L9" s="19"/>
    </row>
    <row r="10" spans="1:93" ht="38.25" customHeight="1" x14ac:dyDescent="0.2">
      <c r="A10" s="15" t="s">
        <v>432</v>
      </c>
      <c r="B10" s="15"/>
      <c r="C10" s="15"/>
      <c r="D10" s="15"/>
      <c r="E10" s="15"/>
      <c r="F10" s="16" t="s">
        <v>284</v>
      </c>
      <c r="G10" s="16"/>
      <c r="H10" s="16"/>
      <c r="I10" s="16"/>
      <c r="J10" s="16"/>
      <c r="K10" s="16"/>
      <c r="L10" s="16"/>
    </row>
    <row r="11" spans="1:93" ht="12.75" customHeight="1" x14ac:dyDescent="0.2">
      <c r="A11" s="20"/>
      <c r="B11" s="20"/>
      <c r="C11" s="20"/>
      <c r="D11" s="20"/>
      <c r="E11" s="20"/>
      <c r="F11" s="21"/>
      <c r="G11" s="21"/>
      <c r="H11" s="21"/>
      <c r="I11" s="21"/>
      <c r="J11" s="21"/>
      <c r="K11" s="21"/>
      <c r="L11" s="21"/>
    </row>
    <row r="12" spans="1:93" ht="12.75" customHeight="1" x14ac:dyDescent="0.2">
      <c r="A12" s="15" t="s">
        <v>433</v>
      </c>
      <c r="B12" s="15"/>
      <c r="C12" s="15"/>
      <c r="D12" s="15"/>
      <c r="E12" s="15"/>
      <c r="F12" s="16" t="s">
        <v>468</v>
      </c>
      <c r="G12" s="16"/>
      <c r="H12" s="16"/>
      <c r="I12" s="16"/>
      <c r="J12" s="16"/>
      <c r="K12" s="16"/>
      <c r="L12" s="16"/>
    </row>
    <row r="13" spans="1:93" ht="12.75" customHeight="1" x14ac:dyDescent="0.2">
      <c r="A13" s="20"/>
      <c r="B13" s="20"/>
      <c r="C13" s="20"/>
      <c r="D13" s="20"/>
      <c r="E13" s="20"/>
      <c r="F13" s="21"/>
      <c r="G13" s="21"/>
      <c r="H13" s="21"/>
      <c r="I13" s="21"/>
      <c r="J13" s="21"/>
      <c r="K13" s="21"/>
      <c r="L13" s="21"/>
    </row>
    <row r="14" spans="1:93" ht="12.75" customHeight="1" x14ac:dyDescent="0.2">
      <c r="A14" s="15" t="s">
        <v>434</v>
      </c>
      <c r="B14" s="15"/>
      <c r="C14" s="15"/>
      <c r="D14" s="15"/>
      <c r="E14" s="15"/>
      <c r="F14" s="16" t="str">
        <f>IF(Source!CZ12 &lt;&gt; "", Source!CZ12, "")</f>
        <v/>
      </c>
      <c r="G14" s="16"/>
      <c r="H14" s="16"/>
      <c r="I14" s="16"/>
      <c r="J14" s="16"/>
      <c r="K14" s="16"/>
      <c r="L14" s="16"/>
    </row>
    <row r="15" spans="1:93" ht="12.75" customHeight="1" x14ac:dyDescent="0.2">
      <c r="A15" s="20"/>
      <c r="B15" s="20"/>
      <c r="C15" s="20"/>
      <c r="D15" s="20"/>
      <c r="E15" s="20"/>
      <c r="F15" s="21"/>
      <c r="G15" s="21"/>
      <c r="H15" s="21"/>
      <c r="I15" s="21"/>
      <c r="J15" s="21"/>
      <c r="K15" s="21"/>
      <c r="L15" s="19"/>
    </row>
    <row r="16" spans="1:93" ht="12.75" customHeight="1" x14ac:dyDescent="0.2">
      <c r="A16" s="15" t="s">
        <v>435</v>
      </c>
      <c r="B16" s="15"/>
      <c r="C16" s="15"/>
      <c r="D16" s="15"/>
      <c r="E16" s="15"/>
      <c r="F16" s="16" t="str">
        <f>IF(Source!DA12 &lt;&gt; "", Source!DA12, "")</f>
        <v/>
      </c>
      <c r="G16" s="16"/>
      <c r="H16" s="16"/>
      <c r="I16" s="16"/>
      <c r="J16" s="16"/>
      <c r="K16" s="16"/>
      <c r="L16" s="16"/>
    </row>
    <row r="17" spans="1:12" ht="12.75" customHeight="1" x14ac:dyDescent="0.2">
      <c r="A17" s="22"/>
      <c r="B17" s="22"/>
      <c r="C17" s="22"/>
      <c r="D17" s="22"/>
      <c r="E17" s="22"/>
      <c r="F17" s="23"/>
      <c r="G17" s="23"/>
      <c r="H17" s="23"/>
      <c r="I17" s="23"/>
      <c r="J17" s="23"/>
      <c r="K17" s="23"/>
      <c r="L17" s="23"/>
    </row>
    <row r="18" spans="1:12" ht="12.75" customHeight="1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spans="1:12" ht="15.75" customHeight="1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</row>
    <row r="20" spans="1:12" ht="14.25" customHeight="1" x14ac:dyDescent="0.2">
      <c r="A20" s="26" t="s">
        <v>436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 ht="14.25" customHeight="1" x14ac:dyDescent="0.2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</row>
    <row r="22" spans="1:12" ht="15.75" customHeight="1" x14ac:dyDescent="0.25">
      <c r="A22" s="25" t="str">
        <f>IF(Source!G12&lt;&gt;"Новый объект", Source!G12, "")</f>
        <v>Аварийный ремонт труб ЦО в ХК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2" ht="14.25" customHeight="1" x14ac:dyDescent="0.2">
      <c r="A23" s="26" t="s">
        <v>437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2" ht="14.25" customHeight="1" x14ac:dyDescent="0.2">
      <c r="A24" s="27"/>
      <c r="B24" s="27"/>
      <c r="C24" s="27"/>
      <c r="D24" s="27"/>
      <c r="E24" s="27"/>
      <c r="F24" s="28"/>
      <c r="G24" s="28"/>
      <c r="H24" s="28"/>
      <c r="I24" s="28"/>
      <c r="J24" s="28"/>
      <c r="K24" s="28"/>
      <c r="L24" s="28"/>
    </row>
    <row r="25" spans="1:12" ht="15.75" customHeight="1" x14ac:dyDescent="0.25">
      <c r="A25" s="24" t="str">
        <f>CONCATENATE( "ЛОКАЛЬНАЯ СМЕТА № ", Source!L20, " ",Source!CM20)</f>
        <v xml:space="preserve">ЛОКАЛЬНАЯ СМЕТА № 1 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ht="15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29"/>
    </row>
    <row r="27" spans="1:12" ht="18" customHeight="1" x14ac:dyDescent="0.25">
      <c r="A27" s="31" t="str">
        <f>IF(Source!G20&lt;&gt;"Новая локальная смета", Source!G20, "")</f>
        <v>Аварийный ремонт труб ЦО в ХК</v>
      </c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2" ht="14.25" customHeight="1" x14ac:dyDescent="0.2">
      <c r="A28" s="26" t="s">
        <v>438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2" ht="14.25" customHeight="1" x14ac:dyDescent="0.2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 ht="14.25" customHeight="1" x14ac:dyDescent="0.2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ht="12.75" customHeight="1" x14ac:dyDescent="0.2">
      <c r="A31" s="17" t="s">
        <v>439</v>
      </c>
      <c r="B31" s="17"/>
      <c r="C31" s="33" t="s">
        <v>469</v>
      </c>
      <c r="D31" s="17" t="s">
        <v>440</v>
      </c>
      <c r="E31" s="17"/>
      <c r="F31" s="17"/>
      <c r="G31" s="17"/>
      <c r="H31" s="17"/>
      <c r="I31" s="17"/>
      <c r="J31" s="17"/>
      <c r="K31" s="17"/>
      <c r="L31" s="17"/>
    </row>
    <row r="32" spans="1:12" ht="12.75" customHeight="1" x14ac:dyDescent="0.2">
      <c r="A32" s="17"/>
      <c r="B32" s="17"/>
      <c r="C32" s="34"/>
      <c r="D32" s="17"/>
      <c r="E32" s="17"/>
      <c r="F32" s="17"/>
      <c r="G32" s="17"/>
      <c r="H32" s="17"/>
      <c r="I32" s="17"/>
      <c r="J32" s="17"/>
      <c r="K32" s="17"/>
      <c r="L32" s="17"/>
    </row>
    <row r="33" spans="1:12" ht="12.75" customHeight="1" x14ac:dyDescent="0.2">
      <c r="A33" s="17" t="s">
        <v>441</v>
      </c>
      <c r="B33" s="17"/>
      <c r="C33" s="35"/>
      <c r="D33" s="35"/>
      <c r="E33" s="35"/>
      <c r="F33" s="35"/>
      <c r="G33" s="35"/>
      <c r="H33" s="35"/>
      <c r="I33" s="35"/>
      <c r="J33" s="35"/>
      <c r="K33" s="35"/>
      <c r="L33" s="35"/>
    </row>
    <row r="34" spans="1:12" ht="12.75" customHeight="1" x14ac:dyDescent="0.2">
      <c r="A34" s="36"/>
      <c r="B34" s="37"/>
      <c r="C34" s="26" t="s">
        <v>442</v>
      </c>
      <c r="D34" s="26"/>
      <c r="E34" s="26"/>
      <c r="F34" s="26"/>
      <c r="G34" s="26"/>
      <c r="H34" s="26"/>
      <c r="I34" s="26"/>
      <c r="J34" s="26"/>
      <c r="K34" s="26"/>
      <c r="L34" s="26"/>
    </row>
    <row r="35" spans="1:12" ht="14.25" customHeight="1" x14ac:dyDescent="0.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ht="14.25" customHeight="1" x14ac:dyDescent="0.2">
      <c r="A36" s="38" t="s">
        <v>470</v>
      </c>
      <c r="B36" s="27"/>
      <c r="C36" s="27"/>
      <c r="D36" s="39"/>
      <c r="E36" s="27"/>
      <c r="F36" s="27"/>
      <c r="G36" s="27"/>
      <c r="H36" s="27"/>
      <c r="I36" s="27"/>
      <c r="J36" s="27"/>
      <c r="K36" s="27"/>
      <c r="L36" s="27"/>
    </row>
    <row r="37" spans="1:12" ht="14.25" customHeight="1" x14ac:dyDescent="0.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2" ht="14.25" customHeight="1" x14ac:dyDescent="0.2">
      <c r="A38" s="38" t="s">
        <v>443</v>
      </c>
      <c r="B38" s="27"/>
      <c r="C38" s="104">
        <f>C41+C42+C43+C44</f>
        <v>128.52000000000001</v>
      </c>
      <c r="D38" s="40"/>
      <c r="E38" s="17" t="s">
        <v>444</v>
      </c>
      <c r="F38" s="22"/>
      <c r="G38" s="22"/>
      <c r="H38" s="22"/>
      <c r="I38" s="22"/>
      <c r="J38" s="22"/>
      <c r="K38" s="22"/>
      <c r="L38" s="27"/>
    </row>
    <row r="39" spans="1:12" ht="14.25" customHeight="1" x14ac:dyDescent="0.2">
      <c r="A39" s="38"/>
      <c r="B39" s="27"/>
      <c r="C39" s="105"/>
      <c r="D39" s="41"/>
      <c r="E39" s="17"/>
      <c r="F39" s="22"/>
      <c r="G39" s="17" t="s">
        <v>445</v>
      </c>
      <c r="H39" s="27"/>
      <c r="I39" s="17"/>
      <c r="J39" s="17"/>
      <c r="K39" s="107">
        <f>ROUND(SUM(AR52:AR299)/1000, 2)</f>
        <v>41.79</v>
      </c>
      <c r="L39" s="17" t="s">
        <v>444</v>
      </c>
    </row>
    <row r="40" spans="1:12" ht="14.25" customHeight="1" x14ac:dyDescent="0.2">
      <c r="A40" s="27"/>
      <c r="B40" s="42" t="s">
        <v>446</v>
      </c>
      <c r="C40" s="106"/>
      <c r="D40" s="27"/>
      <c r="E40" s="17"/>
      <c r="F40" s="22"/>
      <c r="G40" s="17" t="s">
        <v>447</v>
      </c>
      <c r="H40" s="27"/>
      <c r="I40" s="17"/>
      <c r="J40" s="17"/>
      <c r="K40" s="107">
        <f>ROUND(SUM(AT52:AT299)/1000, 2)</f>
        <v>0.78</v>
      </c>
      <c r="L40" s="17" t="s">
        <v>444</v>
      </c>
    </row>
    <row r="41" spans="1:12" ht="14.25" customHeight="1" x14ac:dyDescent="0.2">
      <c r="A41" s="27"/>
      <c r="B41" s="38" t="s">
        <v>448</v>
      </c>
      <c r="C41" s="104">
        <f>ROUND((Source!F80)/1000, 2)</f>
        <v>128.52000000000001</v>
      </c>
      <c r="D41" s="40"/>
      <c r="E41" s="17" t="s">
        <v>444</v>
      </c>
      <c r="F41" s="22"/>
      <c r="G41" s="17" t="s">
        <v>449</v>
      </c>
      <c r="H41" s="27"/>
      <c r="I41" s="17"/>
      <c r="J41" s="41"/>
      <c r="K41" s="108">
        <f>Source!F85</f>
        <v>56.871787500000003</v>
      </c>
      <c r="L41" s="17" t="s">
        <v>288</v>
      </c>
    </row>
    <row r="42" spans="1:12" ht="14.25" customHeight="1" x14ac:dyDescent="0.2">
      <c r="A42" s="27"/>
      <c r="B42" s="38" t="s">
        <v>450</v>
      </c>
      <c r="C42" s="104">
        <f>ROUND((Source!F81)/1000, 2)</f>
        <v>0</v>
      </c>
      <c r="D42" s="40"/>
      <c r="E42" s="17" t="s">
        <v>444</v>
      </c>
      <c r="F42" s="22"/>
      <c r="G42" s="17" t="s">
        <v>451</v>
      </c>
      <c r="H42" s="27"/>
      <c r="I42" s="17"/>
      <c r="J42" s="43"/>
      <c r="K42" s="108">
        <f>Source!F86</f>
        <v>1.0361251</v>
      </c>
      <c r="L42" s="17" t="s">
        <v>288</v>
      </c>
    </row>
    <row r="43" spans="1:12" ht="14.25" customHeight="1" x14ac:dyDescent="0.2">
      <c r="A43" s="27"/>
      <c r="B43" s="38" t="s">
        <v>452</v>
      </c>
      <c r="C43" s="104">
        <f>ROUND((Source!F72)/1000, 2)</f>
        <v>0</v>
      </c>
      <c r="D43" s="40"/>
      <c r="E43" s="17" t="s">
        <v>444</v>
      </c>
      <c r="F43" s="22"/>
      <c r="G43" s="17"/>
      <c r="H43" s="17"/>
      <c r="I43" s="17"/>
      <c r="J43" s="17"/>
      <c r="K43" s="22"/>
      <c r="L43" s="17"/>
    </row>
    <row r="44" spans="1:12" ht="14.25" customHeight="1" x14ac:dyDescent="0.2">
      <c r="A44" s="27"/>
      <c r="B44" s="38" t="s">
        <v>453</v>
      </c>
      <c r="C44" s="104">
        <f>ROUND((Source!F82)/1000, 2)</f>
        <v>0</v>
      </c>
      <c r="D44" s="40"/>
      <c r="E44" s="17" t="s">
        <v>444</v>
      </c>
      <c r="F44" s="22"/>
      <c r="G44" s="17"/>
      <c r="H44" s="17"/>
      <c r="I44" s="17"/>
      <c r="J44" s="17"/>
      <c r="K44" s="22"/>
      <c r="L44" s="17"/>
    </row>
    <row r="45" spans="1:12" ht="14.25" customHeight="1" x14ac:dyDescent="0.2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</row>
    <row r="46" spans="1:12" ht="12.75" customHeight="1" x14ac:dyDescent="0.2">
      <c r="A46" s="48" t="s">
        <v>454</v>
      </c>
      <c r="B46" s="48" t="s">
        <v>455</v>
      </c>
      <c r="C46" s="48" t="s">
        <v>456</v>
      </c>
      <c r="D46" s="48" t="s">
        <v>457</v>
      </c>
      <c r="E46" s="46" t="s">
        <v>458</v>
      </c>
      <c r="F46" s="45"/>
      <c r="G46" s="52"/>
      <c r="H46" s="46" t="s">
        <v>459</v>
      </c>
      <c r="I46" s="45"/>
      <c r="J46" s="45"/>
      <c r="K46" s="45"/>
      <c r="L46" s="52"/>
    </row>
    <row r="47" spans="1:12" ht="12.75" customHeight="1" x14ac:dyDescent="0.2">
      <c r="A47" s="49"/>
      <c r="B47" s="49"/>
      <c r="C47" s="49"/>
      <c r="D47" s="49"/>
      <c r="E47" s="47"/>
      <c r="F47" s="51"/>
      <c r="G47" s="53"/>
      <c r="H47" s="47"/>
      <c r="I47" s="51"/>
      <c r="J47" s="51"/>
      <c r="K47" s="51"/>
      <c r="L47" s="53"/>
    </row>
    <row r="48" spans="1:12" ht="12.75" customHeight="1" x14ac:dyDescent="0.2">
      <c r="A48" s="49"/>
      <c r="B48" s="49"/>
      <c r="C48" s="49"/>
      <c r="D48" s="49"/>
      <c r="E48" s="47"/>
      <c r="F48" s="51"/>
      <c r="G48" s="53"/>
      <c r="H48" s="47"/>
      <c r="I48" s="51"/>
      <c r="J48" s="51"/>
      <c r="K48" s="51"/>
      <c r="L48" s="53"/>
    </row>
    <row r="49" spans="1:101" ht="12.75" customHeight="1" x14ac:dyDescent="0.2">
      <c r="A49" s="49"/>
      <c r="B49" s="49"/>
      <c r="C49" s="49"/>
      <c r="D49" s="49"/>
      <c r="E49" s="54"/>
      <c r="F49" s="55"/>
      <c r="G49" s="56"/>
      <c r="H49" s="54"/>
      <c r="I49" s="55"/>
      <c r="J49" s="55"/>
      <c r="K49" s="55"/>
      <c r="L49" s="56"/>
    </row>
    <row r="50" spans="1:101" ht="51" customHeight="1" x14ac:dyDescent="0.2">
      <c r="A50" s="50"/>
      <c r="B50" s="50"/>
      <c r="C50" s="50"/>
      <c r="D50" s="50"/>
      <c r="E50" s="57" t="s">
        <v>460</v>
      </c>
      <c r="F50" s="57" t="s">
        <v>461</v>
      </c>
      <c r="G50" s="58" t="s">
        <v>462</v>
      </c>
      <c r="H50" s="57" t="s">
        <v>463</v>
      </c>
      <c r="I50" s="57" t="s">
        <v>464</v>
      </c>
      <c r="J50" s="57" t="s">
        <v>465</v>
      </c>
      <c r="K50" s="57" t="s">
        <v>461</v>
      </c>
      <c r="L50" s="57" t="s">
        <v>466</v>
      </c>
    </row>
    <row r="51" spans="1:101" ht="14.25" customHeight="1" x14ac:dyDescent="0.2">
      <c r="A51" s="59">
        <v>1</v>
      </c>
      <c r="B51" s="59">
        <v>2</v>
      </c>
      <c r="C51" s="59">
        <v>3</v>
      </c>
      <c r="D51" s="59">
        <v>4</v>
      </c>
      <c r="E51" s="59">
        <v>5</v>
      </c>
      <c r="F51" s="59">
        <v>6</v>
      </c>
      <c r="G51" s="59">
        <v>7</v>
      </c>
      <c r="H51" s="59">
        <v>8</v>
      </c>
      <c r="I51" s="59">
        <v>9</v>
      </c>
      <c r="J51" s="59">
        <v>10</v>
      </c>
      <c r="K51" s="61">
        <v>11</v>
      </c>
      <c r="L51" s="61">
        <v>12</v>
      </c>
    </row>
    <row r="52" spans="1:101" ht="57" x14ac:dyDescent="0.2">
      <c r="A52" s="64" t="s">
        <v>14</v>
      </c>
      <c r="B52" s="66" t="s">
        <v>471</v>
      </c>
      <c r="C52" s="66" t="str">
        <f>Source!G24</f>
        <v>Разборка трубопроводов из водогазопроводных труб в зданиях и сооружениях на сварке диаметром: до 50 мм</v>
      </c>
      <c r="D52" s="67" t="str">
        <f>Source!H24</f>
        <v>100 м</v>
      </c>
      <c r="E52" s="68">
        <f>Source!K24</f>
        <v>0.15</v>
      </c>
      <c r="F52" s="68"/>
      <c r="G52" s="68">
        <f>Source!I24</f>
        <v>0.15</v>
      </c>
      <c r="H52" s="70"/>
      <c r="I52" s="69"/>
      <c r="J52" s="70"/>
      <c r="K52" s="69"/>
      <c r="L52" s="70"/>
    </row>
    <row r="53" spans="1:101" ht="76.5" x14ac:dyDescent="0.2">
      <c r="B53" s="71" t="s">
        <v>416</v>
      </c>
      <c r="C53" s="72" t="s">
        <v>472</v>
      </c>
      <c r="D53" s="72"/>
      <c r="E53" s="72"/>
      <c r="F53" s="72"/>
      <c r="G53" s="72"/>
      <c r="H53" s="72"/>
      <c r="I53" s="72"/>
      <c r="J53" s="72"/>
      <c r="K53" s="72"/>
      <c r="L53" s="72"/>
      <c r="CW53" s="73" t="s">
        <v>472</v>
      </c>
    </row>
    <row r="54" spans="1:101" x14ac:dyDescent="0.2">
      <c r="C54" s="74" t="str">
        <f>"Объем: "&amp;Source!I24&amp;"=15/"&amp;"100"</f>
        <v>Объем: 0,15=15/100</v>
      </c>
    </row>
    <row r="55" spans="1:101" ht="15" x14ac:dyDescent="0.2">
      <c r="A55" s="65"/>
      <c r="B55" s="68">
        <v>1</v>
      </c>
      <c r="C55" s="65" t="s">
        <v>473</v>
      </c>
      <c r="D55" s="67" t="s">
        <v>288</v>
      </c>
      <c r="E55" s="75"/>
      <c r="F55" s="68"/>
      <c r="G55" s="68">
        <f>Source!U24</f>
        <v>8.8290000000000006</v>
      </c>
      <c r="H55" s="68"/>
      <c r="I55" s="68"/>
      <c r="J55" s="68"/>
      <c r="K55" s="68"/>
      <c r="L55" s="76">
        <f>SUM(L56:L56)-SUMIF(CE56:CE56, 1, L56:L56)</f>
        <v>5732.14</v>
      </c>
    </row>
    <row r="56" spans="1:101" ht="14.25" x14ac:dyDescent="0.2">
      <c r="A56" s="66"/>
      <c r="B56" s="66" t="s">
        <v>286</v>
      </c>
      <c r="C56" s="66" t="s">
        <v>287</v>
      </c>
      <c r="D56" s="67" t="s">
        <v>288</v>
      </c>
      <c r="E56" s="68">
        <v>43.6</v>
      </c>
      <c r="F56" s="68">
        <f>ROUND((0.35+1),7)</f>
        <v>1.35</v>
      </c>
      <c r="G56" s="68">
        <f>SmtRes!CX1</f>
        <v>8.8290000000000006</v>
      </c>
      <c r="H56" s="70"/>
      <c r="I56" s="69"/>
      <c r="J56" s="70">
        <f>SmtRes!CZ1</f>
        <v>649.24</v>
      </c>
      <c r="K56" s="69"/>
      <c r="L56" s="70">
        <f>SmtRes!DI1</f>
        <v>5732.14</v>
      </c>
    </row>
    <row r="57" spans="1:101" ht="15" x14ac:dyDescent="0.2">
      <c r="A57" s="65"/>
      <c r="B57" s="68">
        <v>2</v>
      </c>
      <c r="C57" s="65" t="s">
        <v>474</v>
      </c>
      <c r="D57" s="67"/>
      <c r="E57" s="75"/>
      <c r="F57" s="68"/>
      <c r="G57" s="68"/>
      <c r="H57" s="68"/>
      <c r="I57" s="68"/>
      <c r="J57" s="68"/>
      <c r="K57" s="68"/>
      <c r="L57" s="76">
        <f>SUM(L58:L59)-SUMIF(CE58:CE59, 1, L58:L59)</f>
        <v>5.9</v>
      </c>
    </row>
    <row r="58" spans="1:101" ht="15" hidden="1" x14ac:dyDescent="0.2">
      <c r="A58" s="65"/>
      <c r="B58" s="68"/>
      <c r="C58" s="65" t="s">
        <v>475</v>
      </c>
      <c r="D58" s="67" t="s">
        <v>288</v>
      </c>
      <c r="E58" s="75"/>
      <c r="F58" s="68"/>
      <c r="G58" s="68">
        <f>Source!V24</f>
        <v>0</v>
      </c>
      <c r="H58" s="68"/>
      <c r="I58" s="68"/>
      <c r="J58" s="68"/>
      <c r="K58" s="68"/>
      <c r="L58" s="76">
        <f>SUMIF(CE59:CE59, 1, L59:L59)</f>
        <v>0</v>
      </c>
      <c r="CE58">
        <v>1</v>
      </c>
    </row>
    <row r="59" spans="1:101" ht="14.25" x14ac:dyDescent="0.2">
      <c r="A59" s="66"/>
      <c r="B59" s="66" t="s">
        <v>289</v>
      </c>
      <c r="C59" s="66" t="s">
        <v>291</v>
      </c>
      <c r="D59" s="67" t="s">
        <v>292</v>
      </c>
      <c r="E59" s="68">
        <v>5.45</v>
      </c>
      <c r="F59" s="68">
        <f>ROUND((0.35+1),7)</f>
        <v>1.35</v>
      </c>
      <c r="G59" s="68">
        <f>SmtRes!CX2</f>
        <v>1.1036250000000001</v>
      </c>
      <c r="H59" s="70">
        <f>SmtRes!CZ2</f>
        <v>4.3499999999999996</v>
      </c>
      <c r="I59" s="69">
        <f>SmtRes!AJ2</f>
        <v>1.23</v>
      </c>
      <c r="J59" s="70">
        <f>ROUND(H59*I59, 2)</f>
        <v>5.35</v>
      </c>
      <c r="K59" s="69"/>
      <c r="L59" s="70">
        <f>SmtRes!DG2</f>
        <v>5.9</v>
      </c>
    </row>
    <row r="60" spans="1:101" ht="15" x14ac:dyDescent="0.2">
      <c r="A60" s="65"/>
      <c r="B60" s="68">
        <v>4</v>
      </c>
      <c r="C60" s="65" t="s">
        <v>476</v>
      </c>
      <c r="D60" s="67"/>
      <c r="E60" s="75"/>
      <c r="F60" s="68"/>
      <c r="G60" s="68"/>
      <c r="H60" s="68"/>
      <c r="I60" s="68"/>
      <c r="J60" s="68"/>
      <c r="K60" s="68"/>
      <c r="L60" s="76">
        <f>SUM(L61:L62)-SUMIF(CE61:CE62, 1, L61:L62)</f>
        <v>28.37</v>
      </c>
    </row>
    <row r="61" spans="1:101" ht="14.25" x14ac:dyDescent="0.2">
      <c r="A61" s="66"/>
      <c r="B61" s="66" t="s">
        <v>293</v>
      </c>
      <c r="C61" s="66" t="s">
        <v>295</v>
      </c>
      <c r="D61" s="67" t="s">
        <v>296</v>
      </c>
      <c r="E61" s="68">
        <v>0.15</v>
      </c>
      <c r="F61" s="68"/>
      <c r="G61" s="68">
        <f>SmtRes!CX3</f>
        <v>2.2499999999999999E-2</v>
      </c>
      <c r="H61" s="70">
        <f>SmtRes!CZ3</f>
        <v>340.41</v>
      </c>
      <c r="I61" s="69">
        <f>SmtRes!AI3</f>
        <v>1.6</v>
      </c>
      <c r="J61" s="70">
        <f>ROUND(H61*I61, 2)</f>
        <v>544.66</v>
      </c>
      <c r="K61" s="69"/>
      <c r="L61" s="70">
        <f>SmtRes!DF3</f>
        <v>12.25</v>
      </c>
    </row>
    <row r="62" spans="1:101" ht="14.25" x14ac:dyDescent="0.2">
      <c r="A62" s="66"/>
      <c r="B62" s="66" t="s">
        <v>297</v>
      </c>
      <c r="C62" s="77" t="s">
        <v>299</v>
      </c>
      <c r="D62" s="78" t="s">
        <v>296</v>
      </c>
      <c r="E62" s="79">
        <v>1.0900000000000001</v>
      </c>
      <c r="F62" s="79"/>
      <c r="G62" s="79">
        <f>SmtRes!CX4</f>
        <v>0.16350000000000001</v>
      </c>
      <c r="H62" s="80">
        <f>SmtRes!CZ4</f>
        <v>114.64</v>
      </c>
      <c r="I62" s="81">
        <f>SmtRes!AI4</f>
        <v>0.86</v>
      </c>
      <c r="J62" s="80">
        <f>ROUND(H62*I62, 2)</f>
        <v>98.59</v>
      </c>
      <c r="K62" s="81"/>
      <c r="L62" s="80">
        <f>SmtRes!DF4</f>
        <v>16.12</v>
      </c>
    </row>
    <row r="63" spans="1:101" ht="15" x14ac:dyDescent="0.2">
      <c r="A63" s="66"/>
      <c r="B63" s="66"/>
      <c r="C63" s="84" t="s">
        <v>477</v>
      </c>
      <c r="D63" s="67"/>
      <c r="E63" s="68"/>
      <c r="F63" s="68"/>
      <c r="G63" s="68"/>
      <c r="H63" s="70"/>
      <c r="I63" s="69"/>
      <c r="J63" s="70"/>
      <c r="K63" s="69"/>
      <c r="L63" s="70">
        <f>L55+L57+L58+L60</f>
        <v>5766.41</v>
      </c>
    </row>
    <row r="64" spans="1:101" ht="14.25" x14ac:dyDescent="0.2">
      <c r="A64" s="66"/>
      <c r="B64" s="66"/>
      <c r="C64" s="66" t="s">
        <v>478</v>
      </c>
      <c r="D64" s="67"/>
      <c r="E64" s="68"/>
      <c r="F64" s="68"/>
      <c r="G64" s="68"/>
      <c r="H64" s="70"/>
      <c r="I64" s="69"/>
      <c r="J64" s="70"/>
      <c r="K64" s="69"/>
      <c r="L64" s="70">
        <f>SUM(AR52:AR67)+SUM(AS52:AS67)+SUM(AT52:AT67)+SUM(AU52:AU67)+SUM(AV52:AV67)</f>
        <v>5732.14</v>
      </c>
    </row>
    <row r="65" spans="1:101" ht="28.5" x14ac:dyDescent="0.2">
      <c r="A65" s="66"/>
      <c r="B65" s="66" t="s">
        <v>25</v>
      </c>
      <c r="C65" s="66" t="s">
        <v>479</v>
      </c>
      <c r="D65" s="67" t="s">
        <v>480</v>
      </c>
      <c r="E65" s="68">
        <f>Source!BZ24</f>
        <v>87</v>
      </c>
      <c r="F65" s="68"/>
      <c r="G65" s="68">
        <f>Source!AT24</f>
        <v>87</v>
      </c>
      <c r="H65" s="70"/>
      <c r="I65" s="69"/>
      <c r="J65" s="70"/>
      <c r="K65" s="69"/>
      <c r="L65" s="70">
        <f>SUM(AZ52:AZ67)</f>
        <v>4986.96</v>
      </c>
    </row>
    <row r="66" spans="1:101" ht="28.5" x14ac:dyDescent="0.2">
      <c r="A66" s="77"/>
      <c r="B66" s="77" t="s">
        <v>26</v>
      </c>
      <c r="C66" s="77" t="s">
        <v>481</v>
      </c>
      <c r="D66" s="78" t="s">
        <v>480</v>
      </c>
      <c r="E66" s="79">
        <f>Source!CA24</f>
        <v>44</v>
      </c>
      <c r="F66" s="79"/>
      <c r="G66" s="79">
        <f>Source!AU24</f>
        <v>44</v>
      </c>
      <c r="H66" s="80"/>
      <c r="I66" s="81"/>
      <c r="J66" s="80"/>
      <c r="K66" s="81"/>
      <c r="L66" s="80">
        <f>SUM(BA52:BA67)</f>
        <v>2522.14</v>
      </c>
    </row>
    <row r="67" spans="1:101" ht="15" x14ac:dyDescent="0.2">
      <c r="C67" s="86" t="s">
        <v>482</v>
      </c>
      <c r="D67" s="86"/>
      <c r="E67" s="86"/>
      <c r="F67" s="86"/>
      <c r="G67" s="86"/>
      <c r="H67" s="86"/>
      <c r="I67" s="87">
        <f>IF(E52&lt;&gt;0,K67/E52, 0)</f>
        <v>88503.4</v>
      </c>
      <c r="J67" s="87"/>
      <c r="K67" s="87">
        <f>L55+L57+L60+L65+L66+L58</f>
        <v>13275.509999999998</v>
      </c>
      <c r="L67" s="87"/>
      <c r="AD67">
        <f>ROUND((Source!AT24/100)*((ROUND(SUMIF(SmtRes!AQ1:'SmtRes'!AQ4,"=1",SmtRes!AD1:'SmtRes'!AD4)*Source!I24, 2)+ROUND(SUMIF(SmtRes!AQ1:'SmtRes'!AQ4,"=1",SmtRes!AC1:'SmtRes'!AC4)*Source!I24, 2))), 2)</f>
        <v>84.73</v>
      </c>
      <c r="AE67">
        <f>ROUND((Source!AU24/100)*((ROUND(SUMIF(SmtRes!AQ1:'SmtRes'!AQ4,"=1",SmtRes!AD1:'SmtRes'!AD4)*Source!I24, 2)+ROUND(SUMIF(SmtRes!AQ1:'SmtRes'!AQ4,"=1",SmtRes!AC1:'SmtRes'!AC4)*Source!I24, 2))), 2)</f>
        <v>42.85</v>
      </c>
      <c r="AN67" s="82">
        <f>L55+L57+L60+L65+L66+L58</f>
        <v>13275.509999999998</v>
      </c>
      <c r="AO67" s="82">
        <f>L57</f>
        <v>5.9</v>
      </c>
      <c r="AQ67" t="s">
        <v>483</v>
      </c>
      <c r="AR67" s="82">
        <f>L55</f>
        <v>5732.14</v>
      </c>
      <c r="AT67" s="82">
        <f>L58</f>
        <v>0</v>
      </c>
      <c r="AV67" t="s">
        <v>483</v>
      </c>
      <c r="AW67" s="82">
        <f>L60</f>
        <v>28.37</v>
      </c>
      <c r="AZ67">
        <f>Source!X24</f>
        <v>4986.96</v>
      </c>
      <c r="BA67">
        <f>Source!Y24</f>
        <v>2522.14</v>
      </c>
      <c r="CD67">
        <v>1</v>
      </c>
    </row>
    <row r="68" spans="1:101" ht="42.75" x14ac:dyDescent="0.2">
      <c r="A68" s="64" t="s">
        <v>27</v>
      </c>
      <c r="B68" s="66" t="s">
        <v>484</v>
      </c>
      <c r="C68" s="66" t="str">
        <f>Source!G25</f>
        <v>Врезка в действующие внутренние сети трубопроводов отопления и водоснабжения диаметром: 50 мм</v>
      </c>
      <c r="D68" s="67" t="str">
        <f>Source!H25</f>
        <v>ШТ</v>
      </c>
      <c r="E68" s="68">
        <f>Source!K25</f>
        <v>2</v>
      </c>
      <c r="F68" s="68"/>
      <c r="G68" s="68">
        <f>Source!I25</f>
        <v>2</v>
      </c>
      <c r="H68" s="70"/>
      <c r="I68" s="69"/>
      <c r="J68" s="70"/>
      <c r="K68" s="69"/>
      <c r="L68" s="70"/>
    </row>
    <row r="69" spans="1:101" ht="76.5" x14ac:dyDescent="0.2">
      <c r="B69" s="71" t="s">
        <v>418</v>
      </c>
      <c r="C69" s="72" t="s">
        <v>472</v>
      </c>
      <c r="D69" s="72"/>
      <c r="E69" s="72"/>
      <c r="F69" s="72"/>
      <c r="G69" s="72"/>
      <c r="H69" s="72"/>
      <c r="I69" s="72"/>
      <c r="J69" s="72"/>
      <c r="K69" s="72"/>
      <c r="L69" s="72"/>
      <c r="CW69" s="73" t="s">
        <v>472</v>
      </c>
    </row>
    <row r="70" spans="1:101" ht="76.5" x14ac:dyDescent="0.2">
      <c r="B70" s="71" t="s">
        <v>421</v>
      </c>
      <c r="C70" s="72" t="s">
        <v>485</v>
      </c>
      <c r="D70" s="72"/>
      <c r="E70" s="72"/>
      <c r="F70" s="72"/>
      <c r="G70" s="72"/>
      <c r="H70" s="72"/>
      <c r="I70" s="72"/>
      <c r="J70" s="72"/>
      <c r="K70" s="72"/>
      <c r="L70" s="72"/>
      <c r="CW70" s="73" t="s">
        <v>485</v>
      </c>
    </row>
    <row r="71" spans="1:101" ht="76.5" x14ac:dyDescent="0.2">
      <c r="C71" s="88" t="s">
        <v>486</v>
      </c>
      <c r="D71" s="88"/>
      <c r="E71" s="88"/>
      <c r="F71" s="88"/>
      <c r="CW71" s="89" t="s">
        <v>486</v>
      </c>
    </row>
    <row r="72" spans="1:101" ht="15" x14ac:dyDescent="0.2">
      <c r="A72" s="65"/>
      <c r="B72" s="68">
        <v>1</v>
      </c>
      <c r="C72" s="65" t="s">
        <v>473</v>
      </c>
      <c r="D72" s="67" t="s">
        <v>288</v>
      </c>
      <c r="E72" s="75"/>
      <c r="F72" s="68"/>
      <c r="G72" s="68">
        <f>Source!U25</f>
        <v>17.5122</v>
      </c>
      <c r="H72" s="68"/>
      <c r="I72" s="68"/>
      <c r="J72" s="68"/>
      <c r="K72" s="68"/>
      <c r="L72" s="76">
        <f>SUM(L73:L73)-SUMIF(CE73:CE73, 1, L73:L73)</f>
        <v>12802.82</v>
      </c>
    </row>
    <row r="73" spans="1:101" ht="14.25" x14ac:dyDescent="0.2">
      <c r="A73" s="66"/>
      <c r="B73" s="66" t="s">
        <v>300</v>
      </c>
      <c r="C73" s="66" t="s">
        <v>301</v>
      </c>
      <c r="D73" s="67" t="s">
        <v>288</v>
      </c>
      <c r="E73" s="68">
        <v>5.64</v>
      </c>
      <c r="F73" s="68">
        <f>ROUND((0.35+1)*1.15,7)</f>
        <v>1.5525</v>
      </c>
      <c r="G73" s="68">
        <f>SmtRes!CX5</f>
        <v>17.5122</v>
      </c>
      <c r="H73" s="70"/>
      <c r="I73" s="69"/>
      <c r="J73" s="70">
        <f>SmtRes!CZ5</f>
        <v>731.08</v>
      </c>
      <c r="K73" s="69"/>
      <c r="L73" s="70">
        <f>SmtRes!DI5</f>
        <v>12802.82</v>
      </c>
    </row>
    <row r="74" spans="1:101" ht="15" x14ac:dyDescent="0.2">
      <c r="A74" s="65"/>
      <c r="B74" s="68">
        <v>2</v>
      </c>
      <c r="C74" s="65" t="s">
        <v>474</v>
      </c>
      <c r="D74" s="67"/>
      <c r="E74" s="75"/>
      <c r="F74" s="68"/>
      <c r="G74" s="68"/>
      <c r="H74" s="68"/>
      <c r="I74" s="68"/>
      <c r="J74" s="68"/>
      <c r="K74" s="68"/>
      <c r="L74" s="76">
        <f>SUM(L75:L81)-SUMIF(CE75:CE81, 1, L75:L81)</f>
        <v>125.32999999999998</v>
      </c>
    </row>
    <row r="75" spans="1:101" ht="15" x14ac:dyDescent="0.2">
      <c r="A75" s="65"/>
      <c r="B75" s="68"/>
      <c r="C75" s="65" t="s">
        <v>475</v>
      </c>
      <c r="D75" s="67" t="s">
        <v>288</v>
      </c>
      <c r="E75" s="75"/>
      <c r="F75" s="68"/>
      <c r="G75" s="68">
        <f>Source!V25</f>
        <v>6.7500000000000004E-2</v>
      </c>
      <c r="H75" s="68"/>
      <c r="I75" s="68"/>
      <c r="J75" s="68"/>
      <c r="K75" s="68"/>
      <c r="L75" s="76">
        <f>SUMIF(CE76:CE81, 1, L76:L81)</f>
        <v>57.81</v>
      </c>
      <c r="CE75">
        <v>1</v>
      </c>
    </row>
    <row r="76" spans="1:101" ht="28.5" x14ac:dyDescent="0.2">
      <c r="A76" s="66"/>
      <c r="B76" s="66" t="s">
        <v>304</v>
      </c>
      <c r="C76" s="66" t="s">
        <v>306</v>
      </c>
      <c r="D76" s="67" t="s">
        <v>292</v>
      </c>
      <c r="E76" s="68">
        <v>0.01</v>
      </c>
      <c r="F76" s="68">
        <f>ROUND((0.35+1)*1.25,7)</f>
        <v>1.6875</v>
      </c>
      <c r="G76" s="68">
        <f>SmtRes!CX7</f>
        <v>3.3750000000000002E-2</v>
      </c>
      <c r="H76" s="70"/>
      <c r="I76" s="69"/>
      <c r="J76" s="70">
        <f>SmtRes!CZ7</f>
        <v>1036.96</v>
      </c>
      <c r="K76" s="69"/>
      <c r="L76" s="70">
        <f>SmtRes!DG7</f>
        <v>35</v>
      </c>
    </row>
    <row r="77" spans="1:101" ht="28.5" x14ac:dyDescent="0.2">
      <c r="A77" s="66"/>
      <c r="B77" s="66" t="s">
        <v>307</v>
      </c>
      <c r="C77" s="66" t="s">
        <v>487</v>
      </c>
      <c r="D77" s="67" t="s">
        <v>288</v>
      </c>
      <c r="E77" s="68">
        <f>SmtRes!DO7*SmtRes!AT7</f>
        <v>0.01</v>
      </c>
      <c r="F77" s="68">
        <f>ROUND((0.35+1)*1.25,7)</f>
        <v>1.6875</v>
      </c>
      <c r="G77" s="68">
        <f>ROUND(E77*F77*G68, 7)</f>
        <v>3.3750000000000002E-2</v>
      </c>
      <c r="H77" s="70"/>
      <c r="I77" s="69"/>
      <c r="J77" s="70">
        <f>ROUND(SmtRes!AG7/SmtRes!DO7, 2)</f>
        <v>982.04</v>
      </c>
      <c r="K77" s="69"/>
      <c r="L77" s="70">
        <f>SmtRes!DH7</f>
        <v>33.14</v>
      </c>
      <c r="CE77">
        <v>1</v>
      </c>
    </row>
    <row r="78" spans="1:101" ht="28.5" x14ac:dyDescent="0.2">
      <c r="A78" s="66"/>
      <c r="B78" s="66" t="s">
        <v>308</v>
      </c>
      <c r="C78" s="66" t="s">
        <v>310</v>
      </c>
      <c r="D78" s="67" t="s">
        <v>292</v>
      </c>
      <c r="E78" s="68">
        <v>0.01</v>
      </c>
      <c r="F78" s="68">
        <f>ROUND((0.35+1)*1.25,7)</f>
        <v>1.6875</v>
      </c>
      <c r="G78" s="68">
        <f>SmtRes!CX8</f>
        <v>3.3750000000000002E-2</v>
      </c>
      <c r="H78" s="70"/>
      <c r="I78" s="69"/>
      <c r="J78" s="70">
        <f>SmtRes!CZ8</f>
        <v>544.91999999999996</v>
      </c>
      <c r="K78" s="69"/>
      <c r="L78" s="70">
        <f>SmtRes!DG8</f>
        <v>18.39</v>
      </c>
    </row>
    <row r="79" spans="1:101" ht="28.5" x14ac:dyDescent="0.2">
      <c r="A79" s="66"/>
      <c r="B79" s="66" t="s">
        <v>311</v>
      </c>
      <c r="C79" s="66" t="s">
        <v>488</v>
      </c>
      <c r="D79" s="67" t="s">
        <v>288</v>
      </c>
      <c r="E79" s="68">
        <f>SmtRes!DO8*SmtRes!AT8</f>
        <v>0.01</v>
      </c>
      <c r="F79" s="68">
        <f>ROUND((0.35+1)*1.25,7)</f>
        <v>1.6875</v>
      </c>
      <c r="G79" s="68">
        <f>ROUND(E79*F79*G68, 7)</f>
        <v>3.3750000000000002E-2</v>
      </c>
      <c r="H79" s="70"/>
      <c r="I79" s="69"/>
      <c r="J79" s="70">
        <f>ROUND(SmtRes!AG8/SmtRes!DO8, 2)</f>
        <v>731.08</v>
      </c>
      <c r="K79" s="69"/>
      <c r="L79" s="70">
        <f>SmtRes!DH8</f>
        <v>24.67</v>
      </c>
      <c r="CE79">
        <v>1</v>
      </c>
    </row>
    <row r="80" spans="1:101" ht="14.25" x14ac:dyDescent="0.2">
      <c r="A80" s="66"/>
      <c r="B80" s="66" t="s">
        <v>289</v>
      </c>
      <c r="C80" s="66" t="s">
        <v>291</v>
      </c>
      <c r="D80" s="67" t="s">
        <v>292</v>
      </c>
      <c r="E80" s="68">
        <v>0.61</v>
      </c>
      <c r="F80" s="68">
        <f>ROUND((0.35+1)*1.25,7)</f>
        <v>1.6875</v>
      </c>
      <c r="G80" s="68">
        <f>SmtRes!CX9</f>
        <v>2.0587499999999999</v>
      </c>
      <c r="H80" s="70">
        <f>SmtRes!CZ9</f>
        <v>4.3499999999999996</v>
      </c>
      <c r="I80" s="69">
        <f>SmtRes!AJ9</f>
        <v>1.23</v>
      </c>
      <c r="J80" s="70">
        <f>ROUND(H80*I80, 2)</f>
        <v>5.35</v>
      </c>
      <c r="K80" s="69"/>
      <c r="L80" s="70">
        <f>SmtRes!DG9</f>
        <v>11.01</v>
      </c>
    </row>
    <row r="81" spans="1:82" ht="42.75" x14ac:dyDescent="0.2">
      <c r="A81" s="66"/>
      <c r="B81" s="66" t="s">
        <v>312</v>
      </c>
      <c r="C81" s="66" t="s">
        <v>314</v>
      </c>
      <c r="D81" s="67" t="s">
        <v>292</v>
      </c>
      <c r="E81" s="68">
        <v>0.56000000000000005</v>
      </c>
      <c r="F81" s="68">
        <f>ROUND((0.35+1)*1.25,7)</f>
        <v>1.6875</v>
      </c>
      <c r="G81" s="68">
        <f>SmtRes!CX10</f>
        <v>1.89</v>
      </c>
      <c r="H81" s="70"/>
      <c r="I81" s="69"/>
      <c r="J81" s="70">
        <f>SmtRes!CZ10</f>
        <v>32.24</v>
      </c>
      <c r="K81" s="69"/>
      <c r="L81" s="70">
        <f>SmtRes!DG10</f>
        <v>60.93</v>
      </c>
    </row>
    <row r="82" spans="1:82" ht="15" x14ac:dyDescent="0.2">
      <c r="A82" s="65"/>
      <c r="B82" s="68">
        <v>4</v>
      </c>
      <c r="C82" s="65" t="s">
        <v>476</v>
      </c>
      <c r="D82" s="67"/>
      <c r="E82" s="75"/>
      <c r="F82" s="68"/>
      <c r="G82" s="68"/>
      <c r="H82" s="68"/>
      <c r="I82" s="68"/>
      <c r="J82" s="68"/>
      <c r="K82" s="68"/>
      <c r="L82" s="76">
        <f>SUM(L83:L88)-SUMIF(CE83:CE88, 1, L83:L88)</f>
        <v>713.33999999999992</v>
      </c>
    </row>
    <row r="83" spans="1:82" ht="28.5" x14ac:dyDescent="0.2">
      <c r="A83" s="66"/>
      <c r="B83" s="66" t="s">
        <v>315</v>
      </c>
      <c r="C83" s="66" t="s">
        <v>317</v>
      </c>
      <c r="D83" s="67" t="s">
        <v>318</v>
      </c>
      <c r="E83" s="68">
        <v>1E-3</v>
      </c>
      <c r="F83" s="68"/>
      <c r="G83" s="68">
        <f>SmtRes!CX11</f>
        <v>2E-3</v>
      </c>
      <c r="H83" s="70">
        <f>SmtRes!CZ11</f>
        <v>7023.63</v>
      </c>
      <c r="I83" s="69">
        <f>SmtRes!AI11</f>
        <v>1.18</v>
      </c>
      <c r="J83" s="70">
        <f>ROUND(H83*I83, 2)</f>
        <v>8287.8799999999992</v>
      </c>
      <c r="K83" s="69"/>
      <c r="L83" s="70">
        <f>SmtRes!DF11</f>
        <v>16.579999999999998</v>
      </c>
    </row>
    <row r="84" spans="1:82" ht="14.25" x14ac:dyDescent="0.2">
      <c r="A84" s="66"/>
      <c r="B84" s="66" t="s">
        <v>293</v>
      </c>
      <c r="C84" s="66" t="s">
        <v>295</v>
      </c>
      <c r="D84" s="67" t="s">
        <v>296</v>
      </c>
      <c r="E84" s="68">
        <v>1.0500000000000001E-2</v>
      </c>
      <c r="F84" s="68"/>
      <c r="G84" s="68">
        <f>SmtRes!CX12</f>
        <v>2.1000000000000001E-2</v>
      </c>
      <c r="H84" s="70">
        <f>SmtRes!CZ12</f>
        <v>340.41</v>
      </c>
      <c r="I84" s="69">
        <f>SmtRes!AI12</f>
        <v>1.6</v>
      </c>
      <c r="J84" s="70">
        <f>ROUND(H84*I84, 2)</f>
        <v>544.66</v>
      </c>
      <c r="K84" s="69"/>
      <c r="L84" s="70">
        <f>SmtRes!DF12</f>
        <v>11.44</v>
      </c>
    </row>
    <row r="85" spans="1:82" ht="14.25" x14ac:dyDescent="0.2">
      <c r="A85" s="66"/>
      <c r="B85" s="66" t="s">
        <v>297</v>
      </c>
      <c r="C85" s="66" t="s">
        <v>299</v>
      </c>
      <c r="D85" s="67" t="s">
        <v>296</v>
      </c>
      <c r="E85" s="68">
        <v>4.2000000000000003E-2</v>
      </c>
      <c r="F85" s="68"/>
      <c r="G85" s="68">
        <f>SmtRes!CX13</f>
        <v>8.4000000000000005E-2</v>
      </c>
      <c r="H85" s="70">
        <f>SmtRes!CZ13</f>
        <v>114.64</v>
      </c>
      <c r="I85" s="69">
        <f>SmtRes!AI13</f>
        <v>0.86</v>
      </c>
      <c r="J85" s="70">
        <f>ROUND(H85*I85, 2)</f>
        <v>98.59</v>
      </c>
      <c r="K85" s="69"/>
      <c r="L85" s="70">
        <f>SmtRes!DF13</f>
        <v>8.2799999999999994</v>
      </c>
    </row>
    <row r="86" spans="1:82" ht="57" x14ac:dyDescent="0.2">
      <c r="A86" s="66"/>
      <c r="B86" s="66" t="s">
        <v>319</v>
      </c>
      <c r="C86" s="66" t="s">
        <v>321</v>
      </c>
      <c r="D86" s="67" t="s">
        <v>93</v>
      </c>
      <c r="E86" s="68">
        <v>0.2</v>
      </c>
      <c r="F86" s="68"/>
      <c r="G86" s="68">
        <f>SmtRes!CX14</f>
        <v>0.4</v>
      </c>
      <c r="H86" s="70">
        <f>SmtRes!CZ14</f>
        <v>155.63</v>
      </c>
      <c r="I86" s="69">
        <f>SmtRes!AI14</f>
        <v>0.77</v>
      </c>
      <c r="J86" s="70">
        <f>ROUND(H86*I86, 2)</f>
        <v>119.84</v>
      </c>
      <c r="K86" s="69"/>
      <c r="L86" s="70">
        <f>SmtRes!DF14</f>
        <v>47.94</v>
      </c>
    </row>
    <row r="87" spans="1:82" ht="71.25" x14ac:dyDescent="0.2">
      <c r="A87" s="66"/>
      <c r="B87" s="66" t="s">
        <v>322</v>
      </c>
      <c r="C87" s="66" t="s">
        <v>324</v>
      </c>
      <c r="D87" s="67" t="s">
        <v>59</v>
      </c>
      <c r="E87" s="68">
        <v>5.9999999999999995E-4</v>
      </c>
      <c r="F87" s="68"/>
      <c r="G87" s="68">
        <f>SmtRes!CX15</f>
        <v>1.1999999999999999E-3</v>
      </c>
      <c r="H87" s="70">
        <f>SmtRes!CZ15</f>
        <v>145801.49</v>
      </c>
      <c r="I87" s="69">
        <f>SmtRes!AI15</f>
        <v>1.08</v>
      </c>
      <c r="J87" s="70">
        <f>ROUND(H87*I87, 2)</f>
        <v>157465.60999999999</v>
      </c>
      <c r="K87" s="69"/>
      <c r="L87" s="70">
        <f>SmtRes!DF15</f>
        <v>188.96</v>
      </c>
    </row>
    <row r="88" spans="1:82" ht="71.25" x14ac:dyDescent="0.2">
      <c r="A88" s="66"/>
      <c r="B88" s="66" t="s">
        <v>325</v>
      </c>
      <c r="C88" s="66" t="s">
        <v>327</v>
      </c>
      <c r="D88" s="67" t="s">
        <v>72</v>
      </c>
      <c r="E88" s="68">
        <v>0.4</v>
      </c>
      <c r="F88" s="68"/>
      <c r="G88" s="68">
        <f>SmtRes!CX17</f>
        <v>0.8</v>
      </c>
      <c r="H88" s="70">
        <f>SmtRes!CZ17</f>
        <v>573.1</v>
      </c>
      <c r="I88" s="69">
        <f>SmtRes!AI17</f>
        <v>0.96</v>
      </c>
      <c r="J88" s="70">
        <f>ROUND(H88*I88, 2)</f>
        <v>550.17999999999995</v>
      </c>
      <c r="K88" s="69"/>
      <c r="L88" s="70">
        <f>SmtRes!DF17</f>
        <v>440.14</v>
      </c>
    </row>
    <row r="89" spans="1:82" ht="14.25" x14ac:dyDescent="0.2">
      <c r="A89" s="66"/>
      <c r="B89" s="66" t="str">
        <f>EtalonRes!I16</f>
        <v>18.1.02.01</v>
      </c>
      <c r="C89" s="66" t="str">
        <f>EtalonRes!K16</f>
        <v>Арматура трубопроводная фланцевая</v>
      </c>
      <c r="D89" s="67" t="str">
        <f>EtalonRes!O16</f>
        <v>ШТ</v>
      </c>
      <c r="E89" s="68">
        <f>EtalonRes!X16</f>
        <v>1</v>
      </c>
      <c r="F89" s="68"/>
      <c r="G89" s="68">
        <f>ROUND(EtalonRes!AG16*Source!I25, 7)</f>
        <v>2</v>
      </c>
      <c r="H89" s="70"/>
      <c r="I89" s="69"/>
      <c r="J89" s="70"/>
      <c r="K89" s="69"/>
      <c r="L89" s="70"/>
    </row>
    <row r="90" spans="1:82" ht="14.25" x14ac:dyDescent="0.2">
      <c r="A90" s="66"/>
      <c r="B90" s="66" t="str">
        <f>EtalonRes!I18</f>
        <v>23.8.03.11</v>
      </c>
      <c r="C90" s="77" t="str">
        <f>EtalonRes!K18</f>
        <v>Фланцы стальные</v>
      </c>
      <c r="D90" s="78" t="str">
        <f>EtalonRes!O18</f>
        <v>ШТ</v>
      </c>
      <c r="E90" s="79">
        <f>EtalonRes!X18</f>
        <v>1</v>
      </c>
      <c r="F90" s="79"/>
      <c r="G90" s="79">
        <f>ROUND(EtalonRes!AG18*Source!I25, 7)</f>
        <v>2</v>
      </c>
      <c r="H90" s="80"/>
      <c r="I90" s="81"/>
      <c r="J90" s="80"/>
      <c r="K90" s="81"/>
      <c r="L90" s="80"/>
    </row>
    <row r="91" spans="1:82" ht="15" x14ac:dyDescent="0.2">
      <c r="A91" s="66"/>
      <c r="B91" s="66"/>
      <c r="C91" s="84" t="s">
        <v>477</v>
      </c>
      <c r="D91" s="67"/>
      <c r="E91" s="68"/>
      <c r="F91" s="68"/>
      <c r="G91" s="68"/>
      <c r="H91" s="70"/>
      <c r="I91" s="69"/>
      <c r="J91" s="70"/>
      <c r="K91" s="69"/>
      <c r="L91" s="70">
        <f>L72+L74+L75+L82</f>
        <v>13699.3</v>
      </c>
    </row>
    <row r="92" spans="1:82" ht="14.25" x14ac:dyDescent="0.2">
      <c r="A92" s="66"/>
      <c r="B92" s="66"/>
      <c r="C92" s="66" t="s">
        <v>478</v>
      </c>
      <c r="D92" s="67"/>
      <c r="E92" s="68"/>
      <c r="F92" s="68"/>
      <c r="G92" s="68"/>
      <c r="H92" s="70"/>
      <c r="I92" s="69"/>
      <c r="J92" s="70"/>
      <c r="K92" s="69"/>
      <c r="L92" s="70">
        <f>SUM(AR68:AR95)+SUM(AS68:AS95)+SUM(AT68:AT95)+SUM(AU68:AU95)+SUM(AV68:AV95)</f>
        <v>12860.63</v>
      </c>
    </row>
    <row r="93" spans="1:82" ht="71.25" x14ac:dyDescent="0.2">
      <c r="A93" s="66"/>
      <c r="B93" s="66" t="s">
        <v>489</v>
      </c>
      <c r="C93" s="66" t="s">
        <v>490</v>
      </c>
      <c r="D93" s="67" t="s">
        <v>480</v>
      </c>
      <c r="E93" s="68">
        <f>Source!BZ25</f>
        <v>121</v>
      </c>
      <c r="F93" s="68">
        <f>ROUND(0.9,7)</f>
        <v>0.9</v>
      </c>
      <c r="G93" s="68">
        <f>Source!AT25</f>
        <v>108.9</v>
      </c>
      <c r="H93" s="70"/>
      <c r="I93" s="69"/>
      <c r="J93" s="70"/>
      <c r="K93" s="69"/>
      <c r="L93" s="70">
        <f>SUM(AZ68:AZ95)</f>
        <v>14005.23</v>
      </c>
    </row>
    <row r="94" spans="1:82" ht="71.25" x14ac:dyDescent="0.2">
      <c r="A94" s="77"/>
      <c r="B94" s="77" t="s">
        <v>491</v>
      </c>
      <c r="C94" s="77" t="s">
        <v>492</v>
      </c>
      <c r="D94" s="78" t="s">
        <v>480</v>
      </c>
      <c r="E94" s="79">
        <f>Source!CA25</f>
        <v>72</v>
      </c>
      <c r="F94" s="79">
        <f>ROUND(0.85,7)</f>
        <v>0.85</v>
      </c>
      <c r="G94" s="79">
        <f>Source!AU25</f>
        <v>61.2</v>
      </c>
      <c r="H94" s="80"/>
      <c r="I94" s="81"/>
      <c r="J94" s="80"/>
      <c r="K94" s="81"/>
      <c r="L94" s="80">
        <f>SUM(BA68:BA95)</f>
        <v>7870.71</v>
      </c>
    </row>
    <row r="95" spans="1:82" ht="15" x14ac:dyDescent="0.2">
      <c r="C95" s="86" t="s">
        <v>482</v>
      </c>
      <c r="D95" s="86"/>
      <c r="E95" s="86"/>
      <c r="F95" s="86"/>
      <c r="G95" s="86"/>
      <c r="H95" s="86"/>
      <c r="I95" s="87">
        <f>IF(E68&lt;&gt;0,K95/E68, 0)</f>
        <v>17787.62</v>
      </c>
      <c r="J95" s="87"/>
      <c r="K95" s="87">
        <f>L72+L74+L82+L93+L94+L75</f>
        <v>35575.24</v>
      </c>
      <c r="L95" s="87"/>
      <c r="AD95">
        <f>ROUND((Source!AT25/100)*((ROUND(SUMIF(SmtRes!AQ5:'SmtRes'!AQ18,"=1",SmtRes!AD5:'SmtRes'!AD18)*Source!I25, 2)+ROUND(SUMIF(SmtRes!AQ5:'SmtRes'!AQ18,"=1",SmtRes!AC5:'SmtRes'!AC18)*Source!I25, 2))), 2)</f>
        <v>5323.47</v>
      </c>
      <c r="AE95">
        <f>ROUND((Source!AU25/100)*((ROUND(SUMIF(SmtRes!AQ5:'SmtRes'!AQ18,"=1",SmtRes!AD5:'SmtRes'!AD18)*Source!I25, 2)+ROUND(SUMIF(SmtRes!AQ5:'SmtRes'!AQ18,"=1",SmtRes!AC5:'SmtRes'!AC18)*Source!I25, 2))), 2)</f>
        <v>2991.7</v>
      </c>
      <c r="AN95" s="82">
        <f>L72+L74+L82+L93+L94+L75</f>
        <v>35575.24</v>
      </c>
      <c r="AO95" s="82">
        <f>L74</f>
        <v>125.32999999999998</v>
      </c>
      <c r="AQ95" t="s">
        <v>483</v>
      </c>
      <c r="AR95" s="82">
        <f>L72</f>
        <v>12802.82</v>
      </c>
      <c r="AT95" s="82">
        <f>L75</f>
        <v>57.81</v>
      </c>
      <c r="AV95" t="s">
        <v>483</v>
      </c>
      <c r="AW95" s="82">
        <f>L82</f>
        <v>713.33999999999992</v>
      </c>
      <c r="AZ95">
        <f>Source!X25</f>
        <v>14005.23</v>
      </c>
      <c r="BA95">
        <f>Source!Y25</f>
        <v>7870.71</v>
      </c>
      <c r="CD95">
        <v>1</v>
      </c>
    </row>
    <row r="96" spans="1:82" ht="57" x14ac:dyDescent="0.2">
      <c r="A96" s="64" t="s">
        <v>76</v>
      </c>
      <c r="B96" s="66" t="s">
        <v>493</v>
      </c>
      <c r="C96" s="66" t="str">
        <f>Source!G38</f>
        <v>Сверление отверстий в строительных конструкциях из кирпича установками алмазного сверления, диаметр кольцевого алмазного сверла: 60 мм</v>
      </c>
      <c r="D96" s="67" t="str">
        <f>Source!H38</f>
        <v>м</v>
      </c>
      <c r="E96" s="68">
        <f>Source!K38</f>
        <v>1</v>
      </c>
      <c r="F96" s="68"/>
      <c r="G96" s="68">
        <f>Source!I38</f>
        <v>1</v>
      </c>
      <c r="H96" s="70"/>
      <c r="I96" s="69"/>
      <c r="J96" s="70"/>
      <c r="K96" s="69"/>
      <c r="L96" s="70"/>
    </row>
    <row r="97" spans="1:101" ht="76.5" x14ac:dyDescent="0.2">
      <c r="B97" s="71" t="s">
        <v>416</v>
      </c>
      <c r="C97" s="72" t="s">
        <v>472</v>
      </c>
      <c r="D97" s="72"/>
      <c r="E97" s="72"/>
      <c r="F97" s="72"/>
      <c r="G97" s="72"/>
      <c r="H97" s="72"/>
      <c r="I97" s="72"/>
      <c r="J97" s="72"/>
      <c r="K97" s="72"/>
      <c r="L97" s="72"/>
      <c r="CW97" s="73" t="s">
        <v>472</v>
      </c>
    </row>
    <row r="98" spans="1:101" ht="15" x14ac:dyDescent="0.2">
      <c r="A98" s="65"/>
      <c r="B98" s="68">
        <v>1</v>
      </c>
      <c r="C98" s="65" t="s">
        <v>473</v>
      </c>
      <c r="D98" s="67" t="s">
        <v>288</v>
      </c>
      <c r="E98" s="75"/>
      <c r="F98" s="68"/>
      <c r="G98" s="68">
        <f>Source!U38</f>
        <v>7.9649999999999999</v>
      </c>
      <c r="H98" s="68"/>
      <c r="I98" s="68"/>
      <c r="J98" s="68"/>
      <c r="K98" s="68"/>
      <c r="L98" s="76">
        <f>SUM(L99:L99)-SUMIF(CE99:CE99, 1, L99:L99)</f>
        <v>6692.11</v>
      </c>
    </row>
    <row r="99" spans="1:101" ht="14.25" x14ac:dyDescent="0.2">
      <c r="A99" s="66"/>
      <c r="B99" s="66" t="s">
        <v>334</v>
      </c>
      <c r="C99" s="66" t="s">
        <v>335</v>
      </c>
      <c r="D99" s="67" t="s">
        <v>288</v>
      </c>
      <c r="E99" s="68">
        <v>5.9</v>
      </c>
      <c r="F99" s="68">
        <f>ROUND((0.35+1),7)</f>
        <v>1.35</v>
      </c>
      <c r="G99" s="68">
        <f>SmtRes!CX34</f>
        <v>7.9649999999999999</v>
      </c>
      <c r="H99" s="70"/>
      <c r="I99" s="69"/>
      <c r="J99" s="70">
        <f>SmtRes!CZ34</f>
        <v>840.19</v>
      </c>
      <c r="K99" s="69"/>
      <c r="L99" s="70">
        <f>SmtRes!DI34</f>
        <v>6692.11</v>
      </c>
    </row>
    <row r="100" spans="1:101" ht="15" x14ac:dyDescent="0.2">
      <c r="A100" s="65"/>
      <c r="B100" s="68">
        <v>2</v>
      </c>
      <c r="C100" s="65" t="s">
        <v>474</v>
      </c>
      <c r="D100" s="67"/>
      <c r="E100" s="75"/>
      <c r="F100" s="68"/>
      <c r="G100" s="68"/>
      <c r="H100" s="68"/>
      <c r="I100" s="68"/>
      <c r="J100" s="68"/>
      <c r="K100" s="68"/>
      <c r="L100" s="76">
        <f>SUM(L101:L102)-SUMIF(CE101:CE102, 1, L101:L102)</f>
        <v>78.34</v>
      </c>
    </row>
    <row r="101" spans="1:101" ht="15" hidden="1" x14ac:dyDescent="0.2">
      <c r="A101" s="65"/>
      <c r="B101" s="68"/>
      <c r="C101" s="65" t="s">
        <v>475</v>
      </c>
      <c r="D101" s="67" t="s">
        <v>288</v>
      </c>
      <c r="E101" s="75"/>
      <c r="F101" s="68"/>
      <c r="G101" s="68">
        <f>Source!V38</f>
        <v>0</v>
      </c>
      <c r="H101" s="68"/>
      <c r="I101" s="68"/>
      <c r="J101" s="68"/>
      <c r="K101" s="68"/>
      <c r="L101" s="76">
        <f>SUMIF(CE102:CE102, 1, L102:L102)</f>
        <v>0</v>
      </c>
      <c r="CE101">
        <v>1</v>
      </c>
    </row>
    <row r="102" spans="1:101" ht="42.75" x14ac:dyDescent="0.2">
      <c r="A102" s="66"/>
      <c r="B102" s="66" t="s">
        <v>336</v>
      </c>
      <c r="C102" s="66" t="s">
        <v>338</v>
      </c>
      <c r="D102" s="67" t="s">
        <v>292</v>
      </c>
      <c r="E102" s="68">
        <v>1.9</v>
      </c>
      <c r="F102" s="68">
        <f>ROUND((0.35+1),7)</f>
        <v>1.35</v>
      </c>
      <c r="G102" s="68">
        <f>SmtRes!CX35</f>
        <v>2.5649999999999999</v>
      </c>
      <c r="H102" s="70">
        <f>SmtRes!CZ35</f>
        <v>26.1</v>
      </c>
      <c r="I102" s="69">
        <f>SmtRes!AJ35</f>
        <v>1.17</v>
      </c>
      <c r="J102" s="70">
        <f>ROUND(H102*I102, 2)</f>
        <v>30.54</v>
      </c>
      <c r="K102" s="69"/>
      <c r="L102" s="70">
        <f>SmtRes!DG35</f>
        <v>78.34</v>
      </c>
    </row>
    <row r="103" spans="1:101" ht="15" x14ac:dyDescent="0.2">
      <c r="A103" s="65"/>
      <c r="B103" s="68">
        <v>4</v>
      </c>
      <c r="C103" s="65" t="s">
        <v>476</v>
      </c>
      <c r="D103" s="67"/>
      <c r="E103" s="75"/>
      <c r="F103" s="68"/>
      <c r="G103" s="68"/>
      <c r="H103" s="68"/>
      <c r="I103" s="68"/>
      <c r="J103" s="68"/>
      <c r="K103" s="68"/>
      <c r="L103" s="76">
        <f>SUM(L104:L104)-SUMIF(CE104:CE104, 1, L104:L104)</f>
        <v>7.98</v>
      </c>
    </row>
    <row r="104" spans="1:101" ht="14.25" x14ac:dyDescent="0.2">
      <c r="A104" s="66"/>
      <c r="B104" s="66" t="s">
        <v>339</v>
      </c>
      <c r="C104" s="66" t="s">
        <v>341</v>
      </c>
      <c r="D104" s="67" t="s">
        <v>296</v>
      </c>
      <c r="E104" s="68">
        <v>0.14599999999999999</v>
      </c>
      <c r="F104" s="68"/>
      <c r="G104" s="68">
        <f>SmtRes!CX36</f>
        <v>0.14599999999999999</v>
      </c>
      <c r="H104" s="70">
        <f>SmtRes!CZ36</f>
        <v>35.71</v>
      </c>
      <c r="I104" s="69">
        <f>SmtRes!AI36</f>
        <v>1.53</v>
      </c>
      <c r="J104" s="70">
        <f>ROUND(H104*I104, 2)</f>
        <v>54.64</v>
      </c>
      <c r="K104" s="69"/>
      <c r="L104" s="70">
        <f>SmtRes!DF36</f>
        <v>7.98</v>
      </c>
    </row>
    <row r="105" spans="1:101" ht="14.25" x14ac:dyDescent="0.2">
      <c r="A105" s="66"/>
      <c r="B105" s="66" t="str">
        <f>EtalonRes!I37</f>
        <v>01.7.17.09</v>
      </c>
      <c r="C105" s="77" t="str">
        <f>EtalonRes!K37</f>
        <v>Сверла, буры</v>
      </c>
      <c r="D105" s="78" t="str">
        <f>EtalonRes!O37</f>
        <v>ШТ</v>
      </c>
      <c r="E105" s="79">
        <f>EtalonRes!X37</f>
        <v>6.5000000000000002E-2</v>
      </c>
      <c r="F105" s="79"/>
      <c r="G105" s="79">
        <f>ROUND(EtalonRes!AG37*Source!I38, 7)</f>
        <v>6.5000000000000002E-2</v>
      </c>
      <c r="H105" s="80"/>
      <c r="I105" s="81"/>
      <c r="J105" s="80"/>
      <c r="K105" s="81"/>
      <c r="L105" s="80"/>
    </row>
    <row r="106" spans="1:101" ht="15" x14ac:dyDescent="0.2">
      <c r="A106" s="66"/>
      <c r="B106" s="66"/>
      <c r="C106" s="84" t="s">
        <v>477</v>
      </c>
      <c r="D106" s="67"/>
      <c r="E106" s="68"/>
      <c r="F106" s="68"/>
      <c r="G106" s="68"/>
      <c r="H106" s="70"/>
      <c r="I106" s="69"/>
      <c r="J106" s="70"/>
      <c r="K106" s="69"/>
      <c r="L106" s="70">
        <f>L98+L100+L101+L103</f>
        <v>6778.4299999999994</v>
      </c>
    </row>
    <row r="107" spans="1:101" ht="28.5" x14ac:dyDescent="0.2">
      <c r="A107" s="64" t="s">
        <v>494</v>
      </c>
      <c r="B107" s="66" t="str">
        <f>Source!F39</f>
        <v>01.7.17.09-0069</v>
      </c>
      <c r="C107" s="66" t="str">
        <f>Source!G39</f>
        <v>Сверло кольцевое алмазное, диаметр 60 мм</v>
      </c>
      <c r="D107" s="67" t="str">
        <f>Source!H39</f>
        <v>ШТ</v>
      </c>
      <c r="E107" s="68">
        <f>SmtRes!AT37</f>
        <v>6.5000000000000002E-2</v>
      </c>
      <c r="F107" s="68"/>
      <c r="G107" s="68">
        <f>Source!I39</f>
        <v>6.5000000000000002E-2</v>
      </c>
      <c r="H107" s="70">
        <f>Source!AL39+Source!AO39+Source!AM39+Source!AN39</f>
        <v>954.97</v>
      </c>
      <c r="I107" s="69">
        <f>IF(Source!BC39&lt;&gt; 0, Source!BC39, 1)</f>
        <v>1.22</v>
      </c>
      <c r="J107" s="70">
        <f>ROUND(H107*I107, 2)</f>
        <v>1165.06</v>
      </c>
      <c r="K107" s="69"/>
      <c r="L107" s="70">
        <f>Source!P39</f>
        <v>75.73</v>
      </c>
      <c r="AD107">
        <f>ROUND((Source!AT39/100)*((ROUND(ROUND(Source!AO39,2)*Source!I39, 2)+ROUND(ROUND(Source!AN39,2)*Source!I39, 2))), 2)</f>
        <v>0</v>
      </c>
      <c r="AE107">
        <f>ROUND((Source!AU39/100)*((ROUND(ROUND(Source!AO39,2)*Source!I39, 2)+ROUND(ROUND(Source!AN39,2)*Source!I39, 2))), 2)</f>
        <v>0</v>
      </c>
      <c r="AN107">
        <f>L107</f>
        <v>75.73</v>
      </c>
      <c r="AW107">
        <f>L107</f>
        <v>75.73</v>
      </c>
      <c r="AZ107">
        <f>Source!X39</f>
        <v>0</v>
      </c>
      <c r="BA107">
        <f>Source!Y39</f>
        <v>0</v>
      </c>
      <c r="CD107">
        <v>1</v>
      </c>
    </row>
    <row r="108" spans="1:101" ht="14.25" x14ac:dyDescent="0.2">
      <c r="A108" s="66"/>
      <c r="B108" s="66"/>
      <c r="C108" s="66" t="s">
        <v>478</v>
      </c>
      <c r="D108" s="67"/>
      <c r="E108" s="68"/>
      <c r="F108" s="68"/>
      <c r="G108" s="68"/>
      <c r="H108" s="70"/>
      <c r="I108" s="69"/>
      <c r="J108" s="70"/>
      <c r="K108" s="69"/>
      <c r="L108" s="70">
        <f>SUM(AR96:AR111)+SUM(AS96:AS111)+SUM(AT96:AT111)+SUM(AU96:AU111)+SUM(AV96:AV111)</f>
        <v>6692.11</v>
      </c>
    </row>
    <row r="109" spans="1:101" ht="28.5" x14ac:dyDescent="0.2">
      <c r="A109" s="66"/>
      <c r="B109" s="66" t="s">
        <v>55</v>
      </c>
      <c r="C109" s="66" t="s">
        <v>495</v>
      </c>
      <c r="D109" s="67" t="s">
        <v>480</v>
      </c>
      <c r="E109" s="68">
        <f>Source!BZ38</f>
        <v>92</v>
      </c>
      <c r="F109" s="68"/>
      <c r="G109" s="68">
        <f>Source!AT38</f>
        <v>92</v>
      </c>
      <c r="H109" s="70"/>
      <c r="I109" s="69"/>
      <c r="J109" s="70"/>
      <c r="K109" s="69"/>
      <c r="L109" s="70">
        <f>SUM(AZ96:AZ111)</f>
        <v>6156.74</v>
      </c>
    </row>
    <row r="110" spans="1:101" ht="28.5" x14ac:dyDescent="0.2">
      <c r="A110" s="77"/>
      <c r="B110" s="77" t="s">
        <v>56</v>
      </c>
      <c r="C110" s="77" t="s">
        <v>496</v>
      </c>
      <c r="D110" s="78" t="s">
        <v>480</v>
      </c>
      <c r="E110" s="79">
        <f>Source!CA38</f>
        <v>44</v>
      </c>
      <c r="F110" s="79"/>
      <c r="G110" s="79">
        <f>Source!AU38</f>
        <v>44</v>
      </c>
      <c r="H110" s="80"/>
      <c r="I110" s="81"/>
      <c r="J110" s="80"/>
      <c r="K110" s="81"/>
      <c r="L110" s="80">
        <f>SUM(BA96:BA111)</f>
        <v>2944.53</v>
      </c>
    </row>
    <row r="111" spans="1:101" ht="15" x14ac:dyDescent="0.2">
      <c r="C111" s="86" t="s">
        <v>482</v>
      </c>
      <c r="D111" s="86"/>
      <c r="E111" s="86"/>
      <c r="F111" s="86"/>
      <c r="G111" s="86"/>
      <c r="H111" s="86"/>
      <c r="I111" s="87">
        <f>IF(E96&lt;&gt;0,K111/E96, 0)</f>
        <v>15955.429999999998</v>
      </c>
      <c r="J111" s="87"/>
      <c r="K111" s="87">
        <f>L98+L100+L103+L109+L110+L101+SUM(L107:L107)</f>
        <v>15955.429999999998</v>
      </c>
      <c r="L111" s="87"/>
      <c r="AD111">
        <f>ROUND((Source!AT38/100)*((ROUND(SUMIF(SmtRes!AQ34:'SmtRes'!AQ37,"=1",SmtRes!AD34:'SmtRes'!AD37)*Source!I38, 2)+ROUND(SUMIF(SmtRes!AQ34:'SmtRes'!AQ37,"=1",SmtRes!AC34:'SmtRes'!AC37)*Source!I38, 2))), 2)</f>
        <v>772.97</v>
      </c>
      <c r="AE111">
        <f>ROUND((Source!AU38/100)*((ROUND(SUMIF(SmtRes!AQ34:'SmtRes'!AQ37,"=1",SmtRes!AD34:'SmtRes'!AD37)*Source!I38, 2)+ROUND(SUMIF(SmtRes!AQ34:'SmtRes'!AQ37,"=1",SmtRes!AC34:'SmtRes'!AC37)*Source!I38, 2))), 2)</f>
        <v>369.68</v>
      </c>
      <c r="AN111" s="82">
        <f>L98+L100+L103+L109+L110+L101</f>
        <v>15879.699999999999</v>
      </c>
      <c r="AO111" s="82">
        <f>L100</f>
        <v>78.34</v>
      </c>
      <c r="AQ111" t="s">
        <v>483</v>
      </c>
      <c r="AR111" s="82">
        <f>L98</f>
        <v>6692.11</v>
      </c>
      <c r="AT111" s="82">
        <f>L101</f>
        <v>0</v>
      </c>
      <c r="AV111" t="s">
        <v>483</v>
      </c>
      <c r="AW111" s="82">
        <f>L103</f>
        <v>7.98</v>
      </c>
      <c r="AZ111">
        <f>Source!X38</f>
        <v>6156.74</v>
      </c>
      <c r="BA111">
        <f>Source!Y38</f>
        <v>2944.53</v>
      </c>
      <c r="CD111">
        <v>1</v>
      </c>
    </row>
    <row r="112" spans="1:101" ht="42.75" x14ac:dyDescent="0.2">
      <c r="A112" s="64" t="s">
        <v>94</v>
      </c>
      <c r="B112" s="66" t="s">
        <v>497</v>
      </c>
      <c r="C112" s="66" t="str">
        <f>Source!G44</f>
        <v>Прокладка трубопроводов отопления и газоснабжения из стальных бесшовных труб диаметром: 50 мм</v>
      </c>
      <c r="D112" s="67" t="str">
        <f>Source!H44</f>
        <v>100 м</v>
      </c>
      <c r="E112" s="68">
        <f>Source!K44</f>
        <v>0.15</v>
      </c>
      <c r="F112" s="68"/>
      <c r="G112" s="68">
        <f>Source!I44</f>
        <v>0.15</v>
      </c>
      <c r="H112" s="70"/>
      <c r="I112" s="69"/>
      <c r="J112" s="70"/>
      <c r="K112" s="69"/>
      <c r="L112" s="70"/>
    </row>
    <row r="113" spans="1:101" ht="76.5" x14ac:dyDescent="0.2">
      <c r="B113" s="71" t="s">
        <v>418</v>
      </c>
      <c r="C113" s="72" t="s">
        <v>472</v>
      </c>
      <c r="D113" s="72"/>
      <c r="E113" s="72"/>
      <c r="F113" s="72"/>
      <c r="G113" s="72"/>
      <c r="H113" s="72"/>
      <c r="I113" s="72"/>
      <c r="J113" s="72"/>
      <c r="K113" s="72"/>
      <c r="L113" s="72"/>
      <c r="CW113" s="73" t="s">
        <v>472</v>
      </c>
    </row>
    <row r="114" spans="1:101" ht="76.5" x14ac:dyDescent="0.2">
      <c r="B114" s="71" t="s">
        <v>421</v>
      </c>
      <c r="C114" s="72" t="s">
        <v>485</v>
      </c>
      <c r="D114" s="72"/>
      <c r="E114" s="72"/>
      <c r="F114" s="72"/>
      <c r="G114" s="72"/>
      <c r="H114" s="72"/>
      <c r="I114" s="72"/>
      <c r="J114" s="72"/>
      <c r="K114" s="72"/>
      <c r="L114" s="72"/>
      <c r="CW114" s="73" t="s">
        <v>485</v>
      </c>
    </row>
    <row r="115" spans="1:101" ht="76.5" x14ac:dyDescent="0.2">
      <c r="C115" s="88" t="s">
        <v>486</v>
      </c>
      <c r="D115" s="88"/>
      <c r="E115" s="88"/>
      <c r="F115" s="88"/>
      <c r="CW115" s="89" t="s">
        <v>486</v>
      </c>
    </row>
    <row r="116" spans="1:101" x14ac:dyDescent="0.2">
      <c r="C116" s="74" t="str">
        <f>"Объем: "&amp;Source!I44&amp;"=15/"&amp;"100"</f>
        <v>Объем: 0,15=15/100</v>
      </c>
    </row>
    <row r="117" spans="1:101" ht="15" x14ac:dyDescent="0.2">
      <c r="A117" s="65"/>
      <c r="B117" s="68">
        <v>1</v>
      </c>
      <c r="C117" s="65" t="s">
        <v>473</v>
      </c>
      <c r="D117" s="67" t="s">
        <v>288</v>
      </c>
      <c r="E117" s="75"/>
      <c r="F117" s="68"/>
      <c r="G117" s="68">
        <f>Source!U44</f>
        <v>12.8779875</v>
      </c>
      <c r="H117" s="68"/>
      <c r="I117" s="68"/>
      <c r="J117" s="68"/>
      <c r="K117" s="68"/>
      <c r="L117" s="76">
        <f>SUM(L118:L118)-SUMIF(CE118:CE118, 1, L118:L118)</f>
        <v>9555.34</v>
      </c>
    </row>
    <row r="118" spans="1:101" ht="14.25" x14ac:dyDescent="0.2">
      <c r="A118" s="66"/>
      <c r="B118" s="66" t="s">
        <v>363</v>
      </c>
      <c r="C118" s="66" t="s">
        <v>364</v>
      </c>
      <c r="D118" s="67" t="s">
        <v>288</v>
      </c>
      <c r="E118" s="68">
        <v>55.3</v>
      </c>
      <c r="F118" s="68">
        <f>ROUND((0.35+1)*1.15,7)</f>
        <v>1.5525</v>
      </c>
      <c r="G118" s="68">
        <f>SmtRes!CX55</f>
        <v>12.8779875</v>
      </c>
      <c r="H118" s="70"/>
      <c r="I118" s="69"/>
      <c r="J118" s="70">
        <f>SmtRes!CZ55</f>
        <v>741.99</v>
      </c>
      <c r="K118" s="69"/>
      <c r="L118" s="70">
        <f>SmtRes!DI55</f>
        <v>9555.34</v>
      </c>
    </row>
    <row r="119" spans="1:101" ht="15" x14ac:dyDescent="0.2">
      <c r="A119" s="65"/>
      <c r="B119" s="68">
        <v>2</v>
      </c>
      <c r="C119" s="65" t="s">
        <v>474</v>
      </c>
      <c r="D119" s="67"/>
      <c r="E119" s="75"/>
      <c r="F119" s="68"/>
      <c r="G119" s="68"/>
      <c r="H119" s="68"/>
      <c r="I119" s="68"/>
      <c r="J119" s="68"/>
      <c r="K119" s="68"/>
      <c r="L119" s="76">
        <f>SUM(L120:L127)-SUMIF(CE120:CE127, 1, L120:L127)</f>
        <v>204.55999999999995</v>
      </c>
    </row>
    <row r="120" spans="1:101" ht="15" x14ac:dyDescent="0.2">
      <c r="A120" s="65"/>
      <c r="B120" s="68"/>
      <c r="C120" s="65" t="s">
        <v>475</v>
      </c>
      <c r="D120" s="67" t="s">
        <v>288</v>
      </c>
      <c r="E120" s="75"/>
      <c r="F120" s="68"/>
      <c r="G120" s="68">
        <f>Source!V44</f>
        <v>0.26831260000000001</v>
      </c>
      <c r="H120" s="68"/>
      <c r="I120" s="68"/>
      <c r="J120" s="68"/>
      <c r="K120" s="68"/>
      <c r="L120" s="76">
        <f>SUMIF(CE121:CE127, 1, L121:L127)</f>
        <v>208.23</v>
      </c>
      <c r="CE120">
        <v>1</v>
      </c>
    </row>
    <row r="121" spans="1:101" ht="28.5" x14ac:dyDescent="0.2">
      <c r="A121" s="66"/>
      <c r="B121" s="66" t="s">
        <v>304</v>
      </c>
      <c r="C121" s="66" t="s">
        <v>306</v>
      </c>
      <c r="D121" s="67" t="s">
        <v>292</v>
      </c>
      <c r="E121" s="68">
        <v>0.12</v>
      </c>
      <c r="F121" s="68">
        <f>ROUND((0.35+1)*1.25,7)</f>
        <v>1.6875</v>
      </c>
      <c r="G121" s="68">
        <f>SmtRes!CX57</f>
        <v>3.0374999999999999E-2</v>
      </c>
      <c r="H121" s="70"/>
      <c r="I121" s="69"/>
      <c r="J121" s="70">
        <f>SmtRes!CZ57</f>
        <v>1036.96</v>
      </c>
      <c r="K121" s="69"/>
      <c r="L121" s="70">
        <f>SmtRes!DG57</f>
        <v>31.5</v>
      </c>
    </row>
    <row r="122" spans="1:101" ht="28.5" x14ac:dyDescent="0.2">
      <c r="A122" s="66"/>
      <c r="B122" s="66" t="s">
        <v>307</v>
      </c>
      <c r="C122" s="66" t="s">
        <v>487</v>
      </c>
      <c r="D122" s="67" t="s">
        <v>288</v>
      </c>
      <c r="E122" s="68">
        <f>SmtRes!DO57*SmtRes!AT57</f>
        <v>0.12</v>
      </c>
      <c r="F122" s="68">
        <f>ROUND((0.35+1)*1.25,7)</f>
        <v>1.6875</v>
      </c>
      <c r="G122" s="68">
        <f>ROUND(E122*F122*G112, 7)</f>
        <v>3.0374999999999999E-2</v>
      </c>
      <c r="H122" s="70"/>
      <c r="I122" s="69"/>
      <c r="J122" s="70">
        <f>ROUND(SmtRes!AG57/SmtRes!DO57, 2)</f>
        <v>982.04</v>
      </c>
      <c r="K122" s="69"/>
      <c r="L122" s="70">
        <f>SmtRes!DH57</f>
        <v>29.83</v>
      </c>
      <c r="CE122">
        <v>1</v>
      </c>
    </row>
    <row r="123" spans="1:101" ht="28.5" x14ac:dyDescent="0.2">
      <c r="A123" s="66"/>
      <c r="B123" s="66" t="s">
        <v>342</v>
      </c>
      <c r="C123" s="66" t="s">
        <v>344</v>
      </c>
      <c r="D123" s="67" t="s">
        <v>292</v>
      </c>
      <c r="E123" s="68">
        <v>7.0000000000000007E-2</v>
      </c>
      <c r="F123" s="68">
        <f>ROUND((0.35+1)*1.25,7)</f>
        <v>1.6875</v>
      </c>
      <c r="G123" s="68">
        <f>SmtRes!CX58</f>
        <v>1.77188E-2</v>
      </c>
      <c r="H123" s="70"/>
      <c r="I123" s="69"/>
      <c r="J123" s="70">
        <f>SmtRes!CZ58</f>
        <v>1585.56</v>
      </c>
      <c r="K123" s="69"/>
      <c r="L123" s="70">
        <f>SmtRes!DG58</f>
        <v>28.09</v>
      </c>
    </row>
    <row r="124" spans="1:101" ht="28.5" x14ac:dyDescent="0.2">
      <c r="A124" s="66"/>
      <c r="B124" s="66" t="s">
        <v>307</v>
      </c>
      <c r="C124" s="66" t="s">
        <v>487</v>
      </c>
      <c r="D124" s="67" t="s">
        <v>288</v>
      </c>
      <c r="E124" s="68">
        <f>SmtRes!DO58*SmtRes!AT58</f>
        <v>7.0000000000000007E-2</v>
      </c>
      <c r="F124" s="68">
        <f>ROUND((0.35+1)*1.25,7)</f>
        <v>1.6875</v>
      </c>
      <c r="G124" s="68">
        <f>ROUND(E124*F124*G112, 7)</f>
        <v>1.77188E-2</v>
      </c>
      <c r="H124" s="70"/>
      <c r="I124" s="69"/>
      <c r="J124" s="70">
        <f>ROUND(SmtRes!AG58/SmtRes!DO58, 2)</f>
        <v>982.04</v>
      </c>
      <c r="K124" s="69"/>
      <c r="L124" s="70">
        <f>SmtRes!DH58</f>
        <v>17.399999999999999</v>
      </c>
      <c r="CE124">
        <v>1</v>
      </c>
    </row>
    <row r="125" spans="1:101" ht="28.5" x14ac:dyDescent="0.2">
      <c r="A125" s="66"/>
      <c r="B125" s="66" t="s">
        <v>308</v>
      </c>
      <c r="C125" s="66" t="s">
        <v>310</v>
      </c>
      <c r="D125" s="67" t="s">
        <v>292</v>
      </c>
      <c r="E125" s="68">
        <v>0.87</v>
      </c>
      <c r="F125" s="68">
        <f>ROUND((0.35+1)*1.25,7)</f>
        <v>1.6875</v>
      </c>
      <c r="G125" s="68">
        <f>SmtRes!CX59</f>
        <v>0.22021879999999999</v>
      </c>
      <c r="H125" s="70"/>
      <c r="I125" s="69"/>
      <c r="J125" s="70">
        <f>SmtRes!CZ59</f>
        <v>544.91999999999996</v>
      </c>
      <c r="K125" s="69"/>
      <c r="L125" s="70">
        <f>SmtRes!DG59</f>
        <v>120</v>
      </c>
    </row>
    <row r="126" spans="1:101" ht="28.5" x14ac:dyDescent="0.2">
      <c r="A126" s="66"/>
      <c r="B126" s="66" t="s">
        <v>311</v>
      </c>
      <c r="C126" s="66" t="s">
        <v>488</v>
      </c>
      <c r="D126" s="67" t="s">
        <v>288</v>
      </c>
      <c r="E126" s="68">
        <f>SmtRes!DO59*SmtRes!AT59</f>
        <v>0.87</v>
      </c>
      <c r="F126" s="68">
        <f>ROUND((0.35+1)*1.25,7)</f>
        <v>1.6875</v>
      </c>
      <c r="G126" s="68">
        <f>ROUND(E126*F126*G112, 7)</f>
        <v>0.22021879999999999</v>
      </c>
      <c r="H126" s="70"/>
      <c r="I126" s="69"/>
      <c r="J126" s="70">
        <f>ROUND(SmtRes!AG59/SmtRes!DO59, 2)</f>
        <v>731.08</v>
      </c>
      <c r="K126" s="69"/>
      <c r="L126" s="70">
        <f>SmtRes!DH59</f>
        <v>161</v>
      </c>
      <c r="CE126">
        <v>1</v>
      </c>
    </row>
    <row r="127" spans="1:101" ht="14.25" x14ac:dyDescent="0.2">
      <c r="A127" s="66"/>
      <c r="B127" s="66" t="s">
        <v>289</v>
      </c>
      <c r="C127" s="66" t="s">
        <v>291</v>
      </c>
      <c r="D127" s="67" t="s">
        <v>292</v>
      </c>
      <c r="E127" s="68">
        <v>18.440000000000001</v>
      </c>
      <c r="F127" s="68">
        <f>ROUND((0.35+1)*1.25,7)</f>
        <v>1.6875</v>
      </c>
      <c r="G127" s="68">
        <f>SmtRes!CX60</f>
        <v>4.6676250000000001</v>
      </c>
      <c r="H127" s="70">
        <f>SmtRes!CZ60</f>
        <v>4.3499999999999996</v>
      </c>
      <c r="I127" s="69">
        <f>SmtRes!AJ60</f>
        <v>1.23</v>
      </c>
      <c r="J127" s="70">
        <f>ROUND(H127*I127, 2)</f>
        <v>5.35</v>
      </c>
      <c r="K127" s="69"/>
      <c r="L127" s="70">
        <f>SmtRes!DG60</f>
        <v>24.97</v>
      </c>
    </row>
    <row r="128" spans="1:101" ht="15" x14ac:dyDescent="0.2">
      <c r="A128" s="65"/>
      <c r="B128" s="68">
        <v>4</v>
      </c>
      <c r="C128" s="65" t="s">
        <v>476</v>
      </c>
      <c r="D128" s="67"/>
      <c r="E128" s="75"/>
      <c r="F128" s="68"/>
      <c r="G128" s="68"/>
      <c r="H128" s="68"/>
      <c r="I128" s="68"/>
      <c r="J128" s="68"/>
      <c r="K128" s="68"/>
      <c r="L128" s="76">
        <f>SUM(L129:L134)-SUMIF(CE129:CE134, 1, L129:L134)</f>
        <v>64.069999999999993</v>
      </c>
    </row>
    <row r="129" spans="1:82" ht="14.25" x14ac:dyDescent="0.2">
      <c r="A129" s="66"/>
      <c r="B129" s="66" t="s">
        <v>293</v>
      </c>
      <c r="C129" s="66" t="s">
        <v>295</v>
      </c>
      <c r="D129" s="67" t="s">
        <v>296</v>
      </c>
      <c r="E129" s="68">
        <v>0.32</v>
      </c>
      <c r="F129" s="68"/>
      <c r="G129" s="68">
        <f>SmtRes!CX61</f>
        <v>4.8000000000000001E-2</v>
      </c>
      <c r="H129" s="70">
        <f>SmtRes!CZ61</f>
        <v>340.41</v>
      </c>
      <c r="I129" s="69">
        <f>SmtRes!AI61</f>
        <v>1.6</v>
      </c>
      <c r="J129" s="70">
        <f>ROUND(H129*I129, 2)</f>
        <v>544.66</v>
      </c>
      <c r="K129" s="69"/>
      <c r="L129" s="70">
        <f>SmtRes!DF61</f>
        <v>26.14</v>
      </c>
    </row>
    <row r="130" spans="1:82" ht="14.25" x14ac:dyDescent="0.2">
      <c r="A130" s="66"/>
      <c r="B130" s="66" t="s">
        <v>297</v>
      </c>
      <c r="C130" s="66" t="s">
        <v>299</v>
      </c>
      <c r="D130" s="67" t="s">
        <v>296</v>
      </c>
      <c r="E130" s="68">
        <v>0.35</v>
      </c>
      <c r="F130" s="68"/>
      <c r="G130" s="68">
        <f>SmtRes!CX62</f>
        <v>5.2499999999999998E-2</v>
      </c>
      <c r="H130" s="70">
        <f>SmtRes!CZ62</f>
        <v>114.64</v>
      </c>
      <c r="I130" s="69">
        <f>SmtRes!AI62</f>
        <v>0.86</v>
      </c>
      <c r="J130" s="70">
        <f>ROUND(H130*I130, 2)</f>
        <v>98.59</v>
      </c>
      <c r="K130" s="69"/>
      <c r="L130" s="70">
        <f>SmtRes!DF62</f>
        <v>5.18</v>
      </c>
    </row>
    <row r="131" spans="1:82" ht="14.25" x14ac:dyDescent="0.2">
      <c r="A131" s="66"/>
      <c r="B131" s="66" t="s">
        <v>339</v>
      </c>
      <c r="C131" s="66" t="s">
        <v>341</v>
      </c>
      <c r="D131" s="67" t="s">
        <v>296</v>
      </c>
      <c r="E131" s="68">
        <v>2.75</v>
      </c>
      <c r="F131" s="68"/>
      <c r="G131" s="68">
        <f>SmtRes!CX63</f>
        <v>0.41249999999999998</v>
      </c>
      <c r="H131" s="70">
        <f>SmtRes!CZ63</f>
        <v>35.71</v>
      </c>
      <c r="I131" s="69">
        <f>SmtRes!AI63</f>
        <v>1.53</v>
      </c>
      <c r="J131" s="70">
        <f>ROUND(H131*I131, 2)</f>
        <v>54.64</v>
      </c>
      <c r="K131" s="69"/>
      <c r="L131" s="70">
        <f>SmtRes!DF63</f>
        <v>22.54</v>
      </c>
    </row>
    <row r="132" spans="1:82" ht="28.5" x14ac:dyDescent="0.2">
      <c r="A132" s="66"/>
      <c r="B132" s="66" t="s">
        <v>351</v>
      </c>
      <c r="C132" s="66" t="s">
        <v>353</v>
      </c>
      <c r="D132" s="67" t="s">
        <v>59</v>
      </c>
      <c r="E132" s="68">
        <v>2.0000000000000001E-4</v>
      </c>
      <c r="F132" s="68"/>
      <c r="G132" s="68">
        <f>SmtRes!CX64</f>
        <v>3.0000000000000001E-5</v>
      </c>
      <c r="H132" s="70">
        <f>SmtRes!CZ64</f>
        <v>97282.880000000005</v>
      </c>
      <c r="I132" s="69">
        <f>SmtRes!AI64</f>
        <v>1.1299999999999999</v>
      </c>
      <c r="J132" s="70">
        <f>ROUND(H132*I132, 2)</f>
        <v>109929.65</v>
      </c>
      <c r="K132" s="69"/>
      <c r="L132" s="70">
        <f>SmtRes!DF64</f>
        <v>3.3</v>
      </c>
    </row>
    <row r="133" spans="1:82" ht="28.5" x14ac:dyDescent="0.2">
      <c r="A133" s="66"/>
      <c r="B133" s="66" t="s">
        <v>354</v>
      </c>
      <c r="C133" s="66" t="s">
        <v>356</v>
      </c>
      <c r="D133" s="67" t="s">
        <v>93</v>
      </c>
      <c r="E133" s="68">
        <v>9.9000000000000008E-3</v>
      </c>
      <c r="F133" s="68"/>
      <c r="G133" s="68">
        <f>SmtRes!CX65</f>
        <v>1.485E-3</v>
      </c>
      <c r="H133" s="70">
        <f>SmtRes!CZ65</f>
        <v>59.41</v>
      </c>
      <c r="I133" s="69">
        <f>SmtRes!AI65</f>
        <v>1.48</v>
      </c>
      <c r="J133" s="70">
        <f>ROUND(H133*I133, 2)</f>
        <v>87.93</v>
      </c>
      <c r="K133" s="69"/>
      <c r="L133" s="70">
        <f>SmtRes!DF65</f>
        <v>0.13</v>
      </c>
    </row>
    <row r="134" spans="1:82" ht="28.5" x14ac:dyDescent="0.2">
      <c r="A134" s="66"/>
      <c r="B134" s="66" t="s">
        <v>365</v>
      </c>
      <c r="C134" s="66" t="s">
        <v>367</v>
      </c>
      <c r="D134" s="67" t="s">
        <v>296</v>
      </c>
      <c r="E134" s="68">
        <v>8.0000000000000002E-3</v>
      </c>
      <c r="F134" s="68"/>
      <c r="G134" s="68">
        <f>SmtRes!CX66</f>
        <v>1.1999999999999999E-3</v>
      </c>
      <c r="H134" s="70">
        <f>SmtRes!CZ66</f>
        <v>4033.62</v>
      </c>
      <c r="I134" s="69">
        <f>SmtRes!AI66</f>
        <v>1.4</v>
      </c>
      <c r="J134" s="70">
        <f>ROUND(H134*I134, 2)</f>
        <v>5647.07</v>
      </c>
      <c r="K134" s="69"/>
      <c r="L134" s="70">
        <f>SmtRes!DF66</f>
        <v>6.78</v>
      </c>
    </row>
    <row r="135" spans="1:82" ht="14.25" x14ac:dyDescent="0.2">
      <c r="A135" s="66"/>
      <c r="B135" s="66" t="str">
        <f>EtalonRes!I67</f>
        <v>23.1.02.07</v>
      </c>
      <c r="C135" s="66" t="str">
        <f>EtalonRes!K67</f>
        <v>Крепления</v>
      </c>
      <c r="D135" s="67" t="str">
        <f>EtalonRes!O67</f>
        <v>кг</v>
      </c>
      <c r="E135" s="68">
        <f>EtalonRes!X67</f>
        <v>0</v>
      </c>
      <c r="F135" s="68"/>
      <c r="G135" s="68">
        <f>ROUND(EtalonRes!AG67*Source!I44, 7)</f>
        <v>0</v>
      </c>
      <c r="H135" s="70"/>
      <c r="I135" s="69"/>
      <c r="J135" s="70"/>
      <c r="K135" s="69"/>
      <c r="L135" s="70"/>
    </row>
    <row r="136" spans="1:82" ht="14.25" x14ac:dyDescent="0.2">
      <c r="A136" s="66"/>
      <c r="B136" s="66" t="str">
        <f>EtalonRes!I68</f>
        <v>23.7.01.02</v>
      </c>
      <c r="C136" s="77" t="str">
        <f>EtalonRes!K68</f>
        <v>Трубопроводы с гильзами</v>
      </c>
      <c r="D136" s="78" t="str">
        <f>EtalonRes!O68</f>
        <v>м</v>
      </c>
      <c r="E136" s="79">
        <f>EtalonRes!X68</f>
        <v>100</v>
      </c>
      <c r="F136" s="79"/>
      <c r="G136" s="79">
        <f>ROUND(EtalonRes!AG68*Source!I44, 7)</f>
        <v>15</v>
      </c>
      <c r="H136" s="80"/>
      <c r="I136" s="81"/>
      <c r="J136" s="80"/>
      <c r="K136" s="81"/>
      <c r="L136" s="80"/>
    </row>
    <row r="137" spans="1:82" ht="15" x14ac:dyDescent="0.2">
      <c r="A137" s="66"/>
      <c r="B137" s="66"/>
      <c r="C137" s="84" t="s">
        <v>477</v>
      </c>
      <c r="D137" s="67"/>
      <c r="E137" s="68"/>
      <c r="F137" s="68"/>
      <c r="G137" s="68"/>
      <c r="H137" s="70"/>
      <c r="I137" s="69"/>
      <c r="J137" s="70"/>
      <c r="K137" s="69"/>
      <c r="L137" s="70">
        <f>L117+L119+L120+L128</f>
        <v>10032.199999999999</v>
      </c>
    </row>
    <row r="138" spans="1:82" ht="57" x14ac:dyDescent="0.2">
      <c r="A138" s="64" t="s">
        <v>498</v>
      </c>
      <c r="B138" s="66" t="str">
        <f>Source!F45</f>
        <v>23.3.06.02-0025</v>
      </c>
      <c r="C138" s="66" t="str">
        <f>Source!G45</f>
        <v>Трубы стальные сварные оцинкованные водогазопроводные без резьбы, обыкновенные, номинальный диаметр 50 мм, толщина стенки 3,5 мм</v>
      </c>
      <c r="D138" s="67" t="str">
        <f>Source!H45</f>
        <v>м</v>
      </c>
      <c r="E138" s="68">
        <f>SmtRes!AT69</f>
        <v>100</v>
      </c>
      <c r="F138" s="68"/>
      <c r="G138" s="68">
        <f>Source!I45</f>
        <v>15</v>
      </c>
      <c r="H138" s="70">
        <f>Source!AL45+Source!AO45+Source!AM45+Source!AN45</f>
        <v>470.19</v>
      </c>
      <c r="I138" s="69">
        <f>IF(Source!BC45&lt;&gt; 0, Source!BC45, 1)</f>
        <v>0.74</v>
      </c>
      <c r="J138" s="70">
        <f>ROUND(H138*I138, 2)</f>
        <v>347.94</v>
      </c>
      <c r="K138" s="69"/>
      <c r="L138" s="70">
        <f>Source!P45</f>
        <v>5219.1000000000004</v>
      </c>
      <c r="AD138">
        <f>ROUND((Source!AT45/100)*((ROUND(ROUND(Source!AO45,2)*Source!I45, 2)+ROUND(ROUND(Source!AN45,2)*Source!I45, 2))), 2)</f>
        <v>0</v>
      </c>
      <c r="AE138">
        <f>ROUND((Source!AU45/100)*((ROUND(ROUND(Source!AO45,2)*Source!I45, 2)+ROUND(ROUND(Source!AN45,2)*Source!I45, 2))), 2)</f>
        <v>0</v>
      </c>
      <c r="AN138">
        <f>L138</f>
        <v>5219.1000000000004</v>
      </c>
      <c r="AW138">
        <f>L138</f>
        <v>5219.1000000000004</v>
      </c>
      <c r="AZ138">
        <f>Source!X45</f>
        <v>0</v>
      </c>
      <c r="BA138">
        <f>Source!Y45</f>
        <v>0</v>
      </c>
      <c r="CD138">
        <v>1</v>
      </c>
    </row>
    <row r="139" spans="1:82" ht="71.25" x14ac:dyDescent="0.2">
      <c r="A139" s="64" t="s">
        <v>499</v>
      </c>
      <c r="B139" s="66" t="str">
        <f>Source!F46</f>
        <v>23.8.04.06-0063</v>
      </c>
      <c r="C139" s="66" t="str">
        <f>Source!G46</f>
        <v>Отвод 90° с радиусом кривизны R=1,5 Ду на давление до 16 МПа, номинальный диаметр 50 мм, наружный диаметр 57 мм, толщина стенки 3 мм</v>
      </c>
      <c r="D139" s="67" t="str">
        <f>Source!H46</f>
        <v>ШТ</v>
      </c>
      <c r="E139" s="68">
        <f>SmtRes!AT71</f>
        <v>66.666666699999993</v>
      </c>
      <c r="F139" s="68"/>
      <c r="G139" s="68">
        <f>Source!I46</f>
        <v>10</v>
      </c>
      <c r="H139" s="70">
        <f>Source!AL46+Source!AO46+Source!AM46+Source!AN46</f>
        <v>75.239999999999995</v>
      </c>
      <c r="I139" s="69">
        <f>IF(Source!BC46&lt;&gt; 0, Source!BC46, 1)</f>
        <v>1.1299999999999999</v>
      </c>
      <c r="J139" s="70">
        <f>ROUND(H139*I139, 2)</f>
        <v>85.02</v>
      </c>
      <c r="K139" s="69"/>
      <c r="L139" s="70">
        <f>Source!P46</f>
        <v>850.2</v>
      </c>
      <c r="AD139">
        <f>ROUND((Source!AT46/100)*((ROUND(ROUND(Source!AO46,2)*Source!I46, 2)+ROUND(ROUND(Source!AN46,2)*Source!I46, 2))), 2)</f>
        <v>0</v>
      </c>
      <c r="AE139">
        <f>ROUND((Source!AU46/100)*((ROUND(ROUND(Source!AO46,2)*Source!I46, 2)+ROUND(ROUND(Source!AN46,2)*Source!I46, 2))), 2)</f>
        <v>0</v>
      </c>
      <c r="AN139">
        <f>L139</f>
        <v>850.2</v>
      </c>
      <c r="AW139">
        <f>L139</f>
        <v>850.2</v>
      </c>
      <c r="AZ139">
        <f>Source!X46</f>
        <v>0</v>
      </c>
      <c r="BA139">
        <f>Source!Y46</f>
        <v>0</v>
      </c>
      <c r="CD139">
        <v>1</v>
      </c>
    </row>
    <row r="140" spans="1:82" ht="42.75" x14ac:dyDescent="0.2">
      <c r="A140" s="64" t="s">
        <v>500</v>
      </c>
      <c r="B140" s="66" t="str">
        <f>Source!F47</f>
        <v>07.2.06.06-1100</v>
      </c>
      <c r="C140" s="66" t="str">
        <f>Source!G47</f>
        <v>Кронштейны стальные оцинкованные угловые, размеры 50х50х40 мм, толщина 2 мм</v>
      </c>
      <c r="D140" s="67" t="str">
        <f>Source!H47</f>
        <v>100 ШТ</v>
      </c>
      <c r="E140" s="68">
        <f>SmtRes!AT67</f>
        <v>0.3333333</v>
      </c>
      <c r="F140" s="68"/>
      <c r="G140" s="68">
        <f>Source!I47</f>
        <v>0.05</v>
      </c>
      <c r="H140" s="70">
        <f>Source!AL47+Source!AO47+Source!AM47+Source!AN47</f>
        <v>658.66</v>
      </c>
      <c r="I140" s="69">
        <f>IF(Source!BC47&lt;&gt; 0, Source!BC47, 1)</f>
        <v>1.5</v>
      </c>
      <c r="J140" s="70">
        <f>ROUND(H140*I140, 2)</f>
        <v>987.99</v>
      </c>
      <c r="K140" s="69"/>
      <c r="L140" s="70">
        <f>Source!P47</f>
        <v>49.4</v>
      </c>
      <c r="AD140">
        <f>ROUND((Source!AT47/100)*((ROUND(ROUND(Source!AO47,2)*Source!I47, 2)+ROUND(ROUND(Source!AN47,2)*Source!I47, 2))), 2)</f>
        <v>0</v>
      </c>
      <c r="AE140">
        <f>ROUND((Source!AU47/100)*((ROUND(ROUND(Source!AO47,2)*Source!I47, 2)+ROUND(ROUND(Source!AN47,2)*Source!I47, 2))), 2)</f>
        <v>0</v>
      </c>
      <c r="AN140">
        <f>L140</f>
        <v>49.4</v>
      </c>
      <c r="AW140">
        <f>L140</f>
        <v>49.4</v>
      </c>
      <c r="AZ140">
        <f>Source!X47</f>
        <v>0</v>
      </c>
      <c r="BA140">
        <f>Source!Y47</f>
        <v>0</v>
      </c>
      <c r="CD140">
        <v>1</v>
      </c>
    </row>
    <row r="141" spans="1:82" ht="14.25" x14ac:dyDescent="0.2">
      <c r="A141" s="66"/>
      <c r="B141" s="66"/>
      <c r="C141" s="66" t="s">
        <v>478</v>
      </c>
      <c r="D141" s="67"/>
      <c r="E141" s="68"/>
      <c r="F141" s="68"/>
      <c r="G141" s="68"/>
      <c r="H141" s="70"/>
      <c r="I141" s="69"/>
      <c r="J141" s="70"/>
      <c r="K141" s="69"/>
      <c r="L141" s="70">
        <f>SUM(AR112:AR144)+SUM(AS112:AS144)+SUM(AT112:AT144)+SUM(AU112:AU144)+SUM(AV112:AV144)</f>
        <v>9763.57</v>
      </c>
    </row>
    <row r="142" spans="1:82" ht="71.25" x14ac:dyDescent="0.2">
      <c r="A142" s="66"/>
      <c r="B142" s="66" t="s">
        <v>489</v>
      </c>
      <c r="C142" s="66" t="s">
        <v>490</v>
      </c>
      <c r="D142" s="67" t="s">
        <v>480</v>
      </c>
      <c r="E142" s="68">
        <f>Source!BZ44</f>
        <v>121</v>
      </c>
      <c r="F142" s="68">
        <f>ROUND(0.9,7)</f>
        <v>0.9</v>
      </c>
      <c r="G142" s="68">
        <f>Source!AT44</f>
        <v>108.9</v>
      </c>
      <c r="H142" s="70"/>
      <c r="I142" s="69"/>
      <c r="J142" s="70"/>
      <c r="K142" s="69"/>
      <c r="L142" s="70">
        <f>SUM(AZ112:AZ144)</f>
        <v>10632.53</v>
      </c>
    </row>
    <row r="143" spans="1:82" ht="71.25" x14ac:dyDescent="0.2">
      <c r="A143" s="77"/>
      <c r="B143" s="77" t="s">
        <v>491</v>
      </c>
      <c r="C143" s="77" t="s">
        <v>492</v>
      </c>
      <c r="D143" s="78" t="s">
        <v>480</v>
      </c>
      <c r="E143" s="79">
        <f>Source!CA44</f>
        <v>72</v>
      </c>
      <c r="F143" s="79">
        <f>ROUND(0.85,7)</f>
        <v>0.85</v>
      </c>
      <c r="G143" s="79">
        <f>Source!AU44</f>
        <v>61.2</v>
      </c>
      <c r="H143" s="80"/>
      <c r="I143" s="81"/>
      <c r="J143" s="80"/>
      <c r="K143" s="81"/>
      <c r="L143" s="80">
        <f>SUM(BA112:BA144)</f>
        <v>5975.3</v>
      </c>
    </row>
    <row r="144" spans="1:82" ht="15" x14ac:dyDescent="0.2">
      <c r="C144" s="86" t="s">
        <v>482</v>
      </c>
      <c r="D144" s="86"/>
      <c r="E144" s="86"/>
      <c r="F144" s="86"/>
      <c r="G144" s="86"/>
      <c r="H144" s="86"/>
      <c r="I144" s="87">
        <f>IF(E112&lt;&gt;0,K144/E112, 0)</f>
        <v>218391.53333333333</v>
      </c>
      <c r="J144" s="87"/>
      <c r="K144" s="87">
        <f>L117+L119+L128+L142+L143+L120+SUM(L138:L140)</f>
        <v>32758.73</v>
      </c>
      <c r="L144" s="87"/>
      <c r="AD144">
        <f>ROUND((Source!AT44/100)*((ROUND(SUMIF(SmtRes!AQ55:'SmtRes'!AQ71,"=1",SmtRes!AD55:'SmtRes'!AD71)*Source!I44, 2)+ROUND(SUMIF(SmtRes!AQ55:'SmtRes'!AQ71,"=1",SmtRes!AC55:'SmtRes'!AC71)*Source!I44, 2))), 2)</f>
        <v>561.46</v>
      </c>
      <c r="AE144">
        <f>ROUND((Source!AU44/100)*((ROUND(SUMIF(SmtRes!AQ55:'SmtRes'!AQ71,"=1",SmtRes!AD55:'SmtRes'!AD71)*Source!I44, 2)+ROUND(SUMIF(SmtRes!AQ55:'SmtRes'!AQ71,"=1",SmtRes!AC55:'SmtRes'!AC71)*Source!I44, 2))), 2)</f>
        <v>315.52999999999997</v>
      </c>
      <c r="AN144" s="82">
        <f>L117+L119+L128+L142+L143+L120</f>
        <v>26640.03</v>
      </c>
      <c r="AO144" s="82">
        <f>L119</f>
        <v>204.55999999999995</v>
      </c>
      <c r="AQ144" t="s">
        <v>483</v>
      </c>
      <c r="AR144" s="82">
        <f>L117</f>
        <v>9555.34</v>
      </c>
      <c r="AT144" s="82">
        <f>L120</f>
        <v>208.23</v>
      </c>
      <c r="AV144" t="s">
        <v>483</v>
      </c>
      <c r="AW144" s="82">
        <f>L128</f>
        <v>64.069999999999993</v>
      </c>
      <c r="AZ144">
        <f>Source!X44</f>
        <v>10632.53</v>
      </c>
      <c r="BA144">
        <f>Source!Y44</f>
        <v>5975.3</v>
      </c>
      <c r="CD144">
        <v>1</v>
      </c>
    </row>
    <row r="145" spans="1:101" ht="57" x14ac:dyDescent="0.2">
      <c r="A145" s="64" t="s">
        <v>128</v>
      </c>
      <c r="B145" s="66" t="s">
        <v>501</v>
      </c>
      <c r="C145" s="66" t="str">
        <f>Source!G55</f>
        <v>Установка вентилей, задвижек, затворов, клапанов обратных, кранов проходных на трубопроводах из стальных труб диаметром: до 50 мм</v>
      </c>
      <c r="D145" s="67" t="str">
        <f>Source!H55</f>
        <v>ШТ</v>
      </c>
      <c r="E145" s="68">
        <f>Source!K55</f>
        <v>2</v>
      </c>
      <c r="F145" s="68"/>
      <c r="G145" s="68">
        <f>Source!I55</f>
        <v>2</v>
      </c>
      <c r="H145" s="70"/>
      <c r="I145" s="69"/>
      <c r="J145" s="70"/>
      <c r="K145" s="69"/>
      <c r="L145" s="70"/>
    </row>
    <row r="146" spans="1:101" ht="76.5" x14ac:dyDescent="0.2">
      <c r="B146" s="71" t="s">
        <v>418</v>
      </c>
      <c r="C146" s="72" t="s">
        <v>472</v>
      </c>
      <c r="D146" s="72"/>
      <c r="E146" s="72"/>
      <c r="F146" s="72"/>
      <c r="G146" s="72"/>
      <c r="H146" s="72"/>
      <c r="I146" s="72"/>
      <c r="J146" s="72"/>
      <c r="K146" s="72"/>
      <c r="L146" s="72"/>
      <c r="CW146" s="73" t="s">
        <v>472</v>
      </c>
    </row>
    <row r="147" spans="1:101" ht="76.5" x14ac:dyDescent="0.2">
      <c r="B147" s="71" t="s">
        <v>421</v>
      </c>
      <c r="C147" s="72" t="s">
        <v>485</v>
      </c>
      <c r="D147" s="72"/>
      <c r="E147" s="72"/>
      <c r="F147" s="72"/>
      <c r="G147" s="72"/>
      <c r="H147" s="72"/>
      <c r="I147" s="72"/>
      <c r="J147" s="72"/>
      <c r="K147" s="72"/>
      <c r="L147" s="72"/>
      <c r="CW147" s="73" t="s">
        <v>485</v>
      </c>
    </row>
    <row r="148" spans="1:101" ht="76.5" x14ac:dyDescent="0.2">
      <c r="C148" s="88" t="s">
        <v>486</v>
      </c>
      <c r="D148" s="88"/>
      <c r="E148" s="88"/>
      <c r="F148" s="88"/>
      <c r="CW148" s="89" t="s">
        <v>486</v>
      </c>
    </row>
    <row r="149" spans="1:101" ht="15" x14ac:dyDescent="0.2">
      <c r="A149" s="65"/>
      <c r="B149" s="68">
        <v>1</v>
      </c>
      <c r="C149" s="65" t="s">
        <v>473</v>
      </c>
      <c r="D149" s="67" t="s">
        <v>288</v>
      </c>
      <c r="E149" s="75"/>
      <c r="F149" s="68"/>
      <c r="G149" s="68">
        <f>Source!U55</f>
        <v>4.5643500000000001</v>
      </c>
      <c r="H149" s="68"/>
      <c r="I149" s="68"/>
      <c r="J149" s="68"/>
      <c r="K149" s="68"/>
      <c r="L149" s="76">
        <f>SUM(L150:L150)-SUMIF(CE150:CE150, 1, L150:L150)</f>
        <v>3150.13</v>
      </c>
    </row>
    <row r="150" spans="1:101" ht="14.25" x14ac:dyDescent="0.2">
      <c r="A150" s="66"/>
      <c r="B150" s="66" t="s">
        <v>387</v>
      </c>
      <c r="C150" s="66" t="s">
        <v>388</v>
      </c>
      <c r="D150" s="67" t="s">
        <v>288</v>
      </c>
      <c r="E150" s="68">
        <v>1.47</v>
      </c>
      <c r="F150" s="68">
        <f>ROUND((0.35+1)*1.15,7)</f>
        <v>1.5525</v>
      </c>
      <c r="G150" s="68">
        <f>SmtRes!CX97</f>
        <v>4.5643500000000001</v>
      </c>
      <c r="H150" s="70"/>
      <c r="I150" s="69"/>
      <c r="J150" s="70">
        <f>SmtRes!CZ97</f>
        <v>690.16</v>
      </c>
      <c r="K150" s="69"/>
      <c r="L150" s="70">
        <f>SmtRes!DI97</f>
        <v>3150.13</v>
      </c>
    </row>
    <row r="151" spans="1:101" ht="15" x14ac:dyDescent="0.2">
      <c r="A151" s="65"/>
      <c r="B151" s="68">
        <v>2</v>
      </c>
      <c r="C151" s="65" t="s">
        <v>474</v>
      </c>
      <c r="D151" s="67"/>
      <c r="E151" s="75"/>
      <c r="F151" s="68"/>
      <c r="G151" s="68"/>
      <c r="H151" s="68"/>
      <c r="I151" s="68"/>
      <c r="J151" s="68"/>
      <c r="K151" s="68"/>
      <c r="L151" s="76">
        <f>SUM(L152:L155)-SUMIF(CE152:CE155, 1, L152:L155)</f>
        <v>74.86</v>
      </c>
    </row>
    <row r="152" spans="1:101" ht="15" x14ac:dyDescent="0.2">
      <c r="A152" s="65"/>
      <c r="B152" s="68"/>
      <c r="C152" s="65" t="s">
        <v>475</v>
      </c>
      <c r="D152" s="67" t="s">
        <v>288</v>
      </c>
      <c r="E152" s="75"/>
      <c r="F152" s="68"/>
      <c r="G152" s="68">
        <f>Source!V55</f>
        <v>6.7500000000000004E-2</v>
      </c>
      <c r="H152" s="68"/>
      <c r="I152" s="68"/>
      <c r="J152" s="68"/>
      <c r="K152" s="68"/>
      <c r="L152" s="76">
        <f>SUMIF(CE153:CE155, 1, L153:L155)</f>
        <v>49.35</v>
      </c>
      <c r="CE152">
        <v>1</v>
      </c>
    </row>
    <row r="153" spans="1:101" ht="28.5" x14ac:dyDescent="0.2">
      <c r="A153" s="66"/>
      <c r="B153" s="66" t="s">
        <v>308</v>
      </c>
      <c r="C153" s="66" t="s">
        <v>310</v>
      </c>
      <c r="D153" s="67" t="s">
        <v>292</v>
      </c>
      <c r="E153" s="68">
        <v>0.02</v>
      </c>
      <c r="F153" s="68">
        <f>ROUND((0.35+1)*1.25,7)</f>
        <v>1.6875</v>
      </c>
      <c r="G153" s="68">
        <f>SmtRes!CX99</f>
        <v>6.7500000000000004E-2</v>
      </c>
      <c r="H153" s="70"/>
      <c r="I153" s="69"/>
      <c r="J153" s="70">
        <f>SmtRes!CZ99</f>
        <v>544.91999999999996</v>
      </c>
      <c r="K153" s="69"/>
      <c r="L153" s="70">
        <f>SmtRes!DG99</f>
        <v>36.78</v>
      </c>
    </row>
    <row r="154" spans="1:101" ht="28.5" x14ac:dyDescent="0.2">
      <c r="A154" s="66"/>
      <c r="B154" s="66" t="s">
        <v>311</v>
      </c>
      <c r="C154" s="66" t="s">
        <v>488</v>
      </c>
      <c r="D154" s="67" t="s">
        <v>288</v>
      </c>
      <c r="E154" s="68">
        <f>SmtRes!DO99*SmtRes!AT99</f>
        <v>0.02</v>
      </c>
      <c r="F154" s="68">
        <f>ROUND((0.35+1)*1.25,7)</f>
        <v>1.6875</v>
      </c>
      <c r="G154" s="68">
        <f>ROUND(E154*F154*G145, 7)</f>
        <v>6.7500000000000004E-2</v>
      </c>
      <c r="H154" s="70"/>
      <c r="I154" s="69"/>
      <c r="J154" s="70">
        <f>ROUND(SmtRes!AG99/SmtRes!DO99, 2)</f>
        <v>731.08</v>
      </c>
      <c r="K154" s="69"/>
      <c r="L154" s="70">
        <f>SmtRes!DH99</f>
        <v>49.35</v>
      </c>
      <c r="CE154">
        <v>1</v>
      </c>
    </row>
    <row r="155" spans="1:101" ht="42.75" x14ac:dyDescent="0.2">
      <c r="A155" s="66"/>
      <c r="B155" s="66" t="s">
        <v>312</v>
      </c>
      <c r="C155" s="66" t="s">
        <v>314</v>
      </c>
      <c r="D155" s="67" t="s">
        <v>292</v>
      </c>
      <c r="E155" s="68">
        <v>0.35</v>
      </c>
      <c r="F155" s="68">
        <f>ROUND((0.35+1)*1.25,7)</f>
        <v>1.6875</v>
      </c>
      <c r="G155" s="68">
        <f>SmtRes!CX100</f>
        <v>1.1812499999999999</v>
      </c>
      <c r="H155" s="70"/>
      <c r="I155" s="69"/>
      <c r="J155" s="70">
        <f>SmtRes!CZ100</f>
        <v>32.24</v>
      </c>
      <c r="K155" s="69"/>
      <c r="L155" s="70">
        <f>SmtRes!DG100</f>
        <v>38.08</v>
      </c>
    </row>
    <row r="156" spans="1:101" ht="15" x14ac:dyDescent="0.2">
      <c r="A156" s="65"/>
      <c r="B156" s="68">
        <v>4</v>
      </c>
      <c r="C156" s="65" t="s">
        <v>476</v>
      </c>
      <c r="D156" s="67"/>
      <c r="E156" s="75"/>
      <c r="F156" s="68"/>
      <c r="G156" s="68"/>
      <c r="H156" s="68"/>
      <c r="I156" s="68"/>
      <c r="J156" s="68"/>
      <c r="K156" s="68"/>
      <c r="L156" s="76">
        <f>SUM(L157:L159)-SUMIF(CE157:CE159, 1, L157:L159)</f>
        <v>413.13</v>
      </c>
    </row>
    <row r="157" spans="1:101" ht="28.5" x14ac:dyDescent="0.2">
      <c r="A157" s="66"/>
      <c r="B157" s="66" t="s">
        <v>315</v>
      </c>
      <c r="C157" s="66" t="s">
        <v>317</v>
      </c>
      <c r="D157" s="67" t="s">
        <v>318</v>
      </c>
      <c r="E157" s="68">
        <v>2E-3</v>
      </c>
      <c r="F157" s="68"/>
      <c r="G157" s="68">
        <f>SmtRes!CX101</f>
        <v>4.0000000000000001E-3</v>
      </c>
      <c r="H157" s="70">
        <f>SmtRes!CZ101</f>
        <v>7023.63</v>
      </c>
      <c r="I157" s="69">
        <f>SmtRes!AI101</f>
        <v>1.18</v>
      </c>
      <c r="J157" s="70">
        <f>ROUND(H157*I157, 2)</f>
        <v>8287.8799999999992</v>
      </c>
      <c r="K157" s="69"/>
      <c r="L157" s="70">
        <f>SmtRes!DF101</f>
        <v>33.15</v>
      </c>
    </row>
    <row r="158" spans="1:101" ht="57" x14ac:dyDescent="0.2">
      <c r="A158" s="66"/>
      <c r="B158" s="66" t="s">
        <v>319</v>
      </c>
      <c r="C158" s="66" t="s">
        <v>321</v>
      </c>
      <c r="D158" s="67" t="s">
        <v>93</v>
      </c>
      <c r="E158" s="68">
        <v>0.14000000000000001</v>
      </c>
      <c r="F158" s="68"/>
      <c r="G158" s="68">
        <f>SmtRes!CX102</f>
        <v>0.28000000000000003</v>
      </c>
      <c r="H158" s="70">
        <f>SmtRes!CZ102</f>
        <v>155.63</v>
      </c>
      <c r="I158" s="69">
        <f>SmtRes!AI102</f>
        <v>0.77</v>
      </c>
      <c r="J158" s="70">
        <f>ROUND(H158*I158, 2)</f>
        <v>119.84</v>
      </c>
      <c r="K158" s="69"/>
      <c r="L158" s="70">
        <f>SmtRes!DF102</f>
        <v>33.56</v>
      </c>
    </row>
    <row r="159" spans="1:101" ht="71.25" x14ac:dyDescent="0.2">
      <c r="A159" s="66"/>
      <c r="B159" s="66" t="s">
        <v>322</v>
      </c>
      <c r="C159" s="66" t="s">
        <v>324</v>
      </c>
      <c r="D159" s="67" t="s">
        <v>59</v>
      </c>
      <c r="E159" s="68">
        <v>1.1000000000000001E-3</v>
      </c>
      <c r="F159" s="68"/>
      <c r="G159" s="68">
        <f>SmtRes!CX103</f>
        <v>2.2000000000000001E-3</v>
      </c>
      <c r="H159" s="70">
        <f>SmtRes!CZ103</f>
        <v>145801.49</v>
      </c>
      <c r="I159" s="69">
        <f>SmtRes!AI103</f>
        <v>1.08</v>
      </c>
      <c r="J159" s="70">
        <f>ROUND(H159*I159, 2)</f>
        <v>157465.60999999999</v>
      </c>
      <c r="K159" s="69"/>
      <c r="L159" s="70">
        <f>SmtRes!DF103</f>
        <v>346.42</v>
      </c>
    </row>
    <row r="160" spans="1:101" ht="14.25" x14ac:dyDescent="0.2">
      <c r="A160" s="66"/>
      <c r="B160" s="66" t="str">
        <f>EtalonRes!I101</f>
        <v>18.1.02.01</v>
      </c>
      <c r="C160" s="66" t="str">
        <f>EtalonRes!K101</f>
        <v>Арматура трубопроводная фланцевая</v>
      </c>
      <c r="D160" s="67" t="str">
        <f>EtalonRes!O101</f>
        <v>ШТ</v>
      </c>
      <c r="E160" s="68">
        <f>EtalonRes!X101</f>
        <v>1</v>
      </c>
      <c r="F160" s="68"/>
      <c r="G160" s="68">
        <f>ROUND(EtalonRes!AG101*Source!I55, 7)</f>
        <v>2</v>
      </c>
      <c r="H160" s="70"/>
      <c r="I160" s="69"/>
      <c r="J160" s="70"/>
      <c r="K160" s="69"/>
      <c r="L160" s="70"/>
    </row>
    <row r="161" spans="1:101" ht="14.25" x14ac:dyDescent="0.2">
      <c r="A161" s="66"/>
      <c r="B161" s="66" t="str">
        <f>EtalonRes!I102</f>
        <v>23.8.03.11</v>
      </c>
      <c r="C161" s="77" t="str">
        <f>EtalonRes!K102</f>
        <v>Фланцы стальные</v>
      </c>
      <c r="D161" s="78" t="str">
        <f>EtalonRes!O102</f>
        <v>ШТ</v>
      </c>
      <c r="E161" s="79">
        <f>EtalonRes!X102</f>
        <v>2</v>
      </c>
      <c r="F161" s="79"/>
      <c r="G161" s="79">
        <f>ROUND(EtalonRes!AG102*Source!I55, 7)</f>
        <v>4</v>
      </c>
      <c r="H161" s="80"/>
      <c r="I161" s="81"/>
      <c r="J161" s="80"/>
      <c r="K161" s="81"/>
      <c r="L161" s="80"/>
    </row>
    <row r="162" spans="1:101" ht="15" x14ac:dyDescent="0.2">
      <c r="A162" s="66"/>
      <c r="B162" s="66"/>
      <c r="C162" s="84" t="s">
        <v>477</v>
      </c>
      <c r="D162" s="67"/>
      <c r="E162" s="68"/>
      <c r="F162" s="68"/>
      <c r="G162" s="68"/>
      <c r="H162" s="70"/>
      <c r="I162" s="69"/>
      <c r="J162" s="70"/>
      <c r="K162" s="69"/>
      <c r="L162" s="70">
        <f>L149+L151+L152+L156</f>
        <v>3687.4700000000003</v>
      </c>
    </row>
    <row r="163" spans="1:101" ht="71.25" x14ac:dyDescent="0.2">
      <c r="A163" s="64" t="s">
        <v>502</v>
      </c>
      <c r="B163" s="66" t="str">
        <f>Source!F56</f>
        <v>18.1.09.07-0316</v>
      </c>
      <c r="C163" s="66" t="str">
        <f>Source!G56</f>
        <v>Кран шаровой стальной для теплоснабжения, неполнопроходной, под приварку, с рукояткой, сталь 09Г2С, номинальное давление до 4,0 МПа, номинальный диаметр 50 мм</v>
      </c>
      <c r="D163" s="67" t="str">
        <f>Source!H56</f>
        <v>ШТ</v>
      </c>
      <c r="E163" s="68">
        <f>SmtRes!AT105</f>
        <v>1</v>
      </c>
      <c r="F163" s="68"/>
      <c r="G163" s="68">
        <f>Source!I56</f>
        <v>2</v>
      </c>
      <c r="H163" s="70">
        <f>Source!AL56+Source!AO56+Source!AM56+Source!AN56</f>
        <v>2634.52</v>
      </c>
      <c r="I163" s="69">
        <f>IF(Source!BC56&lt;&gt; 0, Source!BC56, 1)</f>
        <v>1.22</v>
      </c>
      <c r="J163" s="70">
        <f>ROUND(H163*I163, 2)</f>
        <v>3214.11</v>
      </c>
      <c r="K163" s="69"/>
      <c r="L163" s="70">
        <f>Source!P56</f>
        <v>6428.22</v>
      </c>
      <c r="AD163">
        <f>ROUND((Source!AT56/100)*((ROUND(ROUND(Source!AO56,2)*Source!I56, 2)+ROUND(ROUND(Source!AN56,2)*Source!I56, 2))), 2)</f>
        <v>0</v>
      </c>
      <c r="AE163">
        <f>ROUND((Source!AU56/100)*((ROUND(ROUND(Source!AO56,2)*Source!I56, 2)+ROUND(ROUND(Source!AN56,2)*Source!I56, 2))), 2)</f>
        <v>0</v>
      </c>
      <c r="AN163">
        <f>L163</f>
        <v>6428.22</v>
      </c>
      <c r="AW163">
        <f>L163</f>
        <v>6428.22</v>
      </c>
      <c r="AZ163">
        <f>Source!X56</f>
        <v>0</v>
      </c>
      <c r="BA163">
        <f>Source!Y56</f>
        <v>0</v>
      </c>
      <c r="CD163">
        <v>1</v>
      </c>
    </row>
    <row r="164" spans="1:101" ht="14.25" x14ac:dyDescent="0.2">
      <c r="A164" s="66"/>
      <c r="B164" s="66"/>
      <c r="C164" s="66" t="s">
        <v>478</v>
      </c>
      <c r="D164" s="67"/>
      <c r="E164" s="68"/>
      <c r="F164" s="68"/>
      <c r="G164" s="68"/>
      <c r="H164" s="70"/>
      <c r="I164" s="69"/>
      <c r="J164" s="70"/>
      <c r="K164" s="69"/>
      <c r="L164" s="70">
        <f>SUM(AR145:AR167)+SUM(AS145:AS167)+SUM(AT145:AT167)+SUM(AU145:AU167)+SUM(AV145:AV167)</f>
        <v>3199.48</v>
      </c>
    </row>
    <row r="165" spans="1:101" ht="71.25" x14ac:dyDescent="0.2">
      <c r="A165" s="66"/>
      <c r="B165" s="66" t="s">
        <v>489</v>
      </c>
      <c r="C165" s="66" t="s">
        <v>490</v>
      </c>
      <c r="D165" s="67" t="s">
        <v>480</v>
      </c>
      <c r="E165" s="68">
        <f>Source!BZ55</f>
        <v>121</v>
      </c>
      <c r="F165" s="68">
        <f>ROUND(0.9,7)</f>
        <v>0.9</v>
      </c>
      <c r="G165" s="68">
        <f>Source!AT55</f>
        <v>108.9</v>
      </c>
      <c r="H165" s="70"/>
      <c r="I165" s="69"/>
      <c r="J165" s="70"/>
      <c r="K165" s="69"/>
      <c r="L165" s="70">
        <f>SUM(AZ145:AZ167)</f>
        <v>3484.23</v>
      </c>
    </row>
    <row r="166" spans="1:101" ht="71.25" x14ac:dyDescent="0.2">
      <c r="A166" s="77"/>
      <c r="B166" s="77" t="s">
        <v>491</v>
      </c>
      <c r="C166" s="77" t="s">
        <v>492</v>
      </c>
      <c r="D166" s="78" t="s">
        <v>480</v>
      </c>
      <c r="E166" s="79">
        <f>Source!CA55</f>
        <v>72</v>
      </c>
      <c r="F166" s="79">
        <f>ROUND(0.85,7)</f>
        <v>0.85</v>
      </c>
      <c r="G166" s="79">
        <f>Source!AU55</f>
        <v>61.2</v>
      </c>
      <c r="H166" s="80"/>
      <c r="I166" s="81"/>
      <c r="J166" s="80"/>
      <c r="K166" s="81"/>
      <c r="L166" s="80">
        <f>SUM(BA145:BA167)</f>
        <v>1958.08</v>
      </c>
    </row>
    <row r="167" spans="1:101" ht="15" x14ac:dyDescent="0.2">
      <c r="C167" s="86" t="s">
        <v>482</v>
      </c>
      <c r="D167" s="86"/>
      <c r="E167" s="86"/>
      <c r="F167" s="86"/>
      <c r="G167" s="86"/>
      <c r="H167" s="86"/>
      <c r="I167" s="87">
        <f>IF(E145&lt;&gt;0,K167/E145, 0)</f>
        <v>7779</v>
      </c>
      <c r="J167" s="87"/>
      <c r="K167" s="87">
        <f>L149+L151+L156+L165+L166+L152+SUM(L163:L163)</f>
        <v>15558</v>
      </c>
      <c r="L167" s="87"/>
      <c r="AD167">
        <f>ROUND((Source!AT55/100)*((ROUND(SUMIF(SmtRes!AQ97:'SmtRes'!AQ106,"=1",SmtRes!AD97:'SmtRes'!AD106)*Source!I55, 2)+ROUND(SUMIF(SmtRes!AQ97:'SmtRes'!AQ106,"=1",SmtRes!AC97:'SmtRes'!AC106)*Source!I55, 2))), 2)</f>
        <v>3095.46</v>
      </c>
      <c r="AE167">
        <f>ROUND((Source!AU55/100)*((ROUND(SUMIF(SmtRes!AQ97:'SmtRes'!AQ106,"=1",SmtRes!AD97:'SmtRes'!AD106)*Source!I55, 2)+ROUND(SUMIF(SmtRes!AQ97:'SmtRes'!AQ106,"=1",SmtRes!AC97:'SmtRes'!AC106)*Source!I55, 2))), 2)</f>
        <v>1739.6</v>
      </c>
      <c r="AN167" s="82">
        <f>L149+L151+L156+L165+L166+L152</f>
        <v>9129.7800000000007</v>
      </c>
      <c r="AO167" s="82">
        <f>L151</f>
        <v>74.86</v>
      </c>
      <c r="AQ167" t="s">
        <v>483</v>
      </c>
      <c r="AR167" s="82">
        <f>L149</f>
        <v>3150.13</v>
      </c>
      <c r="AT167" s="82">
        <f>L152</f>
        <v>49.35</v>
      </c>
      <c r="AV167" t="s">
        <v>483</v>
      </c>
      <c r="AW167" s="82">
        <f>L156</f>
        <v>413.13</v>
      </c>
      <c r="AZ167">
        <f>Source!X55</f>
        <v>3484.23</v>
      </c>
      <c r="BA167">
        <f>Source!Y55</f>
        <v>1958.08</v>
      </c>
      <c r="CD167">
        <v>1</v>
      </c>
    </row>
    <row r="168" spans="1:101" ht="57" x14ac:dyDescent="0.2">
      <c r="A168" s="64" t="s">
        <v>141</v>
      </c>
      <c r="B168" s="66" t="s">
        <v>503</v>
      </c>
      <c r="C168" s="66" t="str">
        <f>Source!G60</f>
        <v>Изоляция изделиями из вспененного каучука, вспененного полиэтилена трубопроводов наружным диметром: до 160 мм трубками</v>
      </c>
      <c r="D168" s="67" t="str">
        <f>Source!H60</f>
        <v>10 м</v>
      </c>
      <c r="E168" s="68">
        <f>Source!K60</f>
        <v>1.5</v>
      </c>
      <c r="F168" s="68"/>
      <c r="G168" s="68">
        <f>Source!I60</f>
        <v>1.5</v>
      </c>
      <c r="H168" s="70"/>
      <c r="I168" s="69"/>
      <c r="J168" s="70"/>
      <c r="K168" s="69"/>
      <c r="L168" s="70"/>
    </row>
    <row r="169" spans="1:101" ht="76.5" x14ac:dyDescent="0.2">
      <c r="B169" s="71" t="s">
        <v>418</v>
      </c>
      <c r="C169" s="72" t="s">
        <v>472</v>
      </c>
      <c r="D169" s="72"/>
      <c r="E169" s="72"/>
      <c r="F169" s="72"/>
      <c r="G169" s="72"/>
      <c r="H169" s="72"/>
      <c r="I169" s="72"/>
      <c r="J169" s="72"/>
      <c r="K169" s="72"/>
      <c r="L169" s="72"/>
      <c r="CW169" s="73" t="s">
        <v>472</v>
      </c>
    </row>
    <row r="170" spans="1:101" ht="76.5" x14ac:dyDescent="0.2">
      <c r="B170" s="71" t="s">
        <v>421</v>
      </c>
      <c r="C170" s="72" t="s">
        <v>485</v>
      </c>
      <c r="D170" s="72"/>
      <c r="E170" s="72"/>
      <c r="F170" s="72"/>
      <c r="G170" s="72"/>
      <c r="H170" s="72"/>
      <c r="I170" s="72"/>
      <c r="J170" s="72"/>
      <c r="K170" s="72"/>
      <c r="L170" s="72"/>
      <c r="CW170" s="73" t="s">
        <v>485</v>
      </c>
    </row>
    <row r="171" spans="1:101" ht="76.5" x14ac:dyDescent="0.2">
      <c r="C171" s="88" t="s">
        <v>486</v>
      </c>
      <c r="D171" s="88"/>
      <c r="E171" s="88"/>
      <c r="F171" s="88"/>
      <c r="CW171" s="89" t="s">
        <v>486</v>
      </c>
    </row>
    <row r="172" spans="1:101" x14ac:dyDescent="0.2">
      <c r="C172" s="74" t="str">
        <f>"Объем: "&amp;Source!I60&amp;"=15/"&amp;"10"</f>
        <v>Объем: 1,5=15/10</v>
      </c>
    </row>
    <row r="173" spans="1:101" ht="15" x14ac:dyDescent="0.2">
      <c r="A173" s="65"/>
      <c r="B173" s="68">
        <v>1</v>
      </c>
      <c r="C173" s="65" t="s">
        <v>473</v>
      </c>
      <c r="D173" s="67" t="s">
        <v>288</v>
      </c>
      <c r="E173" s="75"/>
      <c r="F173" s="68"/>
      <c r="G173" s="68">
        <f>Source!U60</f>
        <v>5.1232499999999996</v>
      </c>
      <c r="H173" s="68"/>
      <c r="I173" s="68"/>
      <c r="J173" s="68"/>
      <c r="K173" s="68"/>
      <c r="L173" s="76">
        <f>SUM(L174:L174)-SUMIF(CE174:CE174, 1, L174:L174)</f>
        <v>3857.29</v>
      </c>
    </row>
    <row r="174" spans="1:101" ht="14.25" x14ac:dyDescent="0.2">
      <c r="A174" s="66"/>
      <c r="B174" s="66" t="s">
        <v>389</v>
      </c>
      <c r="C174" s="66" t="s">
        <v>390</v>
      </c>
      <c r="D174" s="67" t="s">
        <v>288</v>
      </c>
      <c r="E174" s="68">
        <v>2.2000000000000002</v>
      </c>
      <c r="F174" s="68">
        <f>ROUND((0.35+1)*1.15,7)</f>
        <v>1.5525</v>
      </c>
      <c r="G174" s="68">
        <f>SmtRes!CX107</f>
        <v>5.1232499999999996</v>
      </c>
      <c r="H174" s="70"/>
      <c r="I174" s="69"/>
      <c r="J174" s="70">
        <f>SmtRes!CZ107</f>
        <v>752.9</v>
      </c>
      <c r="K174" s="69"/>
      <c r="L174" s="70">
        <f>SmtRes!DI107</f>
        <v>3857.29</v>
      </c>
    </row>
    <row r="175" spans="1:101" ht="15" x14ac:dyDescent="0.2">
      <c r="A175" s="65"/>
      <c r="B175" s="68">
        <v>2</v>
      </c>
      <c r="C175" s="65" t="s">
        <v>474</v>
      </c>
      <c r="D175" s="67"/>
      <c r="E175" s="75"/>
      <c r="F175" s="68"/>
      <c r="G175" s="68"/>
      <c r="H175" s="68"/>
      <c r="I175" s="68"/>
      <c r="J175" s="68"/>
      <c r="K175" s="68"/>
      <c r="L175" s="76">
        <f>SUM(L176:L179)-SUMIF(CE176:CE179, 1, L176:L179)</f>
        <v>375.66000000000008</v>
      </c>
    </row>
    <row r="176" spans="1:101" ht="15" x14ac:dyDescent="0.2">
      <c r="A176" s="65"/>
      <c r="B176" s="68"/>
      <c r="C176" s="65" t="s">
        <v>475</v>
      </c>
      <c r="D176" s="67" t="s">
        <v>288</v>
      </c>
      <c r="E176" s="75"/>
      <c r="F176" s="68"/>
      <c r="G176" s="68">
        <f>Source!V60</f>
        <v>0.6328125</v>
      </c>
      <c r="H176" s="68"/>
      <c r="I176" s="68"/>
      <c r="J176" s="68"/>
      <c r="K176" s="68"/>
      <c r="L176" s="76">
        <f>SUMIF(CE177:CE179, 1, L177:L179)</f>
        <v>462.64</v>
      </c>
      <c r="CE176">
        <v>1</v>
      </c>
    </row>
    <row r="177" spans="1:83" ht="28.5" x14ac:dyDescent="0.2">
      <c r="A177" s="66"/>
      <c r="B177" s="66" t="s">
        <v>308</v>
      </c>
      <c r="C177" s="66" t="s">
        <v>310</v>
      </c>
      <c r="D177" s="67" t="s">
        <v>292</v>
      </c>
      <c r="E177" s="68">
        <v>0.25</v>
      </c>
      <c r="F177" s="68">
        <f>ROUND((0.35+1)*1.25,7)</f>
        <v>1.6875</v>
      </c>
      <c r="G177" s="68">
        <f>SmtRes!CX109</f>
        <v>0.6328125</v>
      </c>
      <c r="H177" s="70"/>
      <c r="I177" s="69"/>
      <c r="J177" s="70">
        <f>SmtRes!CZ109</f>
        <v>544.91999999999996</v>
      </c>
      <c r="K177" s="69"/>
      <c r="L177" s="70">
        <f>SmtRes!DG109</f>
        <v>344.83</v>
      </c>
    </row>
    <row r="178" spans="1:83" ht="28.5" x14ac:dyDescent="0.2">
      <c r="A178" s="66"/>
      <c r="B178" s="66" t="s">
        <v>311</v>
      </c>
      <c r="C178" s="66" t="s">
        <v>488</v>
      </c>
      <c r="D178" s="67" t="s">
        <v>288</v>
      </c>
      <c r="E178" s="68">
        <f>SmtRes!DO109*SmtRes!AT109</f>
        <v>0.25</v>
      </c>
      <c r="F178" s="68">
        <f>ROUND((0.35+1)*1.25,7)</f>
        <v>1.6875</v>
      </c>
      <c r="G178" s="68">
        <f>ROUND(E178*F178*G168, 7)</f>
        <v>0.6328125</v>
      </c>
      <c r="H178" s="70"/>
      <c r="I178" s="69"/>
      <c r="J178" s="70">
        <f>ROUND(SmtRes!AG109/SmtRes!DO109, 2)</f>
        <v>731.08</v>
      </c>
      <c r="K178" s="69"/>
      <c r="L178" s="70">
        <f>SmtRes!DH109</f>
        <v>462.64</v>
      </c>
      <c r="CE178">
        <v>1</v>
      </c>
    </row>
    <row r="179" spans="1:83" ht="57" x14ac:dyDescent="0.2">
      <c r="A179" s="66"/>
      <c r="B179" s="66" t="s">
        <v>391</v>
      </c>
      <c r="C179" s="66" t="s">
        <v>393</v>
      </c>
      <c r="D179" s="67" t="s">
        <v>292</v>
      </c>
      <c r="E179" s="68">
        <v>0.39</v>
      </c>
      <c r="F179" s="68">
        <f>ROUND((0.35+1)*1.25,7)</f>
        <v>1.6875</v>
      </c>
      <c r="G179" s="68">
        <f>SmtRes!CX110</f>
        <v>0.9871875</v>
      </c>
      <c r="H179" s="70">
        <f>SmtRes!CZ110</f>
        <v>21.39</v>
      </c>
      <c r="I179" s="69">
        <f>SmtRes!AJ110</f>
        <v>1.46</v>
      </c>
      <c r="J179" s="70">
        <f>ROUND(H179*I179, 2)</f>
        <v>31.23</v>
      </c>
      <c r="K179" s="69"/>
      <c r="L179" s="70">
        <f>SmtRes!DG110</f>
        <v>30.83</v>
      </c>
    </row>
    <row r="180" spans="1:83" ht="15" x14ac:dyDescent="0.2">
      <c r="A180" s="65"/>
      <c r="B180" s="68">
        <v>4</v>
      </c>
      <c r="C180" s="65" t="s">
        <v>476</v>
      </c>
      <c r="D180" s="67"/>
      <c r="E180" s="75"/>
      <c r="F180" s="68"/>
      <c r="G180" s="68"/>
      <c r="H180" s="68"/>
      <c r="I180" s="68"/>
      <c r="J180" s="68"/>
      <c r="K180" s="68"/>
      <c r="L180" s="76">
        <f>SUM(L181:L185)-SUMIF(CE181:CE185, 1, L181:L185)</f>
        <v>1736.0900000000001</v>
      </c>
    </row>
    <row r="181" spans="1:83" ht="71.25" x14ac:dyDescent="0.2">
      <c r="A181" s="66"/>
      <c r="B181" s="66" t="s">
        <v>394</v>
      </c>
      <c r="C181" s="66" t="s">
        <v>396</v>
      </c>
      <c r="D181" s="67" t="s">
        <v>72</v>
      </c>
      <c r="E181" s="68">
        <v>15</v>
      </c>
      <c r="F181" s="68"/>
      <c r="G181" s="68">
        <f>SmtRes!CX111</f>
        <v>22.5</v>
      </c>
      <c r="H181" s="70">
        <f>SmtRes!CZ111</f>
        <v>40.94</v>
      </c>
      <c r="I181" s="69">
        <f>SmtRes!AI111</f>
        <v>1.54</v>
      </c>
      <c r="J181" s="70">
        <f>ROUND(H181*I181, 2)</f>
        <v>63.05</v>
      </c>
      <c r="K181" s="69"/>
      <c r="L181" s="70">
        <f>SmtRes!DF111</f>
        <v>1418.63</v>
      </c>
    </row>
    <row r="182" spans="1:83" ht="28.5" x14ac:dyDescent="0.2">
      <c r="A182" s="66"/>
      <c r="B182" s="66" t="s">
        <v>397</v>
      </c>
      <c r="C182" s="66" t="s">
        <v>399</v>
      </c>
      <c r="D182" s="67" t="s">
        <v>93</v>
      </c>
      <c r="E182" s="68">
        <v>3.3000000000000002E-2</v>
      </c>
      <c r="F182" s="68"/>
      <c r="G182" s="68">
        <f>SmtRes!CX112</f>
        <v>4.9500000000000002E-2</v>
      </c>
      <c r="H182" s="70">
        <f>SmtRes!CZ112</f>
        <v>329.28</v>
      </c>
      <c r="I182" s="69">
        <f>SmtRes!AI112</f>
        <v>1.1100000000000001</v>
      </c>
      <c r="J182" s="70">
        <f>ROUND(H182*I182, 2)</f>
        <v>365.5</v>
      </c>
      <c r="K182" s="69"/>
      <c r="L182" s="70">
        <f>SmtRes!DF112</f>
        <v>18.09</v>
      </c>
    </row>
    <row r="183" spans="1:83" ht="14.25" x14ac:dyDescent="0.2">
      <c r="A183" s="66"/>
      <c r="B183" s="66" t="s">
        <v>400</v>
      </c>
      <c r="C183" s="66" t="s">
        <v>402</v>
      </c>
      <c r="D183" s="67" t="s">
        <v>109</v>
      </c>
      <c r="E183" s="68">
        <v>0.3</v>
      </c>
      <c r="F183" s="68"/>
      <c r="G183" s="68">
        <f>SmtRes!CX113</f>
        <v>0.45</v>
      </c>
      <c r="H183" s="70">
        <f>SmtRes!CZ113</f>
        <v>237.35</v>
      </c>
      <c r="I183" s="69">
        <f>SmtRes!AI113</f>
        <v>1.35</v>
      </c>
      <c r="J183" s="70">
        <f>ROUND(H183*I183, 2)</f>
        <v>320.42</v>
      </c>
      <c r="K183" s="69"/>
      <c r="L183" s="70">
        <f>SmtRes!DF113</f>
        <v>144.19</v>
      </c>
    </row>
    <row r="184" spans="1:83" ht="57" x14ac:dyDescent="0.2">
      <c r="A184" s="66"/>
      <c r="B184" s="66" t="s">
        <v>403</v>
      </c>
      <c r="C184" s="66" t="s">
        <v>405</v>
      </c>
      <c r="D184" s="67" t="s">
        <v>406</v>
      </c>
      <c r="E184" s="68">
        <v>0.14299999999999999</v>
      </c>
      <c r="F184" s="68"/>
      <c r="G184" s="68">
        <f>SmtRes!CX115</f>
        <v>0.2145</v>
      </c>
      <c r="H184" s="70">
        <f>SmtRes!CZ115</f>
        <v>402.95</v>
      </c>
      <c r="I184" s="69">
        <f>SmtRes!AI115</f>
        <v>1.38</v>
      </c>
      <c r="J184" s="70">
        <f>ROUND(H184*I184, 2)</f>
        <v>556.07000000000005</v>
      </c>
      <c r="K184" s="69"/>
      <c r="L184" s="70">
        <f>SmtRes!DF115</f>
        <v>119.28</v>
      </c>
    </row>
    <row r="185" spans="1:83" ht="14.25" x14ac:dyDescent="0.2">
      <c r="A185" s="66"/>
      <c r="B185" s="66" t="s">
        <v>407</v>
      </c>
      <c r="C185" s="66" t="s">
        <v>409</v>
      </c>
      <c r="D185" s="67" t="s">
        <v>406</v>
      </c>
      <c r="E185" s="68">
        <v>0.02</v>
      </c>
      <c r="F185" s="68"/>
      <c r="G185" s="68">
        <f>SmtRes!CX116</f>
        <v>0.03</v>
      </c>
      <c r="H185" s="70">
        <f>SmtRes!CZ116</f>
        <v>830.95</v>
      </c>
      <c r="I185" s="69">
        <f>SmtRes!AI116</f>
        <v>1.44</v>
      </c>
      <c r="J185" s="70">
        <f>ROUND(H185*I185, 2)</f>
        <v>1196.57</v>
      </c>
      <c r="K185" s="69"/>
      <c r="L185" s="70">
        <f>SmtRes!DF116</f>
        <v>35.9</v>
      </c>
    </row>
    <row r="186" spans="1:83" ht="28.5" x14ac:dyDescent="0.2">
      <c r="A186" s="66"/>
      <c r="B186" s="66" t="str">
        <f>EtalonRes!I110</f>
        <v>12.2.07.04</v>
      </c>
      <c r="C186" s="77" t="str">
        <f>EtalonRes!K110</f>
        <v>Трубки из вспененного каучука, полиэтилена</v>
      </c>
      <c r="D186" s="78" t="str">
        <f>EtalonRes!O110</f>
        <v>м</v>
      </c>
      <c r="E186" s="79">
        <f>EtalonRes!X110</f>
        <v>11</v>
      </c>
      <c r="F186" s="79"/>
      <c r="G186" s="79">
        <f>ROUND(EtalonRes!AG110*Source!I60, 7)</f>
        <v>16.5</v>
      </c>
      <c r="H186" s="80"/>
      <c r="I186" s="81"/>
      <c r="J186" s="80"/>
      <c r="K186" s="81"/>
      <c r="L186" s="80"/>
    </row>
    <row r="187" spans="1:83" ht="15" x14ac:dyDescent="0.2">
      <c r="A187" s="66"/>
      <c r="B187" s="66"/>
      <c r="C187" s="84" t="s">
        <v>477</v>
      </c>
      <c r="D187" s="67"/>
      <c r="E187" s="68"/>
      <c r="F187" s="68"/>
      <c r="G187" s="68"/>
      <c r="H187" s="70"/>
      <c r="I187" s="69"/>
      <c r="J187" s="70"/>
      <c r="K187" s="69"/>
      <c r="L187" s="70">
        <f>L173+L175+L176+L180</f>
        <v>6431.68</v>
      </c>
    </row>
    <row r="188" spans="1:83" ht="85.5" x14ac:dyDescent="0.2">
      <c r="A188" s="64" t="s">
        <v>504</v>
      </c>
      <c r="B188" s="66" t="str">
        <f>Source!F61</f>
        <v>12.2.07.04-0212</v>
      </c>
      <c r="C188" s="66" t="str">
        <f>Source!G61</f>
        <v>Трубки теплоизоляционные из вспененного синтетического каучука, без покрытия, Г1, плотность 40 кг/м3, температура применения от -200 до +110 °C, внутренний диаметр 54 мм, толщина 13 мм</v>
      </c>
      <c r="D188" s="67" t="str">
        <f>Source!H61</f>
        <v>м</v>
      </c>
      <c r="E188" s="68">
        <f>SmtRes!AT114</f>
        <v>11</v>
      </c>
      <c r="F188" s="68"/>
      <c r="G188" s="68">
        <f>Source!I61</f>
        <v>16.5</v>
      </c>
      <c r="H188" s="70">
        <f>Source!AL61+Source!AO61+Source!AM61+Source!AN61</f>
        <v>139.44</v>
      </c>
      <c r="I188" s="69">
        <f>IF(Source!BC61&lt;&gt; 0, Source!BC61, 1)</f>
        <v>1.38</v>
      </c>
      <c r="J188" s="70">
        <f>ROUND(H188*I188, 2)</f>
        <v>192.43</v>
      </c>
      <c r="K188" s="69"/>
      <c r="L188" s="70">
        <f>Source!P61</f>
        <v>3175.1</v>
      </c>
      <c r="AD188">
        <f>ROUND((Source!AT61/100)*((ROUND(ROUND(Source!AO61,2)*Source!I61, 2)+ROUND(ROUND(Source!AN61,2)*Source!I61, 2))), 2)</f>
        <v>0</v>
      </c>
      <c r="AE188">
        <f>ROUND((Source!AU61/100)*((ROUND(ROUND(Source!AO61,2)*Source!I61, 2)+ROUND(ROUND(Source!AN61,2)*Source!I61, 2))), 2)</f>
        <v>0</v>
      </c>
      <c r="AN188">
        <f>L188</f>
        <v>3175.1</v>
      </c>
      <c r="AW188">
        <f>L188</f>
        <v>3175.1</v>
      </c>
      <c r="AZ188">
        <f>Source!X61</f>
        <v>0</v>
      </c>
      <c r="BA188">
        <f>Source!Y61</f>
        <v>0</v>
      </c>
      <c r="CD188">
        <v>1</v>
      </c>
    </row>
    <row r="189" spans="1:83" ht="14.25" x14ac:dyDescent="0.2">
      <c r="A189" s="66"/>
      <c r="B189" s="66"/>
      <c r="C189" s="66" t="s">
        <v>478</v>
      </c>
      <c r="D189" s="67"/>
      <c r="E189" s="68"/>
      <c r="F189" s="68"/>
      <c r="G189" s="68"/>
      <c r="H189" s="70"/>
      <c r="I189" s="69"/>
      <c r="J189" s="70"/>
      <c r="K189" s="69"/>
      <c r="L189" s="70">
        <f>SUM(AR168:AR192)+SUM(AS168:AS192)+SUM(AT168:AT192)+SUM(AU168:AU192)+SUM(AV168:AV192)</f>
        <v>4319.93</v>
      </c>
    </row>
    <row r="190" spans="1:83" ht="28.5" x14ac:dyDescent="0.2">
      <c r="A190" s="66"/>
      <c r="B190" s="66" t="s">
        <v>505</v>
      </c>
      <c r="C190" s="66" t="s">
        <v>506</v>
      </c>
      <c r="D190" s="67" t="s">
        <v>480</v>
      </c>
      <c r="E190" s="68">
        <f>Source!BZ60</f>
        <v>97</v>
      </c>
      <c r="F190" s="68">
        <f>ROUND(0.9,7)</f>
        <v>0.9</v>
      </c>
      <c r="G190" s="68">
        <f>Source!AT60</f>
        <v>87.3</v>
      </c>
      <c r="H190" s="70"/>
      <c r="I190" s="69"/>
      <c r="J190" s="70"/>
      <c r="K190" s="69"/>
      <c r="L190" s="70">
        <f>SUM(AZ168:AZ192)</f>
        <v>3771.3</v>
      </c>
    </row>
    <row r="191" spans="1:83" ht="28.5" x14ac:dyDescent="0.2">
      <c r="A191" s="77"/>
      <c r="B191" s="77" t="s">
        <v>507</v>
      </c>
      <c r="C191" s="77" t="s">
        <v>508</v>
      </c>
      <c r="D191" s="78" t="s">
        <v>480</v>
      </c>
      <c r="E191" s="79">
        <f>Source!CA60</f>
        <v>55</v>
      </c>
      <c r="F191" s="79">
        <f>ROUND(0.85,7)</f>
        <v>0.85</v>
      </c>
      <c r="G191" s="79">
        <f>Source!AU60</f>
        <v>46.75</v>
      </c>
      <c r="H191" s="80"/>
      <c r="I191" s="81"/>
      <c r="J191" s="80"/>
      <c r="K191" s="81"/>
      <c r="L191" s="80">
        <f>SUM(BA168:BA192)</f>
        <v>2019.57</v>
      </c>
    </row>
    <row r="192" spans="1:83" ht="15" x14ac:dyDescent="0.2">
      <c r="C192" s="86" t="s">
        <v>482</v>
      </c>
      <c r="D192" s="86"/>
      <c r="E192" s="86"/>
      <c r="F192" s="86"/>
      <c r="G192" s="86"/>
      <c r="H192" s="86"/>
      <c r="I192" s="87">
        <f>IF(E168&lt;&gt;0,K192/E168, 0)</f>
        <v>10265.1</v>
      </c>
      <c r="J192" s="87"/>
      <c r="K192" s="87">
        <f>L173+L175+L180+L190+L191+L176+SUM(L188:L188)</f>
        <v>15397.65</v>
      </c>
      <c r="L192" s="87"/>
      <c r="AD192">
        <f>ROUND((Source!AT60/100)*((ROUND(SUMIF(SmtRes!AQ107:'SmtRes'!AQ116,"=1",SmtRes!AD107:'SmtRes'!AD116)*Source!I60, 2)+ROUND(SUMIF(SmtRes!AQ107:'SmtRes'!AQ116,"=1",SmtRes!AC107:'SmtRes'!AC116)*Source!I60, 2))), 2)</f>
        <v>1943.27</v>
      </c>
      <c r="AE192">
        <f>ROUND((Source!AU60/100)*((ROUND(SUMIF(SmtRes!AQ107:'SmtRes'!AQ116,"=1",SmtRes!AD107:'SmtRes'!AD116)*Source!I60, 2)+ROUND(SUMIF(SmtRes!AQ107:'SmtRes'!AQ116,"=1",SmtRes!AC107:'SmtRes'!AC116)*Source!I60, 2))), 2)</f>
        <v>1040.6400000000001</v>
      </c>
      <c r="AN192" s="82">
        <f>L173+L175+L180+L190+L191+L176</f>
        <v>12222.55</v>
      </c>
      <c r="AO192" s="82">
        <f>L175</f>
        <v>375.66000000000008</v>
      </c>
      <c r="AQ192" t="s">
        <v>483</v>
      </c>
      <c r="AR192" s="82">
        <f>L173</f>
        <v>3857.29</v>
      </c>
      <c r="AT192" s="82">
        <f>L176</f>
        <v>462.64</v>
      </c>
      <c r="AV192" t="s">
        <v>483</v>
      </c>
      <c r="AW192" s="82">
        <f>L180</f>
        <v>1736.0900000000001</v>
      </c>
      <c r="AZ192">
        <f>Source!X60</f>
        <v>3771.3</v>
      </c>
      <c r="BA192">
        <f>Source!Y60</f>
        <v>2019.57</v>
      </c>
      <c r="CD192">
        <v>1</v>
      </c>
    </row>
    <row r="194" spans="1:12" ht="15" x14ac:dyDescent="0.2">
      <c r="A194" s="96"/>
      <c r="B194" s="97"/>
      <c r="C194" s="98" t="s">
        <v>509</v>
      </c>
      <c r="D194" s="98"/>
      <c r="E194" s="98"/>
      <c r="F194" s="98"/>
      <c r="G194" s="98"/>
      <c r="H194" s="98"/>
      <c r="I194" s="99"/>
      <c r="J194" s="96"/>
      <c r="K194" s="100"/>
      <c r="L194" s="99"/>
    </row>
    <row r="196" spans="1:12" ht="15" x14ac:dyDescent="0.2">
      <c r="A196" s="92"/>
      <c r="B196" s="93"/>
      <c r="C196" s="94" t="s">
        <v>510</v>
      </c>
      <c r="D196" s="94"/>
      <c r="E196" s="94"/>
      <c r="F196" s="94"/>
      <c r="G196" s="94"/>
      <c r="H196" s="94"/>
      <c r="I196" s="76"/>
      <c r="J196" s="92"/>
      <c r="K196" s="95"/>
      <c r="L196" s="76">
        <f>L198+L213+L214</f>
        <v>128520.56000000001</v>
      </c>
    </row>
    <row r="197" spans="1:12" ht="14.25" x14ac:dyDescent="0.2">
      <c r="A197" s="85"/>
      <c r="B197" s="90"/>
      <c r="C197" s="101" t="s">
        <v>511</v>
      </c>
      <c r="D197" s="91"/>
      <c r="E197" s="91"/>
      <c r="F197" s="91"/>
      <c r="G197" s="91"/>
      <c r="H197" s="91"/>
      <c r="I197" s="70"/>
      <c r="J197" s="85"/>
      <c r="K197" s="68"/>
      <c r="L197" s="70"/>
    </row>
    <row r="198" spans="1:12" ht="14.25" x14ac:dyDescent="0.2">
      <c r="A198" s="85"/>
      <c r="B198" s="90"/>
      <c r="C198" s="91" t="s">
        <v>512</v>
      </c>
      <c r="D198" s="91"/>
      <c r="E198" s="91"/>
      <c r="F198" s="91"/>
      <c r="G198" s="91"/>
      <c r="H198" s="91"/>
      <c r="I198" s="70"/>
      <c r="J198" s="85"/>
      <c r="K198" s="68"/>
      <c r="L198" s="70">
        <f>L200+L201+L207+L211</f>
        <v>62193.240000000005</v>
      </c>
    </row>
    <row r="199" spans="1:12" ht="14.25" x14ac:dyDescent="0.2">
      <c r="A199" s="85"/>
      <c r="B199" s="90"/>
      <c r="C199" s="101" t="s">
        <v>511</v>
      </c>
      <c r="D199" s="91"/>
      <c r="E199" s="91"/>
      <c r="F199" s="91"/>
      <c r="G199" s="91"/>
      <c r="H199" s="91"/>
      <c r="I199" s="70"/>
      <c r="J199" s="85"/>
      <c r="K199" s="68"/>
      <c r="L199" s="70"/>
    </row>
    <row r="200" spans="1:12" ht="14.25" x14ac:dyDescent="0.2">
      <c r="A200" s="85"/>
      <c r="B200" s="90"/>
      <c r="C200" s="91" t="s">
        <v>513</v>
      </c>
      <c r="D200" s="91"/>
      <c r="E200" s="91"/>
      <c r="F200" s="91"/>
      <c r="G200" s="91"/>
      <c r="H200" s="91"/>
      <c r="I200" s="70"/>
      <c r="J200" s="85"/>
      <c r="K200" s="68"/>
      <c r="L200" s="70">
        <f>SUMIF(CD52:CD192, 1, AR52:AR192)</f>
        <v>41789.83</v>
      </c>
    </row>
    <row r="201" spans="1:12" ht="14.25" hidden="1" x14ac:dyDescent="0.2">
      <c r="A201" s="85"/>
      <c r="B201" s="90"/>
      <c r="C201" s="91" t="s">
        <v>514</v>
      </c>
      <c r="D201" s="91"/>
      <c r="E201" s="91"/>
      <c r="F201" s="91"/>
      <c r="G201" s="91"/>
      <c r="H201" s="91"/>
      <c r="I201" s="70"/>
      <c r="J201" s="85"/>
      <c r="K201" s="68"/>
      <c r="L201" s="70">
        <f>L203+L206+L205</f>
        <v>1642.68</v>
      </c>
    </row>
    <row r="202" spans="1:12" ht="14.25" hidden="1" x14ac:dyDescent="0.2">
      <c r="A202" s="85"/>
      <c r="B202" s="90"/>
      <c r="C202" s="101" t="s">
        <v>515</v>
      </c>
      <c r="D202" s="91"/>
      <c r="E202" s="91"/>
      <c r="F202" s="91"/>
      <c r="G202" s="91"/>
      <c r="H202" s="91"/>
      <c r="I202" s="70"/>
      <c r="J202" s="85"/>
      <c r="K202" s="68"/>
      <c r="L202" s="70"/>
    </row>
    <row r="203" spans="1:12" ht="14.25" x14ac:dyDescent="0.2">
      <c r="A203" s="85"/>
      <c r="B203" s="90"/>
      <c r="C203" s="91" t="s">
        <v>514</v>
      </c>
      <c r="D203" s="91"/>
      <c r="E203" s="91"/>
      <c r="F203" s="91"/>
      <c r="G203" s="91"/>
      <c r="H203" s="91"/>
      <c r="I203" s="70"/>
      <c r="J203" s="85"/>
      <c r="K203" s="68"/>
      <c r="L203" s="70">
        <f>SUMIF(CD52:CD192, 1, AO52:AO192)</f>
        <v>864.65000000000009</v>
      </c>
    </row>
    <row r="204" spans="1:12" ht="14.25" hidden="1" x14ac:dyDescent="0.2">
      <c r="A204" s="85"/>
      <c r="B204" s="90"/>
      <c r="C204" s="101" t="s">
        <v>516</v>
      </c>
      <c r="D204" s="91"/>
      <c r="E204" s="91"/>
      <c r="F204" s="91"/>
      <c r="G204" s="91"/>
      <c r="H204" s="91"/>
      <c r="I204" s="70"/>
      <c r="J204" s="85"/>
      <c r="K204" s="68"/>
      <c r="L204" s="70"/>
    </row>
    <row r="205" spans="1:12" ht="14.25" x14ac:dyDescent="0.2">
      <c r="A205" s="85"/>
      <c r="B205" s="90"/>
      <c r="C205" s="91" t="s">
        <v>525</v>
      </c>
      <c r="D205" s="91"/>
      <c r="E205" s="91"/>
      <c r="F205" s="91"/>
      <c r="G205" s="91"/>
      <c r="H205" s="91"/>
      <c r="I205" s="70"/>
      <c r="J205" s="85"/>
      <c r="K205" s="68"/>
      <c r="L205" s="70">
        <f>SUMIF(CD52:CD192, 1, AT52:AT192)</f>
        <v>778.03</v>
      </c>
    </row>
    <row r="206" spans="1:12" ht="14.25" hidden="1" x14ac:dyDescent="0.2">
      <c r="A206" s="85"/>
      <c r="B206" s="90"/>
      <c r="C206" s="91" t="s">
        <v>517</v>
      </c>
      <c r="D206" s="91"/>
      <c r="E206" s="91"/>
      <c r="F206" s="91"/>
      <c r="G206" s="91"/>
      <c r="H206" s="91"/>
      <c r="I206" s="70"/>
      <c r="J206" s="85"/>
      <c r="K206" s="68"/>
      <c r="L206" s="70">
        <f>SUMIF(CD52:CD192, 1, AV52:AV192)</f>
        <v>0</v>
      </c>
    </row>
    <row r="207" spans="1:12" ht="14.25" x14ac:dyDescent="0.2">
      <c r="A207" s="85"/>
      <c r="B207" s="90"/>
      <c r="C207" s="91" t="s">
        <v>518</v>
      </c>
      <c r="D207" s="91"/>
      <c r="E207" s="91"/>
      <c r="F207" s="91"/>
      <c r="G207" s="91"/>
      <c r="H207" s="91"/>
      <c r="I207" s="70"/>
      <c r="J207" s="85"/>
      <c r="K207" s="68"/>
      <c r="L207" s="70">
        <f>L209+L210</f>
        <v>18760.73</v>
      </c>
    </row>
    <row r="208" spans="1:12" ht="14.25" x14ac:dyDescent="0.2">
      <c r="A208" s="85"/>
      <c r="B208" s="90"/>
      <c r="C208" s="101" t="s">
        <v>515</v>
      </c>
      <c r="D208" s="91"/>
      <c r="E208" s="91"/>
      <c r="F208" s="91"/>
      <c r="G208" s="91"/>
      <c r="H208" s="91"/>
      <c r="I208" s="70"/>
      <c r="J208" s="85"/>
      <c r="K208" s="68"/>
      <c r="L208" s="70"/>
    </row>
    <row r="209" spans="1:12" ht="14.25" x14ac:dyDescent="0.2">
      <c r="A209" s="85"/>
      <c r="B209" s="90"/>
      <c r="C209" s="91" t="s">
        <v>519</v>
      </c>
      <c r="D209" s="91"/>
      <c r="E209" s="91"/>
      <c r="F209" s="91"/>
      <c r="G209" s="91"/>
      <c r="H209" s="91"/>
      <c r="I209" s="70"/>
      <c r="J209" s="85"/>
      <c r="K209" s="68"/>
      <c r="L209" s="70">
        <f>SUMIF(CD52:CD192, 1, AW52:AW192)-SUMIF(CD52:CD192, 1, BK52:BK192)</f>
        <v>18760.73</v>
      </c>
    </row>
    <row r="210" spans="1:12" ht="14.25" hidden="1" x14ac:dyDescent="0.2">
      <c r="A210" s="85"/>
      <c r="B210" s="90"/>
      <c r="C210" s="91" t="s">
        <v>520</v>
      </c>
      <c r="D210" s="91"/>
      <c r="E210" s="91"/>
      <c r="F210" s="91"/>
      <c r="G210" s="91"/>
      <c r="H210" s="91"/>
      <c r="I210" s="70"/>
      <c r="J210" s="85"/>
      <c r="K210" s="68"/>
      <c r="L210" s="70">
        <f>SUMIF(CD52:CD192, 1, BC52:BC192)</f>
        <v>0</v>
      </c>
    </row>
    <row r="211" spans="1:12" ht="14.25" hidden="1" x14ac:dyDescent="0.2">
      <c r="A211" s="85"/>
      <c r="B211" s="90"/>
      <c r="C211" s="91" t="s">
        <v>521</v>
      </c>
      <c r="D211" s="91"/>
      <c r="E211" s="91"/>
      <c r="F211" s="91"/>
      <c r="G211" s="91"/>
      <c r="H211" s="91"/>
      <c r="I211" s="70"/>
      <c r="J211" s="85"/>
      <c r="K211" s="68"/>
      <c r="L211" s="70">
        <f>SUMIF(CD52:CD192, 1, BB52:BB192)</f>
        <v>0</v>
      </c>
    </row>
    <row r="212" spans="1:12" ht="14.25" x14ac:dyDescent="0.2">
      <c r="A212" s="85"/>
      <c r="B212" s="90"/>
      <c r="C212" s="91" t="s">
        <v>522</v>
      </c>
      <c r="D212" s="91"/>
      <c r="E212" s="91"/>
      <c r="F212" s="91"/>
      <c r="G212" s="91"/>
      <c r="H212" s="91"/>
      <c r="I212" s="70"/>
      <c r="J212" s="85"/>
      <c r="K212" s="68"/>
      <c r="L212" s="70">
        <f>SUMIF(CD52:CD192, 1, AR52:AR192)+SUMIF(CD52:CD192, 1, AT52:AT192)+SUMIF(CD52:CD192, 1, AV52:AV192)</f>
        <v>42567.86</v>
      </c>
    </row>
    <row r="213" spans="1:12" ht="14.25" x14ac:dyDescent="0.2">
      <c r="A213" s="85"/>
      <c r="B213" s="90"/>
      <c r="C213" s="91" t="s">
        <v>523</v>
      </c>
      <c r="D213" s="91"/>
      <c r="E213" s="91"/>
      <c r="F213" s="91"/>
      <c r="G213" s="91"/>
      <c r="H213" s="91"/>
      <c r="I213" s="70"/>
      <c r="J213" s="85"/>
      <c r="K213" s="68"/>
      <c r="L213" s="70">
        <f>SUMIF(CD52:CD192, 1, AZ52:AZ192)</f>
        <v>43036.990000000005</v>
      </c>
    </row>
    <row r="214" spans="1:12" ht="14.25" x14ac:dyDescent="0.2">
      <c r="A214" s="85"/>
      <c r="B214" s="90"/>
      <c r="C214" s="91" t="s">
        <v>524</v>
      </c>
      <c r="D214" s="91"/>
      <c r="E214" s="91"/>
      <c r="F214" s="91"/>
      <c r="G214" s="91"/>
      <c r="H214" s="91"/>
      <c r="I214" s="70"/>
      <c r="J214" s="85"/>
      <c r="K214" s="68"/>
      <c r="L214" s="70">
        <f>SUMIF(CD52:CD192, 1, BA52:BA192)</f>
        <v>23290.33</v>
      </c>
    </row>
    <row r="215" spans="1:12" hidden="1" x14ac:dyDescent="0.2"/>
    <row r="216" spans="1:12" ht="15" hidden="1" x14ac:dyDescent="0.2">
      <c r="A216" s="92"/>
      <c r="B216" s="93"/>
      <c r="C216" s="94" t="s">
        <v>526</v>
      </c>
      <c r="D216" s="94"/>
      <c r="E216" s="94"/>
      <c r="F216" s="94"/>
      <c r="G216" s="94"/>
      <c r="H216" s="94"/>
      <c r="I216" s="76"/>
      <c r="J216" s="92"/>
      <c r="K216" s="95"/>
      <c r="L216" s="76">
        <f>L218+L233+L234</f>
        <v>0</v>
      </c>
    </row>
    <row r="217" spans="1:12" ht="14.25" hidden="1" x14ac:dyDescent="0.2">
      <c r="A217" s="85"/>
      <c r="B217" s="90"/>
      <c r="C217" s="101" t="s">
        <v>511</v>
      </c>
      <c r="D217" s="91"/>
      <c r="E217" s="91"/>
      <c r="F217" s="91"/>
      <c r="G217" s="91"/>
      <c r="H217" s="91"/>
      <c r="I217" s="70"/>
      <c r="J217" s="85"/>
      <c r="K217" s="68"/>
      <c r="L217" s="70"/>
    </row>
    <row r="218" spans="1:12" ht="14.25" hidden="1" x14ac:dyDescent="0.2">
      <c r="A218" s="85"/>
      <c r="B218" s="90"/>
      <c r="C218" s="91" t="s">
        <v>512</v>
      </c>
      <c r="D218" s="91"/>
      <c r="E218" s="91"/>
      <c r="F218" s="91"/>
      <c r="G218" s="91"/>
      <c r="H218" s="91"/>
      <c r="I218" s="70"/>
      <c r="J218" s="85"/>
      <c r="K218" s="68"/>
      <c r="L218" s="70">
        <f>L220+L221+L227+L231</f>
        <v>0</v>
      </c>
    </row>
    <row r="219" spans="1:12" ht="14.25" hidden="1" x14ac:dyDescent="0.2">
      <c r="A219" s="85"/>
      <c r="B219" s="90"/>
      <c r="C219" s="101" t="s">
        <v>511</v>
      </c>
      <c r="D219" s="91"/>
      <c r="E219" s="91"/>
      <c r="F219" s="91"/>
      <c r="G219" s="91"/>
      <c r="H219" s="91"/>
      <c r="I219" s="70"/>
      <c r="J219" s="85"/>
      <c r="K219" s="68"/>
      <c r="L219" s="70"/>
    </row>
    <row r="220" spans="1:12" ht="14.25" hidden="1" x14ac:dyDescent="0.2">
      <c r="A220" s="85"/>
      <c r="B220" s="90"/>
      <c r="C220" s="91" t="s">
        <v>513</v>
      </c>
      <c r="D220" s="91"/>
      <c r="E220" s="91"/>
      <c r="F220" s="91"/>
      <c r="G220" s="91"/>
      <c r="H220" s="91"/>
      <c r="I220" s="70"/>
      <c r="J220" s="85"/>
      <c r="K220" s="68"/>
      <c r="L220" s="70">
        <f>SUMIF(CD52:CD214, 2, AR52:AR214)</f>
        <v>0</v>
      </c>
    </row>
    <row r="221" spans="1:12" ht="14.25" hidden="1" x14ac:dyDescent="0.2">
      <c r="A221" s="85"/>
      <c r="B221" s="90"/>
      <c r="C221" s="91" t="s">
        <v>514</v>
      </c>
      <c r="D221" s="91"/>
      <c r="E221" s="91"/>
      <c r="F221" s="91"/>
      <c r="G221" s="91"/>
      <c r="H221" s="91"/>
      <c r="I221" s="70"/>
      <c r="J221" s="85"/>
      <c r="K221" s="68"/>
      <c r="L221" s="70">
        <f>L223+L226+L225</f>
        <v>0</v>
      </c>
    </row>
    <row r="222" spans="1:12" ht="14.25" hidden="1" x14ac:dyDescent="0.2">
      <c r="A222" s="85"/>
      <c r="B222" s="90"/>
      <c r="C222" s="101" t="s">
        <v>515</v>
      </c>
      <c r="D222" s="91"/>
      <c r="E222" s="91"/>
      <c r="F222" s="91"/>
      <c r="G222" s="91"/>
      <c r="H222" s="91"/>
      <c r="I222" s="70"/>
      <c r="J222" s="85"/>
      <c r="K222" s="68"/>
      <c r="L222" s="70"/>
    </row>
    <row r="223" spans="1:12" ht="14.25" hidden="1" x14ac:dyDescent="0.2">
      <c r="A223" s="85"/>
      <c r="B223" s="90"/>
      <c r="C223" s="91" t="s">
        <v>514</v>
      </c>
      <c r="D223" s="91"/>
      <c r="E223" s="91"/>
      <c r="F223" s="91"/>
      <c r="G223" s="91"/>
      <c r="H223" s="91"/>
      <c r="I223" s="70"/>
      <c r="J223" s="85"/>
      <c r="K223" s="68"/>
      <c r="L223" s="70">
        <f>SUMIF(CD52:CD214, 2, AO52:AO214)</f>
        <v>0</v>
      </c>
    </row>
    <row r="224" spans="1:12" ht="14.25" hidden="1" x14ac:dyDescent="0.2">
      <c r="A224" s="85"/>
      <c r="B224" s="90"/>
      <c r="C224" s="101" t="s">
        <v>516</v>
      </c>
      <c r="D224" s="91"/>
      <c r="E224" s="91"/>
      <c r="F224" s="91"/>
      <c r="G224" s="91"/>
      <c r="H224" s="91"/>
      <c r="I224" s="70"/>
      <c r="J224" s="85"/>
      <c r="K224" s="68"/>
      <c r="L224" s="70"/>
    </row>
    <row r="225" spans="1:12" ht="14.25" hidden="1" x14ac:dyDescent="0.2">
      <c r="A225" s="85"/>
      <c r="B225" s="90"/>
      <c r="C225" s="91" t="s">
        <v>525</v>
      </c>
      <c r="D225" s="91"/>
      <c r="E225" s="91"/>
      <c r="F225" s="91"/>
      <c r="G225" s="91"/>
      <c r="H225" s="91"/>
      <c r="I225" s="70"/>
      <c r="J225" s="85"/>
      <c r="K225" s="68"/>
      <c r="L225" s="70">
        <f>SUMIF(CD52:CD214, 2, AT52:AT214)</f>
        <v>0</v>
      </c>
    </row>
    <row r="226" spans="1:12" ht="14.25" hidden="1" x14ac:dyDescent="0.2">
      <c r="A226" s="85"/>
      <c r="B226" s="90"/>
      <c r="C226" s="91" t="s">
        <v>517</v>
      </c>
      <c r="D226" s="91"/>
      <c r="E226" s="91"/>
      <c r="F226" s="91"/>
      <c r="G226" s="91"/>
      <c r="H226" s="91"/>
      <c r="I226" s="70"/>
      <c r="J226" s="85"/>
      <c r="K226" s="68"/>
      <c r="L226" s="70">
        <f>SUMIF(CD52:CD214, 2, AV52:AV214)</f>
        <v>0</v>
      </c>
    </row>
    <row r="227" spans="1:12" ht="14.25" hidden="1" x14ac:dyDescent="0.2">
      <c r="A227" s="85"/>
      <c r="B227" s="90"/>
      <c r="C227" s="91" t="s">
        <v>518</v>
      </c>
      <c r="D227" s="91"/>
      <c r="E227" s="91"/>
      <c r="F227" s="91"/>
      <c r="G227" s="91"/>
      <c r="H227" s="91"/>
      <c r="I227" s="70"/>
      <c r="J227" s="85"/>
      <c r="K227" s="68"/>
      <c r="L227" s="70">
        <f>L229+L230</f>
        <v>0</v>
      </c>
    </row>
    <row r="228" spans="1:12" ht="14.25" hidden="1" x14ac:dyDescent="0.2">
      <c r="A228" s="85"/>
      <c r="B228" s="90"/>
      <c r="C228" s="101" t="s">
        <v>515</v>
      </c>
      <c r="D228" s="91"/>
      <c r="E228" s="91"/>
      <c r="F228" s="91"/>
      <c r="G228" s="91"/>
      <c r="H228" s="91"/>
      <c r="I228" s="70"/>
      <c r="J228" s="85"/>
      <c r="K228" s="68"/>
      <c r="L228" s="70"/>
    </row>
    <row r="229" spans="1:12" ht="14.25" hidden="1" x14ac:dyDescent="0.2">
      <c r="A229" s="85"/>
      <c r="B229" s="90"/>
      <c r="C229" s="91" t="s">
        <v>519</v>
      </c>
      <c r="D229" s="91"/>
      <c r="E229" s="91"/>
      <c r="F229" s="91"/>
      <c r="G229" s="91"/>
      <c r="H229" s="91"/>
      <c r="I229" s="70"/>
      <c r="J229" s="85"/>
      <c r="K229" s="68"/>
      <c r="L229" s="70">
        <f>SUMIF(CD52:CD214, 2, AW52:AW214)-SUMIF(CD52:CD214, 2, BK52:BK214)</f>
        <v>0</v>
      </c>
    </row>
    <row r="230" spans="1:12" ht="14.25" hidden="1" x14ac:dyDescent="0.2">
      <c r="A230" s="85"/>
      <c r="B230" s="90"/>
      <c r="C230" s="91" t="s">
        <v>520</v>
      </c>
      <c r="D230" s="91"/>
      <c r="E230" s="91"/>
      <c r="F230" s="91"/>
      <c r="G230" s="91"/>
      <c r="H230" s="91"/>
      <c r="I230" s="70"/>
      <c r="J230" s="85"/>
      <c r="K230" s="68"/>
      <c r="L230" s="70">
        <f>SUMIF(CD52:CD214, 2, BC52:BC214)</f>
        <v>0</v>
      </c>
    </row>
    <row r="231" spans="1:12" ht="14.25" hidden="1" x14ac:dyDescent="0.2">
      <c r="A231" s="85"/>
      <c r="B231" s="90"/>
      <c r="C231" s="91" t="s">
        <v>521</v>
      </c>
      <c r="D231" s="91"/>
      <c r="E231" s="91"/>
      <c r="F231" s="91"/>
      <c r="G231" s="91"/>
      <c r="H231" s="91"/>
      <c r="I231" s="70"/>
      <c r="J231" s="85"/>
      <c r="K231" s="68"/>
      <c r="L231" s="70">
        <f>SUMIF(CD52:CD214, 2, BB52:BB214)</f>
        <v>0</v>
      </c>
    </row>
    <row r="232" spans="1:12" ht="14.25" hidden="1" x14ac:dyDescent="0.2">
      <c r="A232" s="85"/>
      <c r="B232" s="90"/>
      <c r="C232" s="91" t="s">
        <v>522</v>
      </c>
      <c r="D232" s="91"/>
      <c r="E232" s="91"/>
      <c r="F232" s="91"/>
      <c r="G232" s="91"/>
      <c r="H232" s="91"/>
      <c r="I232" s="70"/>
      <c r="J232" s="85"/>
      <c r="K232" s="68"/>
      <c r="L232" s="70">
        <f>SUMIF(CD52:CD214, 2, AR52:AR214)+SUMIF(CD52:CD214, 2, AT52:AT214)+SUMIF(CD52:CD214, 2, AV52:AV214)</f>
        <v>0</v>
      </c>
    </row>
    <row r="233" spans="1:12" ht="14.25" hidden="1" x14ac:dyDescent="0.2">
      <c r="A233" s="85"/>
      <c r="B233" s="90"/>
      <c r="C233" s="91" t="s">
        <v>523</v>
      </c>
      <c r="D233" s="91"/>
      <c r="E233" s="91"/>
      <c r="F233" s="91"/>
      <c r="G233" s="91"/>
      <c r="H233" s="91"/>
      <c r="I233" s="70"/>
      <c r="J233" s="85"/>
      <c r="K233" s="68"/>
      <c r="L233" s="70">
        <f>SUMIF(CD52:CD214, 2, AZ52:AZ214)</f>
        <v>0</v>
      </c>
    </row>
    <row r="234" spans="1:12" ht="14.25" hidden="1" x14ac:dyDescent="0.2">
      <c r="A234" s="85"/>
      <c r="B234" s="90"/>
      <c r="C234" s="91" t="s">
        <v>524</v>
      </c>
      <c r="D234" s="91"/>
      <c r="E234" s="91"/>
      <c r="F234" s="91"/>
      <c r="G234" s="91"/>
      <c r="H234" s="91"/>
      <c r="I234" s="70"/>
      <c r="J234" s="85"/>
      <c r="K234" s="68"/>
      <c r="L234" s="70">
        <f>SUMIF(CD52:CD214, 2, BA52:BA214)</f>
        <v>0</v>
      </c>
    </row>
    <row r="235" spans="1:12" hidden="1" x14ac:dyDescent="0.2"/>
    <row r="236" spans="1:12" ht="15" hidden="1" x14ac:dyDescent="0.2">
      <c r="A236" s="92"/>
      <c r="B236" s="93"/>
      <c r="C236" s="94" t="s">
        <v>527</v>
      </c>
      <c r="D236" s="94"/>
      <c r="E236" s="94"/>
      <c r="F236" s="94"/>
      <c r="G236" s="94"/>
      <c r="H236" s="94"/>
      <c r="I236" s="76"/>
      <c r="J236" s="92"/>
      <c r="K236" s="95"/>
      <c r="L236" s="76">
        <f>L238+L239</f>
        <v>0</v>
      </c>
    </row>
    <row r="237" spans="1:12" ht="14.25" hidden="1" x14ac:dyDescent="0.2">
      <c r="A237" s="85"/>
      <c r="B237" s="90"/>
      <c r="C237" s="101" t="s">
        <v>511</v>
      </c>
      <c r="D237" s="91"/>
      <c r="E237" s="91"/>
      <c r="F237" s="91"/>
      <c r="G237" s="91"/>
      <c r="H237" s="91"/>
      <c r="I237" s="70"/>
      <c r="J237" s="85"/>
      <c r="K237" s="68"/>
      <c r="L237" s="70"/>
    </row>
    <row r="238" spans="1:12" ht="14.25" hidden="1" x14ac:dyDescent="0.2">
      <c r="A238" s="85"/>
      <c r="B238" s="90"/>
      <c r="C238" s="91" t="s">
        <v>528</v>
      </c>
      <c r="D238" s="91"/>
      <c r="E238" s="91"/>
      <c r="F238" s="91"/>
      <c r="G238" s="91"/>
      <c r="H238" s="91"/>
      <c r="I238" s="70"/>
      <c r="J238" s="85"/>
      <c r="K238" s="68"/>
      <c r="L238" s="70">
        <f>SUMIF(CD52:CD234, 3, BK52:BK234)</f>
        <v>0</v>
      </c>
    </row>
    <row r="239" spans="1:12" ht="14.25" hidden="1" x14ac:dyDescent="0.2">
      <c r="A239" s="85"/>
      <c r="B239" s="90"/>
      <c r="C239" s="91" t="s">
        <v>529</v>
      </c>
      <c r="D239" s="91"/>
      <c r="E239" s="91"/>
      <c r="F239" s="91"/>
      <c r="G239" s="91"/>
      <c r="H239" s="91"/>
      <c r="I239" s="70"/>
      <c r="J239" s="85"/>
      <c r="K239" s="68"/>
      <c r="L239" s="70">
        <f>SUMIF(CD52:CD234, 3, BD52:BD234)</f>
        <v>0</v>
      </c>
    </row>
    <row r="240" spans="1:12" hidden="1" x14ac:dyDescent="0.2"/>
    <row r="241" spans="1:12" ht="15" hidden="1" x14ac:dyDescent="0.2">
      <c r="A241" s="92"/>
      <c r="B241" s="93"/>
      <c r="C241" s="94" t="s">
        <v>530</v>
      </c>
      <c r="D241" s="94"/>
      <c r="E241" s="94"/>
      <c r="F241" s="94"/>
      <c r="G241" s="94"/>
      <c r="H241" s="94"/>
      <c r="I241" s="76"/>
      <c r="J241" s="92"/>
      <c r="K241" s="95"/>
      <c r="L241" s="76">
        <f>L249+L264+L265+L243+L244+L245+L246</f>
        <v>0</v>
      </c>
    </row>
    <row r="242" spans="1:12" ht="14.25" hidden="1" x14ac:dyDescent="0.2">
      <c r="A242" s="85"/>
      <c r="B242" s="90"/>
      <c r="C242" s="101" t="s">
        <v>511</v>
      </c>
      <c r="D242" s="91"/>
      <c r="E242" s="91"/>
      <c r="F242" s="91"/>
      <c r="G242" s="91"/>
      <c r="H242" s="91"/>
      <c r="I242" s="70"/>
      <c r="J242" s="85"/>
      <c r="K242" s="68"/>
      <c r="L242" s="70"/>
    </row>
    <row r="243" spans="1:12" ht="14.25" hidden="1" x14ac:dyDescent="0.2">
      <c r="A243" s="85"/>
      <c r="B243" s="90"/>
      <c r="C243" s="91" t="s">
        <v>531</v>
      </c>
      <c r="D243" s="91"/>
      <c r="E243" s="91"/>
      <c r="F243" s="91"/>
      <c r="G243" s="91"/>
      <c r="H243" s="91"/>
      <c r="I243" s="70"/>
      <c r="J243" s="85"/>
      <c r="K243" s="68"/>
      <c r="L243" s="70"/>
    </row>
    <row r="244" spans="1:12" ht="14.25" hidden="1" x14ac:dyDescent="0.2">
      <c r="A244" s="85"/>
      <c r="B244" s="90"/>
      <c r="C244" s="91" t="s">
        <v>531</v>
      </c>
      <c r="D244" s="91"/>
      <c r="E244" s="91"/>
      <c r="F244" s="91"/>
      <c r="G244" s="91"/>
      <c r="H244" s="91"/>
      <c r="I244" s="70"/>
      <c r="J244" s="85"/>
      <c r="K244" s="68"/>
      <c r="L244" s="70">
        <f>SUM(BQ52:BQ239)</f>
        <v>0</v>
      </c>
    </row>
    <row r="245" spans="1:12" ht="14.25" hidden="1" x14ac:dyDescent="0.2">
      <c r="A245" s="85"/>
      <c r="B245" s="90"/>
      <c r="C245" s="91" t="s">
        <v>532</v>
      </c>
      <c r="D245" s="91"/>
      <c r="E245" s="91"/>
      <c r="F245" s="91"/>
      <c r="G245" s="91"/>
      <c r="H245" s="91"/>
      <c r="I245" s="70"/>
      <c r="J245" s="85"/>
      <c r="K245" s="68"/>
      <c r="L245" s="70">
        <f>SUMIF(CD52:CD239, 4, BB52:BB239)+SUMIF(CD52:CD239, 4, BC52:BC239)+SUMIF(CD52:CD239, 4, BD52:BD239)</f>
        <v>0</v>
      </c>
    </row>
    <row r="246" spans="1:12" ht="14.25" hidden="1" x14ac:dyDescent="0.2">
      <c r="A246" s="85"/>
      <c r="B246" s="90"/>
      <c r="C246" s="91" t="s">
        <v>533</v>
      </c>
      <c r="D246" s="91"/>
      <c r="E246" s="91"/>
      <c r="F246" s="91"/>
      <c r="G246" s="91"/>
      <c r="H246" s="91"/>
      <c r="I246" s="70"/>
      <c r="J246" s="85"/>
      <c r="K246" s="68"/>
      <c r="L246" s="70">
        <f>SUM(BO52:BO239)</f>
        <v>0</v>
      </c>
    </row>
    <row r="247" spans="1:12" ht="14.25" hidden="1" x14ac:dyDescent="0.2">
      <c r="A247" s="85"/>
      <c r="B247" s="90"/>
      <c r="C247" s="91" t="s">
        <v>534</v>
      </c>
      <c r="D247" s="91"/>
      <c r="E247" s="91"/>
      <c r="F247" s="91"/>
      <c r="G247" s="91"/>
      <c r="H247" s="91"/>
      <c r="I247" s="70"/>
      <c r="J247" s="85"/>
      <c r="K247" s="68"/>
      <c r="L247" s="70">
        <f>L249+L264+L265</f>
        <v>0</v>
      </c>
    </row>
    <row r="248" spans="1:12" ht="14.25" hidden="1" x14ac:dyDescent="0.2">
      <c r="A248" s="85"/>
      <c r="B248" s="90"/>
      <c r="C248" s="101" t="s">
        <v>511</v>
      </c>
      <c r="D248" s="91"/>
      <c r="E248" s="91"/>
      <c r="F248" s="91"/>
      <c r="G248" s="91"/>
      <c r="H248" s="91"/>
      <c r="I248" s="70"/>
      <c r="J248" s="85"/>
      <c r="K248" s="68"/>
      <c r="L248" s="70"/>
    </row>
    <row r="249" spans="1:12" ht="14.25" hidden="1" x14ac:dyDescent="0.2">
      <c r="A249" s="85"/>
      <c r="B249" s="90"/>
      <c r="C249" s="91" t="s">
        <v>512</v>
      </c>
      <c r="D249" s="91"/>
      <c r="E249" s="91"/>
      <c r="F249" s="91"/>
      <c r="G249" s="91"/>
      <c r="H249" s="91"/>
      <c r="I249" s="70"/>
      <c r="J249" s="85"/>
      <c r="K249" s="68"/>
      <c r="L249" s="70">
        <f>L251+L252+L258+L262</f>
        <v>0</v>
      </c>
    </row>
    <row r="250" spans="1:12" ht="14.25" hidden="1" x14ac:dyDescent="0.2">
      <c r="A250" s="85"/>
      <c r="B250" s="90"/>
      <c r="C250" s="101" t="s">
        <v>511</v>
      </c>
      <c r="D250" s="91"/>
      <c r="E250" s="91"/>
      <c r="F250" s="91"/>
      <c r="G250" s="91"/>
      <c r="H250" s="91"/>
      <c r="I250" s="70"/>
      <c r="J250" s="85"/>
      <c r="K250" s="68"/>
      <c r="L250" s="70"/>
    </row>
    <row r="251" spans="1:12" ht="14.25" hidden="1" x14ac:dyDescent="0.2">
      <c r="A251" s="85"/>
      <c r="B251" s="90"/>
      <c r="C251" s="91" t="s">
        <v>513</v>
      </c>
      <c r="D251" s="91"/>
      <c r="E251" s="91"/>
      <c r="F251" s="91"/>
      <c r="G251" s="91"/>
      <c r="H251" s="91"/>
      <c r="I251" s="70"/>
      <c r="J251" s="85"/>
      <c r="K251" s="68"/>
      <c r="L251" s="70">
        <f>SUMIF(CD52:CD239, 4, AR52:AR239)</f>
        <v>0</v>
      </c>
    </row>
    <row r="252" spans="1:12" ht="14.25" hidden="1" x14ac:dyDescent="0.2">
      <c r="A252" s="85"/>
      <c r="B252" s="90"/>
      <c r="C252" s="91" t="s">
        <v>514</v>
      </c>
      <c r="D252" s="91"/>
      <c r="E252" s="91"/>
      <c r="F252" s="91"/>
      <c r="G252" s="91"/>
      <c r="H252" s="91"/>
      <c r="I252" s="70"/>
      <c r="J252" s="85"/>
      <c r="K252" s="68"/>
      <c r="L252" s="70">
        <f>L254+L257+L256</f>
        <v>0</v>
      </c>
    </row>
    <row r="253" spans="1:12" ht="14.25" hidden="1" x14ac:dyDescent="0.2">
      <c r="A253" s="85"/>
      <c r="B253" s="90"/>
      <c r="C253" s="101" t="s">
        <v>515</v>
      </c>
      <c r="D253" s="91"/>
      <c r="E253" s="91"/>
      <c r="F253" s="91"/>
      <c r="G253" s="91"/>
      <c r="H253" s="91"/>
      <c r="I253" s="70"/>
      <c r="J253" s="85"/>
      <c r="K253" s="68"/>
      <c r="L253" s="70"/>
    </row>
    <row r="254" spans="1:12" ht="14.25" hidden="1" x14ac:dyDescent="0.2">
      <c r="A254" s="85"/>
      <c r="B254" s="90"/>
      <c r="C254" s="91" t="s">
        <v>514</v>
      </c>
      <c r="D254" s="91"/>
      <c r="E254" s="91"/>
      <c r="F254" s="91"/>
      <c r="G254" s="91"/>
      <c r="H254" s="91"/>
      <c r="I254" s="70"/>
      <c r="J254" s="85"/>
      <c r="K254" s="68"/>
      <c r="L254" s="70">
        <f>SUMIF(CD52:CD239, 4, AO52:AO239)</f>
        <v>0</v>
      </c>
    </row>
    <row r="255" spans="1:12" ht="14.25" hidden="1" x14ac:dyDescent="0.2">
      <c r="A255" s="85"/>
      <c r="B255" s="90"/>
      <c r="C255" s="101" t="s">
        <v>516</v>
      </c>
      <c r="D255" s="91"/>
      <c r="E255" s="91"/>
      <c r="F255" s="91"/>
      <c r="G255" s="91"/>
      <c r="H255" s="91"/>
      <c r="I255" s="70"/>
      <c r="J255" s="85"/>
      <c r="K255" s="68"/>
      <c r="L255" s="70"/>
    </row>
    <row r="256" spans="1:12" ht="14.25" hidden="1" x14ac:dyDescent="0.2">
      <c r="A256" s="85"/>
      <c r="B256" s="90"/>
      <c r="C256" s="91" t="s">
        <v>525</v>
      </c>
      <c r="D256" s="91"/>
      <c r="E256" s="91"/>
      <c r="F256" s="91"/>
      <c r="G256" s="91"/>
      <c r="H256" s="91"/>
      <c r="I256" s="70"/>
      <c r="J256" s="85"/>
      <c r="K256" s="68"/>
      <c r="L256" s="70">
        <f>SUMIF(CD52:CD239, 4, AT52:AT239)</f>
        <v>0</v>
      </c>
    </row>
    <row r="257" spans="1:12" ht="14.25" hidden="1" x14ac:dyDescent="0.2">
      <c r="A257" s="85"/>
      <c r="B257" s="90"/>
      <c r="C257" s="91" t="s">
        <v>517</v>
      </c>
      <c r="D257" s="91"/>
      <c r="E257" s="91"/>
      <c r="F257" s="91"/>
      <c r="G257" s="91"/>
      <c r="H257" s="91"/>
      <c r="I257" s="70"/>
      <c r="J257" s="85"/>
      <c r="K257" s="68"/>
      <c r="L257" s="70">
        <f>SUMIF(CD52:CD239, 4, AV52:AV239)</f>
        <v>0</v>
      </c>
    </row>
    <row r="258" spans="1:12" ht="14.25" hidden="1" x14ac:dyDescent="0.2">
      <c r="A258" s="85"/>
      <c r="B258" s="90"/>
      <c r="C258" s="91" t="s">
        <v>518</v>
      </c>
      <c r="D258" s="91"/>
      <c r="E258" s="91"/>
      <c r="F258" s="91"/>
      <c r="G258" s="91"/>
      <c r="H258" s="91"/>
      <c r="I258" s="70"/>
      <c r="J258" s="85"/>
      <c r="K258" s="68"/>
      <c r="L258" s="70">
        <f>L260+L261</f>
        <v>0</v>
      </c>
    </row>
    <row r="259" spans="1:12" ht="14.25" hidden="1" x14ac:dyDescent="0.2">
      <c r="A259" s="85"/>
      <c r="B259" s="90"/>
      <c r="C259" s="101" t="s">
        <v>515</v>
      </c>
      <c r="D259" s="91"/>
      <c r="E259" s="91"/>
      <c r="F259" s="91"/>
      <c r="G259" s="91"/>
      <c r="H259" s="91"/>
      <c r="I259" s="70"/>
      <c r="J259" s="85"/>
      <c r="K259" s="68"/>
      <c r="L259" s="70"/>
    </row>
    <row r="260" spans="1:12" ht="14.25" hidden="1" x14ac:dyDescent="0.2">
      <c r="A260" s="85"/>
      <c r="B260" s="90"/>
      <c r="C260" s="91" t="s">
        <v>519</v>
      </c>
      <c r="D260" s="91"/>
      <c r="E260" s="91"/>
      <c r="F260" s="91"/>
      <c r="G260" s="91"/>
      <c r="H260" s="91"/>
      <c r="I260" s="70"/>
      <c r="J260" s="85"/>
      <c r="K260" s="68"/>
      <c r="L260" s="70">
        <f>SUMIF(CD52:CD239, 4, AW52:AW239)-SUMIF(CD52:CD239, 4, BK52:BK239)</f>
        <v>0</v>
      </c>
    </row>
    <row r="261" spans="1:12" ht="14.25" hidden="1" x14ac:dyDescent="0.2">
      <c r="A261" s="85"/>
      <c r="B261" s="90"/>
      <c r="C261" s="91" t="s">
        <v>520</v>
      </c>
      <c r="D261" s="91"/>
      <c r="E261" s="91"/>
      <c r="F261" s="91"/>
      <c r="G261" s="91"/>
      <c r="H261" s="91"/>
      <c r="I261" s="70"/>
      <c r="J261" s="85"/>
      <c r="K261" s="68"/>
      <c r="L261" s="70">
        <f>SUMIF(CD52:CD239, 4, BC52:BC239)</f>
        <v>0</v>
      </c>
    </row>
    <row r="262" spans="1:12" ht="14.25" hidden="1" x14ac:dyDescent="0.2">
      <c r="A262" s="85"/>
      <c r="B262" s="90"/>
      <c r="C262" s="91" t="s">
        <v>521</v>
      </c>
      <c r="D262" s="91"/>
      <c r="E262" s="91"/>
      <c r="F262" s="91"/>
      <c r="G262" s="91"/>
      <c r="H262" s="91"/>
      <c r="I262" s="70"/>
      <c r="J262" s="85"/>
      <c r="K262" s="68"/>
      <c r="L262" s="70">
        <f>SUMIF(CD52:CD239, 4, BB52:BB239)</f>
        <v>0</v>
      </c>
    </row>
    <row r="263" spans="1:12" ht="14.25" hidden="1" x14ac:dyDescent="0.2">
      <c r="A263" s="85"/>
      <c r="B263" s="90"/>
      <c r="C263" s="91" t="s">
        <v>522</v>
      </c>
      <c r="D263" s="91"/>
      <c r="E263" s="91"/>
      <c r="F263" s="91"/>
      <c r="G263" s="91"/>
      <c r="H263" s="91"/>
      <c r="I263" s="70"/>
      <c r="J263" s="85"/>
      <c r="K263" s="68"/>
      <c r="L263" s="70">
        <f>SUMIF(CD52:CD239, 4, AR52:AR239)+SUMIF(CD52:CD239, 4, AT52:AT239)+SUMIF(CD52:CD239, 4, AV52:AV239)</f>
        <v>0</v>
      </c>
    </row>
    <row r="264" spans="1:12" ht="14.25" hidden="1" x14ac:dyDescent="0.2">
      <c r="A264" s="85"/>
      <c r="B264" s="90"/>
      <c r="C264" s="91" t="s">
        <v>523</v>
      </c>
      <c r="D264" s="91"/>
      <c r="E264" s="91"/>
      <c r="F264" s="91"/>
      <c r="G264" s="91"/>
      <c r="H264" s="91"/>
      <c r="I264" s="70"/>
      <c r="J264" s="85"/>
      <c r="K264" s="68"/>
      <c r="L264" s="70">
        <f>SUMIF(CD52:CD239, 4, AZ52:AZ239)</f>
        <v>0</v>
      </c>
    </row>
    <row r="265" spans="1:12" ht="14.25" hidden="1" x14ac:dyDescent="0.2">
      <c r="A265" s="85"/>
      <c r="B265" s="90"/>
      <c r="C265" s="91" t="s">
        <v>524</v>
      </c>
      <c r="D265" s="91"/>
      <c r="E265" s="91"/>
      <c r="F265" s="91"/>
      <c r="G265" s="91"/>
      <c r="H265" s="91"/>
      <c r="I265" s="70"/>
      <c r="J265" s="85"/>
      <c r="K265" s="68"/>
      <c r="L265" s="70">
        <f>SUMIF(CD52:CD239, 4, BA52:BA239)</f>
        <v>0</v>
      </c>
    </row>
    <row r="267" spans="1:12" ht="15" x14ac:dyDescent="0.2">
      <c r="A267" s="92"/>
      <c r="B267" s="93"/>
      <c r="C267" s="94" t="s">
        <v>535</v>
      </c>
      <c r="D267" s="94"/>
      <c r="E267" s="94"/>
      <c r="F267" s="94"/>
      <c r="G267" s="94"/>
      <c r="H267" s="94"/>
      <c r="I267" s="76"/>
      <c r="J267" s="92"/>
      <c r="K267" s="95"/>
      <c r="L267" s="76">
        <f>L196+L216+L236+L241</f>
        <v>128520.56000000001</v>
      </c>
    </row>
    <row r="268" spans="1:12" ht="14.25" x14ac:dyDescent="0.2">
      <c r="A268" s="85"/>
      <c r="B268" s="90"/>
      <c r="C268" s="101" t="s">
        <v>511</v>
      </c>
      <c r="D268" s="91"/>
      <c r="E268" s="91"/>
      <c r="F268" s="91"/>
      <c r="G268" s="91"/>
      <c r="H268" s="91"/>
      <c r="I268" s="70"/>
      <c r="J268" s="85"/>
      <c r="K268" s="68"/>
      <c r="L268" s="70"/>
    </row>
    <row r="269" spans="1:12" ht="14.25" x14ac:dyDescent="0.2">
      <c r="A269" s="85"/>
      <c r="B269" s="90"/>
      <c r="C269" s="91" t="s">
        <v>512</v>
      </c>
      <c r="D269" s="91"/>
      <c r="E269" s="91"/>
      <c r="F269" s="91"/>
      <c r="G269" s="91"/>
      <c r="H269" s="91"/>
      <c r="I269" s="70"/>
      <c r="J269" s="85"/>
      <c r="K269" s="68"/>
      <c r="L269" s="70">
        <f>L271+L272+L278+L282</f>
        <v>62193.240000000005</v>
      </c>
    </row>
    <row r="270" spans="1:12" ht="14.25" x14ac:dyDescent="0.2">
      <c r="A270" s="85"/>
      <c r="B270" s="90"/>
      <c r="C270" s="101" t="s">
        <v>511</v>
      </c>
      <c r="D270" s="91"/>
      <c r="E270" s="91"/>
      <c r="F270" s="91"/>
      <c r="G270" s="91"/>
      <c r="H270" s="91"/>
      <c r="I270" s="70"/>
      <c r="J270" s="85"/>
      <c r="K270" s="68"/>
      <c r="L270" s="70"/>
    </row>
    <row r="271" spans="1:12" ht="14.25" x14ac:dyDescent="0.2">
      <c r="A271" s="85"/>
      <c r="B271" s="90"/>
      <c r="C271" s="91" t="s">
        <v>513</v>
      </c>
      <c r="D271" s="91"/>
      <c r="E271" s="91"/>
      <c r="F271" s="91"/>
      <c r="G271" s="91"/>
      <c r="H271" s="91"/>
      <c r="I271" s="70"/>
      <c r="J271" s="85"/>
      <c r="K271" s="68"/>
      <c r="L271" s="70">
        <f>SUM(AR52:AR265)</f>
        <v>41789.83</v>
      </c>
    </row>
    <row r="272" spans="1:12" ht="14.25" hidden="1" x14ac:dyDescent="0.2">
      <c r="A272" s="85"/>
      <c r="B272" s="90"/>
      <c r="C272" s="91" t="s">
        <v>514</v>
      </c>
      <c r="D272" s="91"/>
      <c r="E272" s="91"/>
      <c r="F272" s="91"/>
      <c r="G272" s="91"/>
      <c r="H272" s="91"/>
      <c r="I272" s="70"/>
      <c r="J272" s="85"/>
      <c r="K272" s="68"/>
      <c r="L272" s="70">
        <f>L274+L277+L276</f>
        <v>1642.68</v>
      </c>
    </row>
    <row r="273" spans="1:12" ht="14.25" hidden="1" x14ac:dyDescent="0.2">
      <c r="A273" s="85"/>
      <c r="B273" s="90"/>
      <c r="C273" s="101" t="s">
        <v>515</v>
      </c>
      <c r="D273" s="91"/>
      <c r="E273" s="91"/>
      <c r="F273" s="91"/>
      <c r="G273" s="91"/>
      <c r="H273" s="91"/>
      <c r="I273" s="70"/>
      <c r="J273" s="85"/>
      <c r="K273" s="68"/>
      <c r="L273" s="70"/>
    </row>
    <row r="274" spans="1:12" ht="14.25" x14ac:dyDescent="0.2">
      <c r="A274" s="85"/>
      <c r="B274" s="90"/>
      <c r="C274" s="91" t="s">
        <v>514</v>
      </c>
      <c r="D274" s="91"/>
      <c r="E274" s="91"/>
      <c r="F274" s="91"/>
      <c r="G274" s="91"/>
      <c r="H274" s="91"/>
      <c r="I274" s="70"/>
      <c r="J274" s="85"/>
      <c r="K274" s="68"/>
      <c r="L274" s="70">
        <f>SUM(AO52:AO265)</f>
        <v>864.65000000000009</v>
      </c>
    </row>
    <row r="275" spans="1:12" ht="14.25" hidden="1" x14ac:dyDescent="0.2">
      <c r="A275" s="85"/>
      <c r="B275" s="90"/>
      <c r="C275" s="101" t="s">
        <v>516</v>
      </c>
      <c r="D275" s="91"/>
      <c r="E275" s="91"/>
      <c r="F275" s="91"/>
      <c r="G275" s="91"/>
      <c r="H275" s="91"/>
      <c r="I275" s="70"/>
      <c r="J275" s="85"/>
      <c r="K275" s="68"/>
      <c r="L275" s="70"/>
    </row>
    <row r="276" spans="1:12" ht="14.25" x14ac:dyDescent="0.2">
      <c r="A276" s="85"/>
      <c r="B276" s="90"/>
      <c r="C276" s="91" t="s">
        <v>525</v>
      </c>
      <c r="D276" s="91"/>
      <c r="E276" s="91"/>
      <c r="F276" s="91"/>
      <c r="G276" s="91"/>
      <c r="H276" s="91"/>
      <c r="I276" s="70"/>
      <c r="J276" s="85"/>
      <c r="K276" s="68"/>
      <c r="L276" s="70">
        <f>SUM(AT52:AT265)</f>
        <v>778.03</v>
      </c>
    </row>
    <row r="277" spans="1:12" ht="14.25" hidden="1" x14ac:dyDescent="0.2">
      <c r="A277" s="85"/>
      <c r="B277" s="90"/>
      <c r="C277" s="91" t="s">
        <v>517</v>
      </c>
      <c r="D277" s="91"/>
      <c r="E277" s="91"/>
      <c r="F277" s="91"/>
      <c r="G277" s="91"/>
      <c r="H277" s="91"/>
      <c r="I277" s="70"/>
      <c r="J277" s="85"/>
      <c r="K277" s="68"/>
      <c r="L277" s="70">
        <f>SUM(AV52:AV265)</f>
        <v>0</v>
      </c>
    </row>
    <row r="278" spans="1:12" ht="14.25" x14ac:dyDescent="0.2">
      <c r="A278" s="85"/>
      <c r="B278" s="90"/>
      <c r="C278" s="91" t="s">
        <v>518</v>
      </c>
      <c r="D278" s="91"/>
      <c r="E278" s="91"/>
      <c r="F278" s="91"/>
      <c r="G278" s="91"/>
      <c r="H278" s="91"/>
      <c r="I278" s="70"/>
      <c r="J278" s="85"/>
      <c r="K278" s="68"/>
      <c r="L278" s="70">
        <f>L280+L281</f>
        <v>18760.73</v>
      </c>
    </row>
    <row r="279" spans="1:12" ht="14.25" x14ac:dyDescent="0.2">
      <c r="A279" s="85"/>
      <c r="B279" s="90"/>
      <c r="C279" s="101" t="s">
        <v>515</v>
      </c>
      <c r="D279" s="91"/>
      <c r="E279" s="91"/>
      <c r="F279" s="91"/>
      <c r="G279" s="91"/>
      <c r="H279" s="91"/>
      <c r="I279" s="70"/>
      <c r="J279" s="85"/>
      <c r="K279" s="68"/>
      <c r="L279" s="70"/>
    </row>
    <row r="280" spans="1:12" ht="14.25" x14ac:dyDescent="0.2">
      <c r="A280" s="85"/>
      <c r="B280" s="90"/>
      <c r="C280" s="91" t="s">
        <v>519</v>
      </c>
      <c r="D280" s="91"/>
      <c r="E280" s="91"/>
      <c r="F280" s="91"/>
      <c r="G280" s="91"/>
      <c r="H280" s="91"/>
      <c r="I280" s="70"/>
      <c r="J280" s="85"/>
      <c r="K280" s="68"/>
      <c r="L280" s="70">
        <f>SUM(AW52:AW265)-SUM(BK52:BK265)</f>
        <v>18760.73</v>
      </c>
    </row>
    <row r="281" spans="1:12" ht="14.25" hidden="1" x14ac:dyDescent="0.2">
      <c r="A281" s="85"/>
      <c r="B281" s="90"/>
      <c r="C281" s="91" t="s">
        <v>520</v>
      </c>
      <c r="D281" s="91"/>
      <c r="E281" s="91"/>
      <c r="F281" s="91"/>
      <c r="G281" s="91"/>
      <c r="H281" s="91"/>
      <c r="I281" s="70"/>
      <c r="J281" s="85"/>
      <c r="K281" s="68"/>
      <c r="L281" s="70">
        <f>SUM(BC52:BC265)</f>
        <v>0</v>
      </c>
    </row>
    <row r="282" spans="1:12" ht="14.25" hidden="1" x14ac:dyDescent="0.2">
      <c r="A282" s="85"/>
      <c r="B282" s="90"/>
      <c r="C282" s="91" t="s">
        <v>521</v>
      </c>
      <c r="D282" s="91"/>
      <c r="E282" s="91"/>
      <c r="F282" s="91"/>
      <c r="G282" s="91"/>
      <c r="H282" s="91"/>
      <c r="I282" s="70"/>
      <c r="J282" s="85"/>
      <c r="K282" s="68"/>
      <c r="L282" s="70">
        <f>SUM(BB52:BB265)</f>
        <v>0</v>
      </c>
    </row>
    <row r="283" spans="1:12" ht="14.25" x14ac:dyDescent="0.2">
      <c r="A283" s="85"/>
      <c r="B283" s="90"/>
      <c r="C283" s="91" t="s">
        <v>536</v>
      </c>
      <c r="D283" s="91"/>
      <c r="E283" s="91"/>
      <c r="F283" s="91"/>
      <c r="G283" s="91"/>
      <c r="H283" s="91"/>
      <c r="I283" s="70"/>
      <c r="J283" s="85"/>
      <c r="K283" s="68"/>
      <c r="L283" s="70">
        <f>SUM(AR52:AR265)+SUM(AT52:AT265)+SUM(AV52:AV265)</f>
        <v>42567.86</v>
      </c>
    </row>
    <row r="284" spans="1:12" ht="14.25" x14ac:dyDescent="0.2">
      <c r="A284" s="85"/>
      <c r="B284" s="90"/>
      <c r="C284" s="91" t="s">
        <v>537</v>
      </c>
      <c r="D284" s="91"/>
      <c r="E284" s="91"/>
      <c r="F284" s="91"/>
      <c r="G284" s="91"/>
      <c r="H284" s="91"/>
      <c r="I284" s="70"/>
      <c r="J284" s="85"/>
      <c r="K284" s="68"/>
      <c r="L284" s="70">
        <f>SUM(AZ52:AZ265)</f>
        <v>43036.990000000005</v>
      </c>
    </row>
    <row r="285" spans="1:12" ht="14.25" x14ac:dyDescent="0.2">
      <c r="A285" s="85"/>
      <c r="B285" s="90"/>
      <c r="C285" s="91" t="s">
        <v>538</v>
      </c>
      <c r="D285" s="91"/>
      <c r="E285" s="91"/>
      <c r="F285" s="91"/>
      <c r="G285" s="91"/>
      <c r="H285" s="91"/>
      <c r="I285" s="70"/>
      <c r="J285" s="85"/>
      <c r="K285" s="68"/>
      <c r="L285" s="70">
        <f>SUM(BA52:BA265)</f>
        <v>23290.33</v>
      </c>
    </row>
    <row r="286" spans="1:12" ht="14.25" hidden="1" x14ac:dyDescent="0.2">
      <c r="A286" s="85"/>
      <c r="B286" s="90"/>
      <c r="C286" s="91" t="s">
        <v>539</v>
      </c>
      <c r="D286" s="91"/>
      <c r="E286" s="91"/>
      <c r="F286" s="91"/>
      <c r="G286" s="91"/>
      <c r="H286" s="91"/>
      <c r="I286" s="70"/>
      <c r="J286" s="85"/>
      <c r="K286" s="68"/>
      <c r="L286" s="70">
        <f>L288+L289</f>
        <v>0</v>
      </c>
    </row>
    <row r="287" spans="1:12" ht="14.25" hidden="1" x14ac:dyDescent="0.2">
      <c r="A287" s="85"/>
      <c r="B287" s="90"/>
      <c r="C287" s="101" t="s">
        <v>511</v>
      </c>
      <c r="D287" s="91"/>
      <c r="E287" s="91"/>
      <c r="F287" s="91"/>
      <c r="G287" s="91"/>
      <c r="H287" s="91"/>
      <c r="I287" s="70"/>
      <c r="J287" s="85"/>
      <c r="K287" s="68"/>
      <c r="L287" s="70"/>
    </row>
    <row r="288" spans="1:12" ht="14.25" hidden="1" x14ac:dyDescent="0.2">
      <c r="A288" s="85"/>
      <c r="B288" s="90"/>
      <c r="C288" s="91" t="s">
        <v>528</v>
      </c>
      <c r="D288" s="91"/>
      <c r="E288" s="91"/>
      <c r="F288" s="91"/>
      <c r="G288" s="91"/>
      <c r="H288" s="91"/>
      <c r="I288" s="70"/>
      <c r="J288" s="85"/>
      <c r="K288" s="68"/>
      <c r="L288" s="70">
        <f>SUM(BK52:BK265)</f>
        <v>0</v>
      </c>
    </row>
    <row r="289" spans="1:12" ht="14.25" hidden="1" x14ac:dyDescent="0.2">
      <c r="A289" s="85"/>
      <c r="B289" s="90"/>
      <c r="C289" s="91" t="s">
        <v>529</v>
      </c>
      <c r="D289" s="91"/>
      <c r="E289" s="91"/>
      <c r="F289" s="91"/>
      <c r="G289" s="91"/>
      <c r="H289" s="91"/>
      <c r="I289" s="70"/>
      <c r="J289" s="85"/>
      <c r="K289" s="68"/>
      <c r="L289" s="70">
        <f>SUM(BD52:BD265)</f>
        <v>0</v>
      </c>
    </row>
    <row r="290" spans="1:12" ht="14.25" hidden="1" x14ac:dyDescent="0.2">
      <c r="A290" s="85"/>
      <c r="B290" s="90"/>
      <c r="C290" s="91" t="s">
        <v>540</v>
      </c>
      <c r="D290" s="91"/>
      <c r="E290" s="91"/>
      <c r="F290" s="91"/>
      <c r="G290" s="91"/>
      <c r="H290" s="91"/>
      <c r="I290" s="70"/>
      <c r="J290" s="85"/>
      <c r="K290" s="68"/>
      <c r="L290" s="70">
        <f>L241</f>
        <v>0</v>
      </c>
    </row>
    <row r="291" spans="1:12" ht="14.25" x14ac:dyDescent="0.2">
      <c r="A291" s="85"/>
      <c r="B291" s="90"/>
      <c r="C291" s="94" t="s">
        <v>541</v>
      </c>
      <c r="D291" s="91"/>
      <c r="E291" s="91"/>
      <c r="F291" s="91"/>
      <c r="G291" s="91"/>
      <c r="H291" s="91"/>
      <c r="I291" s="70"/>
      <c r="J291" s="85"/>
      <c r="K291" s="68"/>
      <c r="L291" s="70"/>
    </row>
    <row r="292" spans="1:12" ht="14.25" hidden="1" x14ac:dyDescent="0.2">
      <c r="A292" s="85"/>
      <c r="B292" s="90"/>
      <c r="C292" s="91" t="s">
        <v>542</v>
      </c>
      <c r="D292" s="91"/>
      <c r="E292" s="91"/>
      <c r="F292" s="91"/>
      <c r="G292" s="91"/>
      <c r="H292" s="91"/>
      <c r="I292" s="70"/>
      <c r="J292" s="85"/>
      <c r="K292" s="68"/>
      <c r="L292" s="70">
        <f>SUM(AX52:AX265)</f>
        <v>0</v>
      </c>
    </row>
    <row r="293" spans="1:12" ht="14.25" hidden="1" x14ac:dyDescent="0.2">
      <c r="A293" s="85"/>
      <c r="B293" s="90"/>
      <c r="C293" s="91" t="s">
        <v>543</v>
      </c>
      <c r="D293" s="91"/>
      <c r="E293" s="91"/>
      <c r="F293" s="91"/>
      <c r="G293" s="91"/>
      <c r="H293" s="91"/>
      <c r="I293" s="70"/>
      <c r="J293" s="85"/>
      <c r="K293" s="68"/>
      <c r="L293" s="70">
        <f>SUM(AY52:AY265)</f>
        <v>0</v>
      </c>
    </row>
    <row r="294" spans="1:12" ht="14.25" x14ac:dyDescent="0.2">
      <c r="A294" s="85"/>
      <c r="B294" s="90"/>
      <c r="C294" s="91" t="s">
        <v>544</v>
      </c>
      <c r="D294" s="91"/>
      <c r="E294" s="91"/>
      <c r="F294" s="102"/>
      <c r="G294" s="75">
        <f>Source!F85</f>
        <v>56.871787500000003</v>
      </c>
      <c r="H294" s="85"/>
      <c r="I294" s="85"/>
      <c r="J294" s="85"/>
      <c r="K294" s="85"/>
      <c r="L294" s="85"/>
    </row>
    <row r="295" spans="1:12" ht="14.25" x14ac:dyDescent="0.2">
      <c r="A295" s="85"/>
      <c r="B295" s="90"/>
      <c r="C295" s="91" t="s">
        <v>545</v>
      </c>
      <c r="D295" s="91"/>
      <c r="E295" s="91"/>
      <c r="F295" s="102"/>
      <c r="G295" s="75">
        <f>Source!F86</f>
        <v>1.0361251</v>
      </c>
      <c r="H295" s="85"/>
      <c r="I295" s="85"/>
      <c r="J295" s="85"/>
      <c r="K295" s="85"/>
      <c r="L295" s="85"/>
    </row>
    <row r="297" spans="1:12" ht="14.25" x14ac:dyDescent="0.2">
      <c r="C297" s="103" t="str">
        <f>Source!H92</f>
        <v>Всего</v>
      </c>
      <c r="D297" s="103"/>
      <c r="E297" s="103"/>
      <c r="F297" s="103"/>
      <c r="G297" s="103"/>
      <c r="H297" s="103"/>
      <c r="I297" s="103"/>
      <c r="J297" s="103"/>
      <c r="K297" s="103"/>
      <c r="L297" s="83">
        <f>IF(Source!Y92=0, "", Source!Y92)</f>
        <v>128520.56</v>
      </c>
    </row>
    <row r="298" spans="1:12" ht="14.25" x14ac:dyDescent="0.2">
      <c r="C298" s="103" t="str">
        <f>Source!H93</f>
        <v>НДС 22 %</v>
      </c>
      <c r="D298" s="103"/>
      <c r="E298" s="103"/>
      <c r="F298" s="103"/>
      <c r="G298" s="103"/>
      <c r="H298" s="103"/>
      <c r="I298" s="103"/>
      <c r="J298" s="103"/>
      <c r="K298" s="103"/>
      <c r="L298" s="83">
        <f>IF(Source!Y93=0, "", Source!Y93)</f>
        <v>28274.52</v>
      </c>
    </row>
    <row r="299" spans="1:12" ht="15" x14ac:dyDescent="0.25">
      <c r="C299" s="130" t="str">
        <f>Source!H94</f>
        <v>Всего с НДС</v>
      </c>
      <c r="D299" s="130"/>
      <c r="E299" s="130"/>
      <c r="F299" s="130"/>
      <c r="G299" s="130"/>
      <c r="H299" s="130"/>
      <c r="I299" s="130"/>
      <c r="J299" s="130"/>
      <c r="K299" s="130"/>
      <c r="L299" s="131">
        <f>IF(Source!Y94=0, "", Source!Y94)</f>
        <v>156795.07999999999</v>
      </c>
    </row>
    <row r="302" spans="1:12" ht="14.25" customHeight="1" x14ac:dyDescent="0.2">
      <c r="A302" s="109"/>
      <c r="B302" s="110" t="s">
        <v>546</v>
      </c>
      <c r="C302" s="112" t="str">
        <f>IF(Source!AC12&lt;&gt;"", Source!AC12," ")</f>
        <v xml:space="preserve"> </v>
      </c>
      <c r="D302" s="44"/>
      <c r="E302" s="44"/>
      <c r="F302" s="44"/>
      <c r="G302" s="44"/>
      <c r="H302" s="111" t="str">
        <f>IF(Source!AB12&lt;&gt;"", Source!AB12," ")</f>
        <v xml:space="preserve"> </v>
      </c>
      <c r="I302" s="32"/>
      <c r="J302" s="32"/>
      <c r="K302" s="60"/>
      <c r="L302" s="60"/>
    </row>
    <row r="303" spans="1:12" ht="14.25" customHeight="1" x14ac:dyDescent="0.2">
      <c r="A303" s="109"/>
      <c r="B303" s="113"/>
      <c r="C303" s="114" t="s">
        <v>547</v>
      </c>
      <c r="D303" s="114"/>
      <c r="E303" s="114"/>
      <c r="F303" s="114"/>
      <c r="G303" s="114"/>
      <c r="H303" s="32"/>
      <c r="I303" s="32"/>
      <c r="J303" s="32"/>
      <c r="K303" s="60"/>
      <c r="L303" s="60"/>
    </row>
    <row r="304" spans="1:12" ht="14.25" customHeight="1" x14ac:dyDescent="0.2">
      <c r="A304" s="109"/>
      <c r="B304" s="113"/>
      <c r="C304" s="27"/>
      <c r="D304" s="27"/>
      <c r="E304" s="27"/>
      <c r="F304" s="27"/>
      <c r="G304" s="27"/>
      <c r="H304" s="32"/>
      <c r="I304" s="32"/>
      <c r="J304" s="32"/>
      <c r="K304" s="60"/>
      <c r="L304" s="60"/>
    </row>
    <row r="305" spans="1:12" ht="14.25" customHeight="1" x14ac:dyDescent="0.2">
      <c r="A305" s="109"/>
      <c r="B305" s="110" t="s">
        <v>548</v>
      </c>
      <c r="C305" s="112" t="str">
        <f>IF(Source!AE12&lt;&gt;"", Source!AE12," ")</f>
        <v xml:space="preserve"> </v>
      </c>
      <c r="D305" s="44"/>
      <c r="E305" s="44"/>
      <c r="F305" s="44"/>
      <c r="G305" s="44"/>
      <c r="H305" s="111" t="str">
        <f>IF(Source!AD12&lt;&gt;"", Source!AD12," ")</f>
        <v xml:space="preserve"> </v>
      </c>
      <c r="I305" s="32"/>
      <c r="J305" s="32"/>
      <c r="K305" s="60"/>
      <c r="L305" s="60"/>
    </row>
    <row r="306" spans="1:12" ht="14.25" customHeight="1" x14ac:dyDescent="0.2">
      <c r="A306" s="27"/>
      <c r="B306" s="27"/>
      <c r="C306" s="114" t="s">
        <v>547</v>
      </c>
      <c r="D306" s="114"/>
      <c r="E306" s="114"/>
      <c r="F306" s="114"/>
      <c r="G306" s="114"/>
      <c r="H306" s="32"/>
      <c r="I306" s="32"/>
      <c r="J306" s="32"/>
      <c r="K306" s="60"/>
      <c r="L306" s="60"/>
    </row>
  </sheetData>
  <mergeCells count="170">
    <mergeCell ref="C295:F295"/>
    <mergeCell ref="C297:K297"/>
    <mergeCell ref="C298:K298"/>
    <mergeCell ref="C299:K299"/>
    <mergeCell ref="C303:G303"/>
    <mergeCell ref="C306:G306"/>
    <mergeCell ref="C289:H289"/>
    <mergeCell ref="C290:H290"/>
    <mergeCell ref="C291:H291"/>
    <mergeCell ref="C292:H292"/>
    <mergeCell ref="C293:H293"/>
    <mergeCell ref="C294:F294"/>
    <mergeCell ref="C283:H283"/>
    <mergeCell ref="C284:H284"/>
    <mergeCell ref="C285:H285"/>
    <mergeCell ref="C286:H286"/>
    <mergeCell ref="C287:H287"/>
    <mergeCell ref="C288:H288"/>
    <mergeCell ref="C277:H277"/>
    <mergeCell ref="C278:H278"/>
    <mergeCell ref="C279:H279"/>
    <mergeCell ref="C280:H280"/>
    <mergeCell ref="C281:H281"/>
    <mergeCell ref="C282:H282"/>
    <mergeCell ref="C271:H271"/>
    <mergeCell ref="C272:H272"/>
    <mergeCell ref="C273:H273"/>
    <mergeCell ref="C274:H274"/>
    <mergeCell ref="C275:H275"/>
    <mergeCell ref="C276:H276"/>
    <mergeCell ref="C264:H264"/>
    <mergeCell ref="C265:H265"/>
    <mergeCell ref="C267:H267"/>
    <mergeCell ref="C268:H268"/>
    <mergeCell ref="C269:H269"/>
    <mergeCell ref="C270:H270"/>
    <mergeCell ref="C258:H258"/>
    <mergeCell ref="C259:H259"/>
    <mergeCell ref="C260:H260"/>
    <mergeCell ref="C261:H261"/>
    <mergeCell ref="C262:H262"/>
    <mergeCell ref="C263:H263"/>
    <mergeCell ref="C252:H252"/>
    <mergeCell ref="C253:H253"/>
    <mergeCell ref="C254:H254"/>
    <mergeCell ref="C255:H255"/>
    <mergeCell ref="C256:H256"/>
    <mergeCell ref="C257:H257"/>
    <mergeCell ref="C246:H246"/>
    <mergeCell ref="C247:H247"/>
    <mergeCell ref="C248:H248"/>
    <mergeCell ref="C249:H249"/>
    <mergeCell ref="C250:H250"/>
    <mergeCell ref="C251:H251"/>
    <mergeCell ref="C239:H239"/>
    <mergeCell ref="C241:H241"/>
    <mergeCell ref="C242:H242"/>
    <mergeCell ref="C243:H243"/>
    <mergeCell ref="C244:H244"/>
    <mergeCell ref="C245:H245"/>
    <mergeCell ref="C232:H232"/>
    <mergeCell ref="C233:H233"/>
    <mergeCell ref="C234:H234"/>
    <mergeCell ref="C236:H236"/>
    <mergeCell ref="C237:H237"/>
    <mergeCell ref="C238:H238"/>
    <mergeCell ref="C226:H226"/>
    <mergeCell ref="C227:H227"/>
    <mergeCell ref="C228:H228"/>
    <mergeCell ref="C229:H229"/>
    <mergeCell ref="C230:H230"/>
    <mergeCell ref="C231:H231"/>
    <mergeCell ref="C220:H220"/>
    <mergeCell ref="C221:H221"/>
    <mergeCell ref="C222:H222"/>
    <mergeCell ref="C223:H223"/>
    <mergeCell ref="C224:H224"/>
    <mergeCell ref="C225:H225"/>
    <mergeCell ref="C213:H213"/>
    <mergeCell ref="C214:H214"/>
    <mergeCell ref="C216:H216"/>
    <mergeCell ref="C217:H217"/>
    <mergeCell ref="C218:H218"/>
    <mergeCell ref="C219:H219"/>
    <mergeCell ref="C207:H207"/>
    <mergeCell ref="C208:H208"/>
    <mergeCell ref="C209:H209"/>
    <mergeCell ref="C210:H210"/>
    <mergeCell ref="C211:H211"/>
    <mergeCell ref="C212:H212"/>
    <mergeCell ref="C201:H201"/>
    <mergeCell ref="C202:H202"/>
    <mergeCell ref="C203:H203"/>
    <mergeCell ref="C204:H204"/>
    <mergeCell ref="C205:H205"/>
    <mergeCell ref="C206:H206"/>
    <mergeCell ref="C194:H194"/>
    <mergeCell ref="C196:H196"/>
    <mergeCell ref="C197:H197"/>
    <mergeCell ref="C198:H198"/>
    <mergeCell ref="C199:H199"/>
    <mergeCell ref="C200:H200"/>
    <mergeCell ref="C169:L169"/>
    <mergeCell ref="C170:L170"/>
    <mergeCell ref="C171:F171"/>
    <mergeCell ref="C192:H192"/>
    <mergeCell ref="I192:J192"/>
    <mergeCell ref="K192:L192"/>
    <mergeCell ref="C146:L146"/>
    <mergeCell ref="C147:L147"/>
    <mergeCell ref="C148:F148"/>
    <mergeCell ref="C167:H167"/>
    <mergeCell ref="I167:J167"/>
    <mergeCell ref="K167:L167"/>
    <mergeCell ref="C113:L113"/>
    <mergeCell ref="C114:L114"/>
    <mergeCell ref="C115:F115"/>
    <mergeCell ref="C144:H144"/>
    <mergeCell ref="I144:J144"/>
    <mergeCell ref="K144:L144"/>
    <mergeCell ref="C71:F71"/>
    <mergeCell ref="C95:H95"/>
    <mergeCell ref="I95:J95"/>
    <mergeCell ref="K95:L95"/>
    <mergeCell ref="C97:L97"/>
    <mergeCell ref="C111:H111"/>
    <mergeCell ref="I111:J111"/>
    <mergeCell ref="K111:L111"/>
    <mergeCell ref="C53:L53"/>
    <mergeCell ref="C67:H67"/>
    <mergeCell ref="I67:J67"/>
    <mergeCell ref="K67:L67"/>
    <mergeCell ref="C69:L69"/>
    <mergeCell ref="C70:L70"/>
    <mergeCell ref="A46:A50"/>
    <mergeCell ref="B46:B50"/>
    <mergeCell ref="C46:C50"/>
    <mergeCell ref="D46:D50"/>
    <mergeCell ref="E46:G49"/>
    <mergeCell ref="H46:L49"/>
    <mergeCell ref="C34:L34"/>
    <mergeCell ref="C38:D38"/>
    <mergeCell ref="C41:D41"/>
    <mergeCell ref="C42:D42"/>
    <mergeCell ref="C43:D43"/>
    <mergeCell ref="C44:D44"/>
    <mergeCell ref="A22:L22"/>
    <mergeCell ref="A23:L23"/>
    <mergeCell ref="A25:L25"/>
    <mergeCell ref="A27:L27"/>
    <mergeCell ref="A28:L28"/>
    <mergeCell ref="C33:L33"/>
    <mergeCell ref="A14:E14"/>
    <mergeCell ref="F14:L14"/>
    <mergeCell ref="A16:E16"/>
    <mergeCell ref="F16:L16"/>
    <mergeCell ref="A19:L19"/>
    <mergeCell ref="A20:L20"/>
    <mergeCell ref="A8:E8"/>
    <mergeCell ref="F8:L8"/>
    <mergeCell ref="A10:E10"/>
    <mergeCell ref="F10:L10"/>
    <mergeCell ref="A12:E12"/>
    <mergeCell ref="F12:L12"/>
    <mergeCell ref="A2:E2"/>
    <mergeCell ref="F2:L2"/>
    <mergeCell ref="A4:E4"/>
    <mergeCell ref="F4:L4"/>
    <mergeCell ref="A6:E6"/>
    <mergeCell ref="F6:L6"/>
  </mergeCells>
  <pageMargins left="0.4" right="0.2" top="0.2" bottom="0.4" header="0.2" footer="0.2"/>
  <pageSetup paperSize="9" scale="49" fitToHeight="0" orientation="portrait" r:id="rId1"/>
  <headerFooter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zoomScaleNormal="100" workbookViewId="0"/>
  </sheetViews>
  <sheetFormatPr defaultRowHeight="12.75" x14ac:dyDescent="0.2"/>
  <cols>
    <col min="1" max="2" width="6.7109375" customWidth="1"/>
    <col min="3" max="3" width="75.7109375" customWidth="1"/>
    <col min="4" max="8" width="15.7109375" customWidth="1"/>
    <col min="30" max="32" width="0" hidden="1" customWidth="1"/>
  </cols>
  <sheetData>
    <row r="1" spans="1:8" x14ac:dyDescent="0.2">
      <c r="A1" s="14" t="str">
        <f>Source!B1</f>
        <v>Smeta.RU Flash  (495) 974-1589</v>
      </c>
    </row>
    <row r="2" spans="1:8" ht="14.25" x14ac:dyDescent="0.2">
      <c r="D2" s="63"/>
      <c r="E2" s="63"/>
    </row>
    <row r="3" spans="1:8" ht="15" x14ac:dyDescent="0.25">
      <c r="D3" s="63"/>
      <c r="E3" s="115" t="s">
        <v>549</v>
      </c>
    </row>
    <row r="4" spans="1:8" ht="15" x14ac:dyDescent="0.25">
      <c r="D4" s="115"/>
      <c r="E4" s="115"/>
    </row>
    <row r="5" spans="1:8" ht="15" x14ac:dyDescent="0.25">
      <c r="D5" s="116" t="s">
        <v>550</v>
      </c>
      <c r="E5" s="116"/>
    </row>
    <row r="6" spans="1:8" ht="15" x14ac:dyDescent="0.25">
      <c r="D6" s="117"/>
      <c r="E6" s="117"/>
    </row>
    <row r="7" spans="1:8" ht="15" x14ac:dyDescent="0.25">
      <c r="D7" s="116" t="s">
        <v>550</v>
      </c>
      <c r="E7" s="116"/>
    </row>
    <row r="8" spans="1:8" ht="15" x14ac:dyDescent="0.25">
      <c r="D8" s="117"/>
      <c r="E8" s="117"/>
    </row>
    <row r="9" spans="1:8" ht="15" x14ac:dyDescent="0.25">
      <c r="D9" s="115" t="s">
        <v>551</v>
      </c>
      <c r="E9" s="63"/>
    </row>
    <row r="10" spans="1:8" ht="14.25" x14ac:dyDescent="0.2">
      <c r="D10" s="63"/>
      <c r="E10" s="63"/>
    </row>
    <row r="12" spans="1:8" ht="15.75" x14ac:dyDescent="0.2">
      <c r="B12" s="118" t="str">
        <f>CONCATENATE("Ведомость объемов работ ", IF(Source!AN15&lt;&gt;"", Source!AN15," "))</f>
        <v xml:space="preserve">Ведомость объемов работ  </v>
      </c>
      <c r="C12" s="118"/>
      <c r="D12" s="118"/>
      <c r="E12" s="118"/>
    </row>
    <row r="13" spans="1:8" ht="15" x14ac:dyDescent="0.2">
      <c r="B13" s="119" t="str">
        <f>Source!G12</f>
        <v>Аварийный ремонт труб ЦО в ХК</v>
      </c>
      <c r="C13" s="119"/>
      <c r="D13" s="119"/>
      <c r="E13" s="119"/>
    </row>
    <row r="14" spans="1:8" hidden="1" x14ac:dyDescent="0.2"/>
    <row r="16" spans="1:8" ht="99.75" x14ac:dyDescent="0.2">
      <c r="A16" s="121" t="s">
        <v>454</v>
      </c>
      <c r="B16" s="121" t="s">
        <v>552</v>
      </c>
      <c r="C16" s="121" t="s">
        <v>456</v>
      </c>
      <c r="D16" s="121" t="s">
        <v>457</v>
      </c>
      <c r="E16" s="121" t="s">
        <v>458</v>
      </c>
      <c r="F16" s="121" t="s">
        <v>553</v>
      </c>
      <c r="G16" s="121" t="s">
        <v>554</v>
      </c>
      <c r="H16" s="121" t="s">
        <v>555</v>
      </c>
    </row>
    <row r="17" spans="1:8" ht="14.25" x14ac:dyDescent="0.2">
      <c r="A17" s="121">
        <v>1</v>
      </c>
      <c r="B17" s="121">
        <v>2</v>
      </c>
      <c r="C17" s="121">
        <v>3</v>
      </c>
      <c r="D17" s="121">
        <v>4</v>
      </c>
      <c r="E17" s="121">
        <v>5</v>
      </c>
      <c r="F17" s="121">
        <v>6</v>
      </c>
      <c r="G17" s="121">
        <v>7</v>
      </c>
      <c r="H17" s="121">
        <v>8</v>
      </c>
    </row>
    <row r="18" spans="1:8" ht="16.5" x14ac:dyDescent="0.25">
      <c r="A18" s="122" t="str">
        <f>CONCATENATE("Локальная смета: ", Source!G20)</f>
        <v>Локальная смета: Аварийный ремонт труб ЦО в ХК</v>
      </c>
      <c r="B18" s="122"/>
      <c r="C18" s="122"/>
      <c r="D18" s="122"/>
      <c r="E18" s="122"/>
      <c r="F18" s="122"/>
      <c r="G18" s="122"/>
      <c r="H18" s="122"/>
    </row>
    <row r="19" spans="1:8" ht="28.5" x14ac:dyDescent="0.2">
      <c r="A19" s="121">
        <v>1</v>
      </c>
      <c r="B19" s="121" t="str">
        <f>Source!E24</f>
        <v>1</v>
      </c>
      <c r="C19" s="125" t="str">
        <f>Source!G24</f>
        <v>Разборка трубопроводов из водогазопроводных труб в зданиях и сооружениях на сварке диаметром: до 50 мм</v>
      </c>
      <c r="D19" s="121" t="s">
        <v>17</v>
      </c>
      <c r="E19" s="126">
        <f>Source!I24</f>
        <v>0.15</v>
      </c>
      <c r="F19" s="121" t="str">
        <f>Source!J20</f>
        <v/>
      </c>
      <c r="G19" s="121" t="str">
        <f>"=15/"&amp;"100"</f>
        <v>=15/100</v>
      </c>
      <c r="H19" s="125"/>
    </row>
    <row r="20" spans="1:8" ht="28.5" x14ac:dyDescent="0.2">
      <c r="A20" s="121">
        <v>2</v>
      </c>
      <c r="B20" s="121" t="str">
        <f>Source!E25</f>
        <v>2</v>
      </c>
      <c r="C20" s="125" t="str">
        <f>Source!G25</f>
        <v>Врезка в действующие внутренние сети трубопроводов отопления и водоснабжения диаметром: 50 мм</v>
      </c>
      <c r="D20" s="121" t="s">
        <v>30</v>
      </c>
      <c r="E20" s="126">
        <f>Source!I25</f>
        <v>2</v>
      </c>
      <c r="F20" s="121" t="str">
        <f>Source!J20</f>
        <v/>
      </c>
      <c r="G20" s="121">
        <f>Source!I25</f>
        <v>2</v>
      </c>
      <c r="H20" s="125"/>
    </row>
    <row r="21" spans="1:8" ht="14.25" x14ac:dyDescent="0.2">
      <c r="A21" s="121">
        <v>2.1</v>
      </c>
      <c r="B21" s="121" t="str">
        <f>Source!E26</f>
        <v>2,1</v>
      </c>
      <c r="C21" s="125" t="str">
        <f>Source!G26</f>
        <v>Арматура трубопроводная фланцевая</v>
      </c>
      <c r="D21" s="121" t="s">
        <v>30</v>
      </c>
      <c r="E21" s="126">
        <f>Source!I26</f>
        <v>2</v>
      </c>
      <c r="F21" s="121" t="str">
        <f>Source!J20</f>
        <v/>
      </c>
      <c r="G21" s="121"/>
      <c r="H21" s="125"/>
    </row>
    <row r="22" spans="1:8" ht="14.25" x14ac:dyDescent="0.2">
      <c r="A22" s="121">
        <v>2.2000000000000002</v>
      </c>
      <c r="B22" s="121" t="str">
        <f>Source!E27</f>
        <v>2,2</v>
      </c>
      <c r="C22" s="125" t="str">
        <f>Source!G27</f>
        <v>Фланцы стальные</v>
      </c>
      <c r="D22" s="121" t="s">
        <v>30</v>
      </c>
      <c r="E22" s="126">
        <f>Source!I27</f>
        <v>2</v>
      </c>
      <c r="F22" s="121" t="str">
        <f>Source!J20</f>
        <v/>
      </c>
      <c r="G22" s="121"/>
      <c r="H22" s="125"/>
    </row>
    <row r="23" spans="1:8" ht="42.75" x14ac:dyDescent="0.2">
      <c r="A23" s="121">
        <v>3</v>
      </c>
      <c r="B23" s="121" t="str">
        <f>Source!E38</f>
        <v>3</v>
      </c>
      <c r="C23" s="125" t="str">
        <f>Source!G38</f>
        <v>Сверление отверстий в строительных конструкциях из кирпича установками алмазного сверления, диаметр кольцевого алмазного сверла: 60 мм</v>
      </c>
      <c r="D23" s="121" t="s">
        <v>72</v>
      </c>
      <c r="E23" s="126">
        <f>Source!I38</f>
        <v>1</v>
      </c>
      <c r="F23" s="121" t="str">
        <f>Source!J20</f>
        <v/>
      </c>
      <c r="G23" s="121">
        <f>Source!I38</f>
        <v>1</v>
      </c>
      <c r="H23" s="125"/>
    </row>
    <row r="24" spans="1:8" ht="14.25" x14ac:dyDescent="0.2">
      <c r="A24" s="121">
        <v>3.1</v>
      </c>
      <c r="B24" s="121" t="str">
        <f>Source!E39</f>
        <v>3,1</v>
      </c>
      <c r="C24" s="125" t="str">
        <f>Source!G39</f>
        <v>Сверло кольцевое алмазное, диаметр 60 мм</v>
      </c>
      <c r="D24" s="121" t="s">
        <v>30</v>
      </c>
      <c r="E24" s="126">
        <f>Source!I39</f>
        <v>6.5000000000000002E-2</v>
      </c>
      <c r="F24" s="121" t="str">
        <f>Source!J20</f>
        <v/>
      </c>
      <c r="G24" s="121"/>
      <c r="H24" s="125"/>
    </row>
    <row r="25" spans="1:8" ht="28.5" x14ac:dyDescent="0.2">
      <c r="A25" s="121">
        <v>4</v>
      </c>
      <c r="B25" s="121" t="str">
        <f>Source!E44</f>
        <v>4</v>
      </c>
      <c r="C25" s="125" t="str">
        <f>Source!G44</f>
        <v>Прокладка трубопроводов отопления и газоснабжения из стальных бесшовных труб диаметром: 50 мм</v>
      </c>
      <c r="D25" s="121" t="s">
        <v>17</v>
      </c>
      <c r="E25" s="126">
        <f>Source!I44</f>
        <v>0.15</v>
      </c>
      <c r="F25" s="121" t="str">
        <f>Source!J20</f>
        <v/>
      </c>
      <c r="G25" s="121" t="str">
        <f>"=15/"&amp;"100"</f>
        <v>=15/100</v>
      </c>
      <c r="H25" s="125"/>
    </row>
    <row r="26" spans="1:8" ht="42.75" x14ac:dyDescent="0.2">
      <c r="A26" s="121">
        <v>4.0999999999999996</v>
      </c>
      <c r="B26" s="121" t="str">
        <f>Source!E45</f>
        <v>4,1</v>
      </c>
      <c r="C26" s="125" t="str">
        <f>Source!G45</f>
        <v>Трубы стальные сварные оцинкованные водогазопроводные без резьбы, обыкновенные, номинальный диаметр 50 мм, толщина стенки 3,5 мм</v>
      </c>
      <c r="D26" s="121" t="s">
        <v>72</v>
      </c>
      <c r="E26" s="126">
        <f>Source!I45</f>
        <v>15</v>
      </c>
      <c r="F26" s="121" t="str">
        <f>Source!J20</f>
        <v/>
      </c>
      <c r="G26" s="121"/>
      <c r="H26" s="125"/>
    </row>
    <row r="27" spans="1:8" ht="42.75" x14ac:dyDescent="0.2">
      <c r="A27" s="121">
        <v>4.2</v>
      </c>
      <c r="B27" s="121" t="str">
        <f>Source!E46</f>
        <v>4,2</v>
      </c>
      <c r="C27" s="125" t="str">
        <f>Source!G46</f>
        <v>Отвод 90° с радиусом кривизны R=1,5 Ду на давление до 16 МПа, номинальный диаметр 50 мм, наружный диаметр 57 мм, толщина стенки 3 мм</v>
      </c>
      <c r="D27" s="121" t="s">
        <v>30</v>
      </c>
      <c r="E27" s="126">
        <f>Source!I46</f>
        <v>10</v>
      </c>
      <c r="F27" s="121" t="str">
        <f>Source!J20</f>
        <v/>
      </c>
      <c r="G27" s="121"/>
      <c r="H27" s="125"/>
    </row>
    <row r="28" spans="1:8" ht="28.5" x14ac:dyDescent="0.2">
      <c r="A28" s="121">
        <v>4.3</v>
      </c>
      <c r="B28" s="121" t="str">
        <f>Source!E47</f>
        <v>4,3</v>
      </c>
      <c r="C28" s="125" t="str">
        <f>Source!G47</f>
        <v>Кронштейны стальные оцинкованные угловые, размеры 50х50х40 мм, толщина 2 мм</v>
      </c>
      <c r="D28" s="121" t="s">
        <v>109</v>
      </c>
      <c r="E28" s="126">
        <f>Source!I47</f>
        <v>0.05</v>
      </c>
      <c r="F28" s="121" t="str">
        <f>Source!J20</f>
        <v/>
      </c>
      <c r="G28" s="121"/>
      <c r="H28" s="125"/>
    </row>
    <row r="29" spans="1:8" ht="14.25" x14ac:dyDescent="0.2">
      <c r="A29" s="121">
        <v>4.4000000000000004</v>
      </c>
      <c r="B29" s="121" t="str">
        <f>Source!E49</f>
        <v>4,5</v>
      </c>
      <c r="C29" s="125" t="str">
        <f>Source!G49</f>
        <v>Трубопроводы с гильзами</v>
      </c>
      <c r="D29" s="121" t="s">
        <v>72</v>
      </c>
      <c r="E29" s="126">
        <f>Source!I49</f>
        <v>15</v>
      </c>
      <c r="F29" s="121" t="str">
        <f>Source!J20</f>
        <v/>
      </c>
      <c r="G29" s="121"/>
      <c r="H29" s="125"/>
    </row>
    <row r="30" spans="1:8" ht="28.5" x14ac:dyDescent="0.2">
      <c r="A30" s="121">
        <v>5</v>
      </c>
      <c r="B30" s="121" t="str">
        <f>Source!E55</f>
        <v>5</v>
      </c>
      <c r="C30" s="125" t="str">
        <f>Source!G55</f>
        <v>Установка вентилей, задвижек, затворов, клапанов обратных, кранов проходных на трубопроводах из стальных труб диаметром: до 50 мм</v>
      </c>
      <c r="D30" s="121" t="s">
        <v>30</v>
      </c>
      <c r="E30" s="126">
        <f>Source!I55</f>
        <v>2</v>
      </c>
      <c r="F30" s="121" t="str">
        <f>Source!J20</f>
        <v/>
      </c>
      <c r="G30" s="121">
        <f>Source!I55</f>
        <v>2</v>
      </c>
      <c r="H30" s="125"/>
    </row>
    <row r="31" spans="1:8" ht="42.75" x14ac:dyDescent="0.2">
      <c r="A31" s="121">
        <v>5.0999999999999996</v>
      </c>
      <c r="B31" s="121" t="str">
        <f>Source!E56</f>
        <v>5,1</v>
      </c>
      <c r="C31" s="125" t="str">
        <f>Source!G56</f>
        <v>Кран шаровой стальной для теплоснабжения, неполнопроходной, под приварку, с рукояткой, сталь 09Г2С, номинальное давление до 4,0 МПа, номинальный диаметр 50 мм</v>
      </c>
      <c r="D31" s="121" t="s">
        <v>30</v>
      </c>
      <c r="E31" s="126">
        <f>Source!I56</f>
        <v>2</v>
      </c>
      <c r="F31" s="121" t="str">
        <f>Source!J20</f>
        <v/>
      </c>
      <c r="G31" s="121"/>
      <c r="H31" s="125"/>
    </row>
    <row r="32" spans="1:8" ht="14.25" x14ac:dyDescent="0.2">
      <c r="A32" s="121">
        <v>5.2</v>
      </c>
      <c r="B32" s="121" t="str">
        <f>Source!E57</f>
        <v>5,2</v>
      </c>
      <c r="C32" s="125" t="str">
        <f>Source!G57</f>
        <v>Арматура трубопроводная фланцевая</v>
      </c>
      <c r="D32" s="121" t="s">
        <v>30</v>
      </c>
      <c r="E32" s="126">
        <f>Source!I57</f>
        <v>2</v>
      </c>
      <c r="F32" s="121" t="str">
        <f>Source!J20</f>
        <v/>
      </c>
      <c r="G32" s="121"/>
      <c r="H32" s="125"/>
    </row>
    <row r="33" spans="1:8" ht="14.25" x14ac:dyDescent="0.2">
      <c r="A33" s="121">
        <v>5.3</v>
      </c>
      <c r="B33" s="121" t="str">
        <f>Source!E58</f>
        <v>5,3</v>
      </c>
      <c r="C33" s="125" t="str">
        <f>Source!G58</f>
        <v>Фланцы стальные</v>
      </c>
      <c r="D33" s="121" t="s">
        <v>30</v>
      </c>
      <c r="E33" s="126">
        <f>Source!I58</f>
        <v>4</v>
      </c>
      <c r="F33" s="121" t="str">
        <f>Source!J20</f>
        <v/>
      </c>
      <c r="G33" s="121"/>
      <c r="H33" s="125"/>
    </row>
    <row r="34" spans="1:8" ht="28.5" x14ac:dyDescent="0.2">
      <c r="A34" s="121">
        <v>6</v>
      </c>
      <c r="B34" s="121" t="str">
        <f>Source!E60</f>
        <v>6</v>
      </c>
      <c r="C34" s="125" t="str">
        <f>Source!G60</f>
        <v>Изоляция изделиями из вспененного каучука, вспененного полиэтилена трубопроводов наружным диметром: до 160 мм трубками</v>
      </c>
      <c r="D34" s="121" t="s">
        <v>144</v>
      </c>
      <c r="E34" s="126">
        <f>Source!I60</f>
        <v>1.5</v>
      </c>
      <c r="F34" s="121" t="str">
        <f>Source!J20</f>
        <v/>
      </c>
      <c r="G34" s="121" t="str">
        <f>"=15/"&amp;"10"</f>
        <v>=15/10</v>
      </c>
      <c r="H34" s="125"/>
    </row>
    <row r="35" spans="1:8" ht="42.75" x14ac:dyDescent="0.2">
      <c r="A35" s="120">
        <v>6.1</v>
      </c>
      <c r="B35" s="120" t="str">
        <f>Source!E61</f>
        <v>6,1</v>
      </c>
      <c r="C35" s="123" t="str">
        <f>Source!G61</f>
        <v>Трубки теплоизоляционные из вспененного синтетического каучука, без покрытия, Г1, плотность 40 кг/м3, температура применения от -200 до +110 °C, внутренний диаметр 54 мм, толщина 13 мм</v>
      </c>
      <c r="D35" s="120" t="s">
        <v>72</v>
      </c>
      <c r="E35" s="124">
        <f>Source!I61</f>
        <v>16.5</v>
      </c>
      <c r="F35" s="120" t="str">
        <f>Source!J20</f>
        <v/>
      </c>
      <c r="G35" s="120"/>
      <c r="H35" s="123"/>
    </row>
    <row r="38" spans="1:8" ht="15" x14ac:dyDescent="0.25">
      <c r="C38" s="127" t="s">
        <v>556</v>
      </c>
      <c r="D38" s="127" t="str">
        <f>IF(Source!X12&lt;&gt;"", Source!X12," ")</f>
        <v xml:space="preserve"> </v>
      </c>
      <c r="E38" s="128"/>
    </row>
    <row r="39" spans="1:8" ht="15" x14ac:dyDescent="0.25">
      <c r="C39" s="63"/>
      <c r="D39" s="128"/>
      <c r="E39" s="128"/>
    </row>
    <row r="40" spans="1:8" ht="15" x14ac:dyDescent="0.25">
      <c r="C40" s="129" t="s">
        <v>557</v>
      </c>
      <c r="D40" s="129" t="str">
        <f>IF(Source!AB12&lt;&gt;"", Source!AB12," ")</f>
        <v xml:space="preserve"> </v>
      </c>
      <c r="E40" s="128"/>
    </row>
  </sheetData>
  <mergeCells count="5">
    <mergeCell ref="D5:E5"/>
    <mergeCell ref="D7:E7"/>
    <mergeCell ref="B12:E12"/>
    <mergeCell ref="B13:E13"/>
    <mergeCell ref="A18:H18"/>
  </mergeCells>
  <pageMargins left="0.4" right="0.2" top="0.2" bottom="0.4" header="0.2" footer="0.2"/>
  <pageSetup paperSize="9" scale="59" fitToHeight="0" orientation="portrait" r:id="rId1"/>
  <headerFooter>
    <oddHeader>&amp;L&amp;8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62"/>
  <sheetViews>
    <sheetView workbookViewId="0">
      <selection activeCell="A158" sqref="A158:AX158"/>
    </sheetView>
  </sheetViews>
  <sheetFormatPr defaultColWidth="9.140625" defaultRowHeight="12.75" x14ac:dyDescent="0.2"/>
  <cols>
    <col min="1" max="256" width="9.140625" customWidth="1"/>
  </cols>
  <sheetData>
    <row r="1" spans="1:13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67728</v>
      </c>
      <c r="M1">
        <v>10</v>
      </c>
      <c r="N1">
        <v>12</v>
      </c>
      <c r="O1">
        <v>1</v>
      </c>
      <c r="P1">
        <v>0</v>
      </c>
      <c r="Q1">
        <v>5</v>
      </c>
    </row>
    <row r="12" spans="1:133" x14ac:dyDescent="0.2">
      <c r="A12" s="1">
        <v>1</v>
      </c>
      <c r="B12" s="1">
        <v>156</v>
      </c>
      <c r="C12" s="1">
        <v>0</v>
      </c>
      <c r="D12" s="1">
        <f>ROW(A96)</f>
        <v>96</v>
      </c>
      <c r="E12" s="1">
        <v>0</v>
      </c>
      <c r="F12" s="1" t="s">
        <v>4</v>
      </c>
      <c r="G12" s="1" t="s">
        <v>5</v>
      </c>
      <c r="H12" s="1" t="s">
        <v>3</v>
      </c>
      <c r="I12" s="1">
        <v>0</v>
      </c>
      <c r="J12" s="1" t="s">
        <v>3</v>
      </c>
      <c r="K12" s="1">
        <v>0</v>
      </c>
      <c r="L12" s="1">
        <v>0</v>
      </c>
      <c r="M12" s="1">
        <v>523</v>
      </c>
      <c r="N12" s="1"/>
      <c r="O12" s="1">
        <v>0</v>
      </c>
      <c r="P12" s="1">
        <v>0</v>
      </c>
      <c r="Q12" s="1">
        <v>7</v>
      </c>
      <c r="R12" s="1">
        <v>0</v>
      </c>
      <c r="S12" s="1"/>
      <c r="T12" s="1">
        <v>4</v>
      </c>
      <c r="U12" s="1" t="s">
        <v>3</v>
      </c>
      <c r="V12" s="1">
        <v>0</v>
      </c>
      <c r="W12" s="1" t="s">
        <v>3</v>
      </c>
      <c r="X12" s="1" t="s">
        <v>3</v>
      </c>
      <c r="Y12" s="1" t="s">
        <v>3</v>
      </c>
      <c r="Z12" s="1" t="s">
        <v>3</v>
      </c>
      <c r="AA12" s="1" t="s">
        <v>3</v>
      </c>
      <c r="AB12" s="1" t="s">
        <v>3</v>
      </c>
      <c r="AC12" s="1" t="s">
        <v>3</v>
      </c>
      <c r="AD12" s="1" t="s">
        <v>3</v>
      </c>
      <c r="AE12" s="1" t="s">
        <v>3</v>
      </c>
      <c r="AF12" s="1" t="s">
        <v>3</v>
      </c>
      <c r="AG12" s="1" t="s">
        <v>3</v>
      </c>
      <c r="AH12" s="1" t="s">
        <v>3</v>
      </c>
      <c r="AI12" s="1" t="s">
        <v>3</v>
      </c>
      <c r="AJ12" s="1" t="s">
        <v>3</v>
      </c>
      <c r="AK12" s="1"/>
      <c r="AL12" s="1" t="s">
        <v>3</v>
      </c>
      <c r="AM12" s="1" t="s">
        <v>3</v>
      </c>
      <c r="AN12" s="1" t="s">
        <v>3</v>
      </c>
      <c r="AO12" s="1"/>
      <c r="AP12" s="1" t="s">
        <v>3</v>
      </c>
      <c r="AQ12" s="1" t="s">
        <v>3</v>
      </c>
      <c r="AR12" s="1" t="s">
        <v>3</v>
      </c>
      <c r="AS12" s="1"/>
      <c r="AT12" s="1"/>
      <c r="AU12" s="1"/>
      <c r="AV12" s="1"/>
      <c r="AW12" s="1"/>
      <c r="AX12" s="1" t="s">
        <v>3</v>
      </c>
      <c r="AY12" s="1" t="s">
        <v>3</v>
      </c>
      <c r="AZ12" s="1" t="s">
        <v>3</v>
      </c>
      <c r="BA12" s="1"/>
      <c r="BB12" s="1">
        <v>0</v>
      </c>
      <c r="BC12" s="1"/>
      <c r="BD12" s="1"/>
      <c r="BE12" s="1"/>
      <c r="BF12" s="1"/>
      <c r="BG12" s="1"/>
      <c r="BH12" s="1" t="s">
        <v>6</v>
      </c>
      <c r="BI12" s="1" t="s">
        <v>7</v>
      </c>
      <c r="BJ12" s="1">
        <v>1</v>
      </c>
      <c r="BK12" s="1">
        <v>1</v>
      </c>
      <c r="BL12" s="1">
        <v>0</v>
      </c>
      <c r="BM12" s="1">
        <v>0</v>
      </c>
      <c r="BN12" s="1">
        <v>1</v>
      </c>
      <c r="BO12" s="1">
        <v>0</v>
      </c>
      <c r="BP12" s="1">
        <v>6</v>
      </c>
      <c r="BQ12" s="1">
        <v>2</v>
      </c>
      <c r="BR12" s="1">
        <v>1</v>
      </c>
      <c r="BS12" s="1">
        <v>1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 t="s">
        <v>8</v>
      </c>
      <c r="BZ12" s="1" t="s">
        <v>9</v>
      </c>
      <c r="CA12" s="1" t="s">
        <v>10</v>
      </c>
      <c r="CB12" s="1" t="s">
        <v>10</v>
      </c>
      <c r="CC12" s="1" t="s">
        <v>10</v>
      </c>
      <c r="CD12" s="1" t="s">
        <v>10</v>
      </c>
      <c r="CE12" s="1" t="s">
        <v>11</v>
      </c>
      <c r="CF12" s="1">
        <v>0</v>
      </c>
      <c r="CG12" s="1">
        <v>0</v>
      </c>
      <c r="CH12" s="1">
        <v>487096328</v>
      </c>
      <c r="CI12" s="1" t="s">
        <v>3</v>
      </c>
      <c r="CJ12" s="1" t="s">
        <v>3</v>
      </c>
      <c r="CK12" s="1">
        <v>18</v>
      </c>
      <c r="CL12" s="1"/>
      <c r="CM12" s="1"/>
      <c r="CN12" s="1"/>
      <c r="CO12" s="1"/>
      <c r="CP12" s="1"/>
      <c r="CQ12" s="1" t="s">
        <v>12</v>
      </c>
      <c r="CR12" s="1" t="s">
        <v>13</v>
      </c>
      <c r="CS12" s="1">
        <v>46161</v>
      </c>
      <c r="CT12" s="1">
        <v>567</v>
      </c>
      <c r="CU12" s="1">
        <v>18</v>
      </c>
      <c r="CV12" s="1" t="s">
        <v>423</v>
      </c>
      <c r="CW12" s="1"/>
      <c r="CX12" s="1"/>
      <c r="CY12" s="1">
        <v>0</v>
      </c>
      <c r="CZ12" s="1" t="s">
        <v>3</v>
      </c>
      <c r="DA12" s="1" t="s">
        <v>3</v>
      </c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>
        <v>0</v>
      </c>
    </row>
    <row r="15" spans="1:133" x14ac:dyDescent="0.2">
      <c r="A15" s="1">
        <v>15</v>
      </c>
      <c r="B15" s="1">
        <v>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</row>
    <row r="18" spans="1:255" x14ac:dyDescent="0.2">
      <c r="A18" s="3">
        <v>52</v>
      </c>
      <c r="B18" s="3">
        <f t="shared" ref="B18:G18" si="0">B96</f>
        <v>156</v>
      </c>
      <c r="C18" s="3">
        <f t="shared" si="0"/>
        <v>1</v>
      </c>
      <c r="D18" s="3">
        <f t="shared" si="0"/>
        <v>12</v>
      </c>
      <c r="E18" s="3">
        <f t="shared" si="0"/>
        <v>0</v>
      </c>
      <c r="F18" s="3" t="str">
        <f t="shared" si="0"/>
        <v>Новый объект</v>
      </c>
      <c r="G18" s="3" t="str">
        <f t="shared" si="0"/>
        <v>Аварийный ремонт труб ЦО в ХК</v>
      </c>
      <c r="H18" s="3"/>
      <c r="I18" s="3"/>
      <c r="J18" s="3"/>
      <c r="K18" s="3"/>
      <c r="L18" s="3"/>
      <c r="M18" s="3"/>
      <c r="N18" s="3"/>
      <c r="O18" s="3">
        <f t="shared" ref="O18:AT18" si="1">O96</f>
        <v>62193.24</v>
      </c>
      <c r="P18" s="3">
        <f t="shared" si="1"/>
        <v>18760.73</v>
      </c>
      <c r="Q18" s="3">
        <f t="shared" si="1"/>
        <v>864.65</v>
      </c>
      <c r="R18" s="3">
        <f t="shared" si="1"/>
        <v>778.03</v>
      </c>
      <c r="S18" s="3">
        <f t="shared" si="1"/>
        <v>41789.83</v>
      </c>
      <c r="T18" s="3">
        <f t="shared" si="1"/>
        <v>0</v>
      </c>
      <c r="U18" s="3">
        <f t="shared" si="1"/>
        <v>56.871787500000003</v>
      </c>
      <c r="V18" s="3">
        <f t="shared" si="1"/>
        <v>1.0361251</v>
      </c>
      <c r="W18" s="3">
        <f t="shared" si="1"/>
        <v>0</v>
      </c>
      <c r="X18" s="3">
        <f t="shared" si="1"/>
        <v>43036.99</v>
      </c>
      <c r="Y18" s="3">
        <f t="shared" si="1"/>
        <v>23290.33</v>
      </c>
      <c r="Z18" s="3">
        <f t="shared" si="1"/>
        <v>0</v>
      </c>
      <c r="AA18" s="3">
        <f t="shared" si="1"/>
        <v>0</v>
      </c>
      <c r="AB18" s="3">
        <f t="shared" si="1"/>
        <v>0</v>
      </c>
      <c r="AC18" s="3">
        <f t="shared" si="1"/>
        <v>0</v>
      </c>
      <c r="AD18" s="3">
        <f t="shared" si="1"/>
        <v>0</v>
      </c>
      <c r="AE18" s="3">
        <f t="shared" si="1"/>
        <v>0</v>
      </c>
      <c r="AF18" s="3">
        <f t="shared" si="1"/>
        <v>0</v>
      </c>
      <c r="AG18" s="3">
        <f t="shared" si="1"/>
        <v>0</v>
      </c>
      <c r="AH18" s="3">
        <f t="shared" si="1"/>
        <v>0</v>
      </c>
      <c r="AI18" s="3">
        <f t="shared" si="1"/>
        <v>0</v>
      </c>
      <c r="AJ18" s="3">
        <f t="shared" si="1"/>
        <v>0</v>
      </c>
      <c r="AK18" s="3">
        <f t="shared" si="1"/>
        <v>0</v>
      </c>
      <c r="AL18" s="3">
        <f t="shared" si="1"/>
        <v>0</v>
      </c>
      <c r="AM18" s="3">
        <f t="shared" si="1"/>
        <v>0</v>
      </c>
      <c r="AN18" s="3">
        <f t="shared" si="1"/>
        <v>0</v>
      </c>
      <c r="AO18" s="3">
        <f t="shared" si="1"/>
        <v>0</v>
      </c>
      <c r="AP18" s="3">
        <f t="shared" si="1"/>
        <v>0</v>
      </c>
      <c r="AQ18" s="3">
        <f t="shared" si="1"/>
        <v>0</v>
      </c>
      <c r="AR18" s="3">
        <f t="shared" si="1"/>
        <v>128520.56</v>
      </c>
      <c r="AS18" s="3">
        <f t="shared" si="1"/>
        <v>128520.56</v>
      </c>
      <c r="AT18" s="3">
        <f t="shared" si="1"/>
        <v>0</v>
      </c>
      <c r="AU18" s="3">
        <f t="shared" ref="AU18:BZ18" si="2">AU96</f>
        <v>0</v>
      </c>
      <c r="AV18" s="3">
        <f t="shared" si="2"/>
        <v>18760.73</v>
      </c>
      <c r="AW18" s="3">
        <f t="shared" si="2"/>
        <v>18760.73</v>
      </c>
      <c r="AX18" s="3">
        <f t="shared" si="2"/>
        <v>0</v>
      </c>
      <c r="AY18" s="3">
        <f t="shared" si="2"/>
        <v>18760.73</v>
      </c>
      <c r="AZ18" s="3">
        <f t="shared" si="2"/>
        <v>0</v>
      </c>
      <c r="BA18" s="3">
        <f t="shared" si="2"/>
        <v>0</v>
      </c>
      <c r="BB18" s="3">
        <f t="shared" si="2"/>
        <v>0</v>
      </c>
      <c r="BC18" s="3">
        <f t="shared" si="2"/>
        <v>0</v>
      </c>
      <c r="BD18" s="3">
        <f t="shared" si="2"/>
        <v>0</v>
      </c>
      <c r="BE18" s="3">
        <f t="shared" si="2"/>
        <v>0</v>
      </c>
      <c r="BF18" s="3">
        <f t="shared" si="2"/>
        <v>0</v>
      </c>
      <c r="BG18" s="3">
        <f t="shared" si="2"/>
        <v>0</v>
      </c>
      <c r="BH18" s="3">
        <f t="shared" si="2"/>
        <v>0</v>
      </c>
      <c r="BI18" s="3">
        <f t="shared" si="2"/>
        <v>0</v>
      </c>
      <c r="BJ18" s="3">
        <f t="shared" si="2"/>
        <v>0</v>
      </c>
      <c r="BK18" s="3">
        <f t="shared" si="2"/>
        <v>0</v>
      </c>
      <c r="BL18" s="3">
        <f t="shared" si="2"/>
        <v>0</v>
      </c>
      <c r="BM18" s="3">
        <f t="shared" si="2"/>
        <v>0</v>
      </c>
      <c r="BN18" s="3">
        <f t="shared" si="2"/>
        <v>0</v>
      </c>
      <c r="BO18" s="3">
        <f t="shared" si="2"/>
        <v>0</v>
      </c>
      <c r="BP18" s="3">
        <f t="shared" si="2"/>
        <v>0</v>
      </c>
      <c r="BQ18" s="3">
        <f t="shared" si="2"/>
        <v>0</v>
      </c>
      <c r="BR18" s="3">
        <f t="shared" si="2"/>
        <v>0</v>
      </c>
      <c r="BS18" s="3">
        <f t="shared" si="2"/>
        <v>0</v>
      </c>
      <c r="BT18" s="3">
        <f t="shared" si="2"/>
        <v>0</v>
      </c>
      <c r="BU18" s="3">
        <f t="shared" si="2"/>
        <v>0</v>
      </c>
      <c r="BV18" s="3">
        <f t="shared" si="2"/>
        <v>0</v>
      </c>
      <c r="BW18" s="3">
        <f t="shared" si="2"/>
        <v>0</v>
      </c>
      <c r="BX18" s="3">
        <f t="shared" si="2"/>
        <v>0</v>
      </c>
      <c r="BY18" s="3">
        <f t="shared" si="2"/>
        <v>0</v>
      </c>
      <c r="BZ18" s="3">
        <f t="shared" si="2"/>
        <v>0</v>
      </c>
      <c r="CA18" s="3">
        <f t="shared" ref="CA18:DF18" si="3">CA96</f>
        <v>0</v>
      </c>
      <c r="CB18" s="3">
        <f t="shared" si="3"/>
        <v>0</v>
      </c>
      <c r="CC18" s="3">
        <f t="shared" si="3"/>
        <v>0</v>
      </c>
      <c r="CD18" s="3">
        <f t="shared" si="3"/>
        <v>0</v>
      </c>
      <c r="CE18" s="3">
        <f t="shared" si="3"/>
        <v>0</v>
      </c>
      <c r="CF18" s="3">
        <f t="shared" si="3"/>
        <v>0</v>
      </c>
      <c r="CG18" s="3">
        <f t="shared" si="3"/>
        <v>0</v>
      </c>
      <c r="CH18" s="3">
        <f t="shared" si="3"/>
        <v>0</v>
      </c>
      <c r="CI18" s="3">
        <f t="shared" si="3"/>
        <v>0</v>
      </c>
      <c r="CJ18" s="3">
        <f t="shared" si="3"/>
        <v>0</v>
      </c>
      <c r="CK18" s="3">
        <f t="shared" si="3"/>
        <v>0</v>
      </c>
      <c r="CL18" s="3">
        <f t="shared" si="3"/>
        <v>0</v>
      </c>
      <c r="CM18" s="3">
        <f t="shared" si="3"/>
        <v>0</v>
      </c>
      <c r="CN18" s="3">
        <f t="shared" si="3"/>
        <v>0</v>
      </c>
      <c r="CO18" s="3">
        <f t="shared" si="3"/>
        <v>0</v>
      </c>
      <c r="CP18" s="3">
        <f t="shared" si="3"/>
        <v>0</v>
      </c>
      <c r="CQ18" s="3">
        <f t="shared" si="3"/>
        <v>0</v>
      </c>
      <c r="CR18" s="3">
        <f t="shared" si="3"/>
        <v>0</v>
      </c>
      <c r="CS18" s="3">
        <f t="shared" si="3"/>
        <v>0</v>
      </c>
      <c r="CT18" s="3">
        <f t="shared" si="3"/>
        <v>0</v>
      </c>
      <c r="CU18" s="3">
        <f t="shared" si="3"/>
        <v>0</v>
      </c>
      <c r="CV18" s="3">
        <f t="shared" si="3"/>
        <v>0</v>
      </c>
      <c r="CW18" s="3">
        <f t="shared" si="3"/>
        <v>0</v>
      </c>
      <c r="CX18" s="3">
        <f t="shared" si="3"/>
        <v>0</v>
      </c>
      <c r="CY18" s="3">
        <f t="shared" si="3"/>
        <v>0</v>
      </c>
      <c r="CZ18" s="3">
        <f t="shared" si="3"/>
        <v>0</v>
      </c>
      <c r="DA18" s="3">
        <f t="shared" si="3"/>
        <v>0</v>
      </c>
      <c r="DB18" s="3">
        <f t="shared" si="3"/>
        <v>0</v>
      </c>
      <c r="DC18" s="3">
        <f t="shared" si="3"/>
        <v>0</v>
      </c>
      <c r="DD18" s="3">
        <f t="shared" si="3"/>
        <v>0</v>
      </c>
      <c r="DE18" s="3">
        <f t="shared" si="3"/>
        <v>0</v>
      </c>
      <c r="DF18" s="3">
        <f t="shared" si="3"/>
        <v>0</v>
      </c>
      <c r="DG18" s="4">
        <f t="shared" ref="DG18:EL18" si="4">DG96</f>
        <v>0</v>
      </c>
      <c r="DH18" s="4">
        <f t="shared" si="4"/>
        <v>0</v>
      </c>
      <c r="DI18" s="4">
        <f t="shared" si="4"/>
        <v>0</v>
      </c>
      <c r="DJ18" s="4">
        <f t="shared" si="4"/>
        <v>0</v>
      </c>
      <c r="DK18" s="4">
        <f t="shared" si="4"/>
        <v>0</v>
      </c>
      <c r="DL18" s="4">
        <f t="shared" si="4"/>
        <v>0</v>
      </c>
      <c r="DM18" s="4">
        <f t="shared" si="4"/>
        <v>0</v>
      </c>
      <c r="DN18" s="4">
        <f t="shared" si="4"/>
        <v>0</v>
      </c>
      <c r="DO18" s="4">
        <f t="shared" si="4"/>
        <v>0</v>
      </c>
      <c r="DP18" s="4">
        <f t="shared" si="4"/>
        <v>0</v>
      </c>
      <c r="DQ18" s="4">
        <f t="shared" si="4"/>
        <v>0</v>
      </c>
      <c r="DR18" s="4">
        <f t="shared" si="4"/>
        <v>0</v>
      </c>
      <c r="DS18" s="4">
        <f t="shared" si="4"/>
        <v>0</v>
      </c>
      <c r="DT18" s="4">
        <f t="shared" si="4"/>
        <v>0</v>
      </c>
      <c r="DU18" s="4">
        <f t="shared" si="4"/>
        <v>0</v>
      </c>
      <c r="DV18" s="4">
        <f t="shared" si="4"/>
        <v>0</v>
      </c>
      <c r="DW18" s="4">
        <f t="shared" si="4"/>
        <v>0</v>
      </c>
      <c r="DX18" s="4">
        <f t="shared" si="4"/>
        <v>0</v>
      </c>
      <c r="DY18" s="4">
        <f t="shared" si="4"/>
        <v>0</v>
      </c>
      <c r="DZ18" s="4">
        <f t="shared" si="4"/>
        <v>0</v>
      </c>
      <c r="EA18" s="4">
        <f t="shared" si="4"/>
        <v>0</v>
      </c>
      <c r="EB18" s="4">
        <f t="shared" si="4"/>
        <v>0</v>
      </c>
      <c r="EC18" s="4">
        <f t="shared" si="4"/>
        <v>0</v>
      </c>
      <c r="ED18" s="4">
        <f t="shared" si="4"/>
        <v>0</v>
      </c>
      <c r="EE18" s="4">
        <f t="shared" si="4"/>
        <v>0</v>
      </c>
      <c r="EF18" s="4">
        <f t="shared" si="4"/>
        <v>0</v>
      </c>
      <c r="EG18" s="4">
        <f t="shared" si="4"/>
        <v>0</v>
      </c>
      <c r="EH18" s="4">
        <f t="shared" si="4"/>
        <v>0</v>
      </c>
      <c r="EI18" s="4">
        <f t="shared" si="4"/>
        <v>0</v>
      </c>
      <c r="EJ18" s="4">
        <f t="shared" si="4"/>
        <v>0</v>
      </c>
      <c r="EK18" s="4">
        <f t="shared" si="4"/>
        <v>0</v>
      </c>
      <c r="EL18" s="4">
        <f t="shared" si="4"/>
        <v>0</v>
      </c>
      <c r="EM18" s="4">
        <f t="shared" ref="EM18:FR18" si="5">EM96</f>
        <v>0</v>
      </c>
      <c r="EN18" s="4">
        <f t="shared" si="5"/>
        <v>0</v>
      </c>
      <c r="EO18" s="4">
        <f t="shared" si="5"/>
        <v>0</v>
      </c>
      <c r="EP18" s="4">
        <f t="shared" si="5"/>
        <v>0</v>
      </c>
      <c r="EQ18" s="4">
        <f t="shared" si="5"/>
        <v>0</v>
      </c>
      <c r="ER18" s="4">
        <f t="shared" si="5"/>
        <v>0</v>
      </c>
      <c r="ES18" s="4">
        <f t="shared" si="5"/>
        <v>0</v>
      </c>
      <c r="ET18" s="4">
        <f t="shared" si="5"/>
        <v>0</v>
      </c>
      <c r="EU18" s="4">
        <f t="shared" si="5"/>
        <v>0</v>
      </c>
      <c r="EV18" s="4">
        <f t="shared" si="5"/>
        <v>0</v>
      </c>
      <c r="EW18" s="4">
        <f t="shared" si="5"/>
        <v>0</v>
      </c>
      <c r="EX18" s="4">
        <f t="shared" si="5"/>
        <v>0</v>
      </c>
      <c r="EY18" s="4">
        <f t="shared" si="5"/>
        <v>0</v>
      </c>
      <c r="EZ18" s="4">
        <f t="shared" si="5"/>
        <v>0</v>
      </c>
      <c r="FA18" s="4">
        <f t="shared" si="5"/>
        <v>0</v>
      </c>
      <c r="FB18" s="4">
        <f t="shared" si="5"/>
        <v>0</v>
      </c>
      <c r="FC18" s="4">
        <f t="shared" si="5"/>
        <v>0</v>
      </c>
      <c r="FD18" s="4">
        <f t="shared" si="5"/>
        <v>0</v>
      </c>
      <c r="FE18" s="4">
        <f t="shared" si="5"/>
        <v>0</v>
      </c>
      <c r="FF18" s="4">
        <f t="shared" si="5"/>
        <v>0</v>
      </c>
      <c r="FG18" s="4">
        <f t="shared" si="5"/>
        <v>0</v>
      </c>
      <c r="FH18" s="4">
        <f t="shared" si="5"/>
        <v>0</v>
      </c>
      <c r="FI18" s="4">
        <f t="shared" si="5"/>
        <v>0</v>
      </c>
      <c r="FJ18" s="4">
        <f t="shared" si="5"/>
        <v>0</v>
      </c>
      <c r="FK18" s="4">
        <f t="shared" si="5"/>
        <v>0</v>
      </c>
      <c r="FL18" s="4">
        <f t="shared" si="5"/>
        <v>0</v>
      </c>
      <c r="FM18" s="4">
        <f t="shared" si="5"/>
        <v>0</v>
      </c>
      <c r="FN18" s="4">
        <f t="shared" si="5"/>
        <v>0</v>
      </c>
      <c r="FO18" s="4">
        <f t="shared" si="5"/>
        <v>0</v>
      </c>
      <c r="FP18" s="4">
        <f t="shared" si="5"/>
        <v>0</v>
      </c>
      <c r="FQ18" s="4">
        <f t="shared" si="5"/>
        <v>0</v>
      </c>
      <c r="FR18" s="4">
        <f t="shared" si="5"/>
        <v>0</v>
      </c>
      <c r="FS18" s="4">
        <f t="shared" ref="FS18:GX18" si="6">FS96</f>
        <v>0</v>
      </c>
      <c r="FT18" s="4">
        <f t="shared" si="6"/>
        <v>0</v>
      </c>
      <c r="FU18" s="4">
        <f t="shared" si="6"/>
        <v>0</v>
      </c>
      <c r="FV18" s="4">
        <f t="shared" si="6"/>
        <v>0</v>
      </c>
      <c r="FW18" s="4">
        <f t="shared" si="6"/>
        <v>0</v>
      </c>
      <c r="FX18" s="4">
        <f t="shared" si="6"/>
        <v>0</v>
      </c>
      <c r="FY18" s="4">
        <f t="shared" si="6"/>
        <v>0</v>
      </c>
      <c r="FZ18" s="4">
        <f t="shared" si="6"/>
        <v>0</v>
      </c>
      <c r="GA18" s="4">
        <f t="shared" si="6"/>
        <v>0</v>
      </c>
      <c r="GB18" s="4">
        <f t="shared" si="6"/>
        <v>0</v>
      </c>
      <c r="GC18" s="4">
        <f t="shared" si="6"/>
        <v>0</v>
      </c>
      <c r="GD18" s="4">
        <f t="shared" si="6"/>
        <v>0</v>
      </c>
      <c r="GE18" s="4">
        <f t="shared" si="6"/>
        <v>0</v>
      </c>
      <c r="GF18" s="4">
        <f t="shared" si="6"/>
        <v>0</v>
      </c>
      <c r="GG18" s="4">
        <f t="shared" si="6"/>
        <v>0</v>
      </c>
      <c r="GH18" s="4">
        <f t="shared" si="6"/>
        <v>0</v>
      </c>
      <c r="GI18" s="4">
        <f t="shared" si="6"/>
        <v>0</v>
      </c>
      <c r="GJ18" s="4">
        <f t="shared" si="6"/>
        <v>0</v>
      </c>
      <c r="GK18" s="4">
        <f t="shared" si="6"/>
        <v>0</v>
      </c>
      <c r="GL18" s="4">
        <f t="shared" si="6"/>
        <v>0</v>
      </c>
      <c r="GM18" s="4">
        <f t="shared" si="6"/>
        <v>0</v>
      </c>
      <c r="GN18" s="4">
        <f t="shared" si="6"/>
        <v>0</v>
      </c>
      <c r="GO18" s="4">
        <f t="shared" si="6"/>
        <v>0</v>
      </c>
      <c r="GP18" s="4">
        <f t="shared" si="6"/>
        <v>0</v>
      </c>
      <c r="GQ18" s="4">
        <f t="shared" si="6"/>
        <v>0</v>
      </c>
      <c r="GR18" s="4">
        <f t="shared" si="6"/>
        <v>0</v>
      </c>
      <c r="GS18" s="4">
        <f t="shared" si="6"/>
        <v>0</v>
      </c>
      <c r="GT18" s="4">
        <f t="shared" si="6"/>
        <v>0</v>
      </c>
      <c r="GU18" s="4">
        <f t="shared" si="6"/>
        <v>0</v>
      </c>
      <c r="GV18" s="4">
        <f t="shared" si="6"/>
        <v>0</v>
      </c>
      <c r="GW18" s="4">
        <f t="shared" si="6"/>
        <v>0</v>
      </c>
      <c r="GX18" s="4">
        <f t="shared" si="6"/>
        <v>0</v>
      </c>
    </row>
    <row r="20" spans="1:255" x14ac:dyDescent="0.2">
      <c r="A20" s="1">
        <v>3</v>
      </c>
      <c r="B20" s="1">
        <v>1</v>
      </c>
      <c r="C20" s="1"/>
      <c r="D20" s="1">
        <f>ROW(A63)</f>
        <v>63</v>
      </c>
      <c r="E20" s="1"/>
      <c r="F20" s="1" t="s">
        <v>14</v>
      </c>
      <c r="G20" s="1" t="s">
        <v>5</v>
      </c>
      <c r="H20" s="1" t="s">
        <v>3</v>
      </c>
      <c r="I20" s="1">
        <v>0</v>
      </c>
      <c r="J20" s="1" t="s">
        <v>3</v>
      </c>
      <c r="K20" s="1">
        <v>-1</v>
      </c>
      <c r="L20" s="1" t="s">
        <v>14</v>
      </c>
      <c r="M20" s="1" t="s">
        <v>3</v>
      </c>
      <c r="N20" s="1"/>
      <c r="O20" s="1"/>
      <c r="P20" s="1"/>
      <c r="Q20" s="1"/>
      <c r="R20" s="1"/>
      <c r="S20" s="1">
        <v>0</v>
      </c>
      <c r="T20" s="1"/>
      <c r="U20" s="1" t="s">
        <v>3</v>
      </c>
      <c r="V20" s="1">
        <v>0</v>
      </c>
      <c r="W20" s="1"/>
      <c r="X20" s="1"/>
      <c r="Y20" s="1"/>
      <c r="Z20" s="1"/>
      <c r="AA20" s="1"/>
      <c r="AB20" s="1" t="s">
        <v>3</v>
      </c>
      <c r="AC20" s="1" t="s">
        <v>3</v>
      </c>
      <c r="AD20" s="1" t="s">
        <v>3</v>
      </c>
      <c r="AE20" s="1" t="s">
        <v>3</v>
      </c>
      <c r="AF20" s="1" t="s">
        <v>3</v>
      </c>
      <c r="AG20" s="1" t="s">
        <v>3</v>
      </c>
      <c r="AH20" s="1"/>
      <c r="AI20" s="1"/>
      <c r="AJ20" s="1"/>
      <c r="AK20" s="1"/>
      <c r="AL20" s="1"/>
      <c r="AM20" s="1"/>
      <c r="AN20" s="1"/>
      <c r="AO20" s="1"/>
      <c r="AP20" s="1" t="s">
        <v>3</v>
      </c>
      <c r="AQ20" s="1" t="s">
        <v>3</v>
      </c>
      <c r="AR20" s="1" t="s">
        <v>3</v>
      </c>
      <c r="AS20" s="1"/>
      <c r="AT20" s="1"/>
      <c r="AU20" s="1"/>
      <c r="AV20" s="1"/>
      <c r="AW20" s="1"/>
      <c r="AX20" s="1"/>
      <c r="AY20" s="1"/>
      <c r="AZ20" s="1" t="s">
        <v>3</v>
      </c>
      <c r="BA20" s="1"/>
      <c r="BB20" s="1" t="s">
        <v>3</v>
      </c>
      <c r="BC20" s="1" t="s">
        <v>3</v>
      </c>
      <c r="BD20" s="1" t="s">
        <v>3</v>
      </c>
      <c r="BE20" s="1" t="s">
        <v>3</v>
      </c>
      <c r="BF20" s="1" t="s">
        <v>3</v>
      </c>
      <c r="BG20" s="1" t="s">
        <v>3</v>
      </c>
      <c r="BH20" s="1" t="s">
        <v>3</v>
      </c>
      <c r="BI20" s="1" t="s">
        <v>3</v>
      </c>
      <c r="BJ20" s="1" t="s">
        <v>3</v>
      </c>
      <c r="BK20" s="1" t="s">
        <v>3</v>
      </c>
      <c r="BL20" s="1" t="s">
        <v>3</v>
      </c>
      <c r="BM20" s="1" t="s">
        <v>3</v>
      </c>
      <c r="BN20" s="1" t="s">
        <v>3</v>
      </c>
      <c r="BO20" s="1" t="s">
        <v>3</v>
      </c>
      <c r="BP20" s="1" t="s">
        <v>3</v>
      </c>
      <c r="BQ20" s="1"/>
      <c r="BR20" s="1"/>
      <c r="BS20" s="1"/>
      <c r="BT20" s="1"/>
      <c r="BU20" s="1"/>
      <c r="BV20" s="1"/>
      <c r="BW20" s="1"/>
      <c r="BX20" s="1">
        <v>0</v>
      </c>
      <c r="BY20" s="1"/>
      <c r="BZ20" s="1"/>
      <c r="CA20" s="1"/>
      <c r="CB20" s="1"/>
      <c r="CC20" s="1"/>
      <c r="CD20" s="1"/>
      <c r="CE20" s="1"/>
      <c r="CF20" s="1">
        <v>0</v>
      </c>
      <c r="CG20" s="1">
        <v>0</v>
      </c>
      <c r="CH20" s="1"/>
      <c r="CI20" s="1" t="s">
        <v>3</v>
      </c>
      <c r="CJ20" s="1" t="s">
        <v>3</v>
      </c>
      <c r="CK20" t="s">
        <v>3</v>
      </c>
      <c r="CL20" t="s">
        <v>3</v>
      </c>
      <c r="CM20" t="s">
        <v>3</v>
      </c>
      <c r="CN20" t="s">
        <v>3</v>
      </c>
      <c r="CO20" t="s">
        <v>3</v>
      </c>
      <c r="CP20" t="s">
        <v>3</v>
      </c>
      <c r="CQ20" t="s">
        <v>3</v>
      </c>
    </row>
    <row r="22" spans="1:255" x14ac:dyDescent="0.2">
      <c r="A22" s="3">
        <v>52</v>
      </c>
      <c r="B22" s="3">
        <f t="shared" ref="B22:G22" si="7">B63</f>
        <v>1</v>
      </c>
      <c r="C22" s="3">
        <f t="shared" si="7"/>
        <v>3</v>
      </c>
      <c r="D22" s="3">
        <f t="shared" si="7"/>
        <v>20</v>
      </c>
      <c r="E22" s="3">
        <f t="shared" si="7"/>
        <v>0</v>
      </c>
      <c r="F22" s="3" t="str">
        <f t="shared" si="7"/>
        <v>1</v>
      </c>
      <c r="G22" s="3" t="str">
        <f t="shared" si="7"/>
        <v>Аварийный ремонт труб ЦО в ХК</v>
      </c>
      <c r="H22" s="3"/>
      <c r="I22" s="3"/>
      <c r="J22" s="3"/>
      <c r="K22" s="3"/>
      <c r="L22" s="3"/>
      <c r="M22" s="3"/>
      <c r="N22" s="3"/>
      <c r="O22" s="3">
        <f t="shared" ref="O22:AT22" si="8">O63</f>
        <v>62193.24</v>
      </c>
      <c r="P22" s="3">
        <f t="shared" si="8"/>
        <v>18760.73</v>
      </c>
      <c r="Q22" s="3">
        <f t="shared" si="8"/>
        <v>864.65</v>
      </c>
      <c r="R22" s="3">
        <f t="shared" si="8"/>
        <v>778.03</v>
      </c>
      <c r="S22" s="3">
        <f t="shared" si="8"/>
        <v>41789.83</v>
      </c>
      <c r="T22" s="3">
        <f t="shared" si="8"/>
        <v>0</v>
      </c>
      <c r="U22" s="3">
        <f t="shared" si="8"/>
        <v>56.871787500000003</v>
      </c>
      <c r="V22" s="3">
        <f t="shared" si="8"/>
        <v>1.0361251</v>
      </c>
      <c r="W22" s="3">
        <f t="shared" si="8"/>
        <v>0</v>
      </c>
      <c r="X22" s="3">
        <f t="shared" si="8"/>
        <v>43036.99</v>
      </c>
      <c r="Y22" s="3">
        <f t="shared" si="8"/>
        <v>23290.33</v>
      </c>
      <c r="Z22" s="3">
        <f t="shared" si="8"/>
        <v>0</v>
      </c>
      <c r="AA22" s="3">
        <f t="shared" si="8"/>
        <v>0</v>
      </c>
      <c r="AB22" s="3">
        <f t="shared" si="8"/>
        <v>62193.24</v>
      </c>
      <c r="AC22" s="3">
        <f t="shared" si="8"/>
        <v>18760.73</v>
      </c>
      <c r="AD22" s="3">
        <f t="shared" si="8"/>
        <v>864.65</v>
      </c>
      <c r="AE22" s="3">
        <f t="shared" si="8"/>
        <v>778.03</v>
      </c>
      <c r="AF22" s="3">
        <f t="shared" si="8"/>
        <v>41789.83</v>
      </c>
      <c r="AG22" s="3">
        <f t="shared" si="8"/>
        <v>0</v>
      </c>
      <c r="AH22" s="3">
        <f t="shared" si="8"/>
        <v>56.871787500000003</v>
      </c>
      <c r="AI22" s="3">
        <f t="shared" si="8"/>
        <v>1.0361251</v>
      </c>
      <c r="AJ22" s="3">
        <f t="shared" si="8"/>
        <v>0</v>
      </c>
      <c r="AK22" s="3">
        <f t="shared" si="8"/>
        <v>43036.99</v>
      </c>
      <c r="AL22" s="3">
        <f t="shared" si="8"/>
        <v>23290.33</v>
      </c>
      <c r="AM22" s="3">
        <f t="shared" si="8"/>
        <v>0</v>
      </c>
      <c r="AN22" s="3">
        <f t="shared" si="8"/>
        <v>0</v>
      </c>
      <c r="AO22" s="3">
        <f t="shared" si="8"/>
        <v>0</v>
      </c>
      <c r="AP22" s="3">
        <f t="shared" si="8"/>
        <v>0</v>
      </c>
      <c r="AQ22" s="3">
        <f t="shared" si="8"/>
        <v>0</v>
      </c>
      <c r="AR22" s="3">
        <f t="shared" si="8"/>
        <v>128520.56</v>
      </c>
      <c r="AS22" s="3">
        <f t="shared" si="8"/>
        <v>128520.56</v>
      </c>
      <c r="AT22" s="3">
        <f t="shared" si="8"/>
        <v>0</v>
      </c>
      <c r="AU22" s="3">
        <f t="shared" ref="AU22:BZ22" si="9">AU63</f>
        <v>0</v>
      </c>
      <c r="AV22" s="3">
        <f t="shared" si="9"/>
        <v>18760.73</v>
      </c>
      <c r="AW22" s="3">
        <f t="shared" si="9"/>
        <v>18760.73</v>
      </c>
      <c r="AX22" s="3">
        <f t="shared" si="9"/>
        <v>0</v>
      </c>
      <c r="AY22" s="3">
        <f t="shared" si="9"/>
        <v>18760.73</v>
      </c>
      <c r="AZ22" s="3">
        <f t="shared" si="9"/>
        <v>0</v>
      </c>
      <c r="BA22" s="3">
        <f t="shared" si="9"/>
        <v>0</v>
      </c>
      <c r="BB22" s="3">
        <f t="shared" si="9"/>
        <v>0</v>
      </c>
      <c r="BC22" s="3">
        <f t="shared" si="9"/>
        <v>0</v>
      </c>
      <c r="BD22" s="3">
        <f t="shared" si="9"/>
        <v>0</v>
      </c>
      <c r="BE22" s="3">
        <f t="shared" si="9"/>
        <v>0</v>
      </c>
      <c r="BF22" s="3">
        <f t="shared" si="9"/>
        <v>0</v>
      </c>
      <c r="BG22" s="3">
        <f t="shared" si="9"/>
        <v>0</v>
      </c>
      <c r="BH22" s="3">
        <f t="shared" si="9"/>
        <v>0</v>
      </c>
      <c r="BI22" s="3">
        <f t="shared" si="9"/>
        <v>0</v>
      </c>
      <c r="BJ22" s="3">
        <f t="shared" si="9"/>
        <v>0</v>
      </c>
      <c r="BK22" s="3">
        <f t="shared" si="9"/>
        <v>0</v>
      </c>
      <c r="BL22" s="3">
        <f t="shared" si="9"/>
        <v>0</v>
      </c>
      <c r="BM22" s="3">
        <f t="shared" si="9"/>
        <v>0</v>
      </c>
      <c r="BN22" s="3">
        <f t="shared" si="9"/>
        <v>0</v>
      </c>
      <c r="BO22" s="3">
        <f t="shared" si="9"/>
        <v>0</v>
      </c>
      <c r="BP22" s="3">
        <f t="shared" si="9"/>
        <v>0</v>
      </c>
      <c r="BQ22" s="3">
        <f t="shared" si="9"/>
        <v>0</v>
      </c>
      <c r="BR22" s="3">
        <f t="shared" si="9"/>
        <v>0</v>
      </c>
      <c r="BS22" s="3">
        <f t="shared" si="9"/>
        <v>0</v>
      </c>
      <c r="BT22" s="3">
        <f t="shared" si="9"/>
        <v>0</v>
      </c>
      <c r="BU22" s="3">
        <f t="shared" si="9"/>
        <v>0</v>
      </c>
      <c r="BV22" s="3">
        <f t="shared" si="9"/>
        <v>0</v>
      </c>
      <c r="BW22" s="3">
        <f t="shared" si="9"/>
        <v>0</v>
      </c>
      <c r="BX22" s="3">
        <f t="shared" si="9"/>
        <v>0</v>
      </c>
      <c r="BY22" s="3">
        <f t="shared" si="9"/>
        <v>0</v>
      </c>
      <c r="BZ22" s="3">
        <f t="shared" si="9"/>
        <v>0</v>
      </c>
      <c r="CA22" s="3">
        <f t="shared" ref="CA22:DF22" si="10">CA63</f>
        <v>128520.56</v>
      </c>
      <c r="CB22" s="3">
        <f t="shared" si="10"/>
        <v>128520.56</v>
      </c>
      <c r="CC22" s="3">
        <f t="shared" si="10"/>
        <v>0</v>
      </c>
      <c r="CD22" s="3">
        <f t="shared" si="10"/>
        <v>0</v>
      </c>
      <c r="CE22" s="3">
        <f t="shared" si="10"/>
        <v>18760.73</v>
      </c>
      <c r="CF22" s="3">
        <f t="shared" si="10"/>
        <v>18760.73</v>
      </c>
      <c r="CG22" s="3">
        <f t="shared" si="10"/>
        <v>0</v>
      </c>
      <c r="CH22" s="3">
        <f t="shared" si="10"/>
        <v>18760.73</v>
      </c>
      <c r="CI22" s="3">
        <f t="shared" si="10"/>
        <v>0</v>
      </c>
      <c r="CJ22" s="3">
        <f t="shared" si="10"/>
        <v>0</v>
      </c>
      <c r="CK22" s="3">
        <f t="shared" si="10"/>
        <v>0</v>
      </c>
      <c r="CL22" s="3">
        <f t="shared" si="10"/>
        <v>0</v>
      </c>
      <c r="CM22" s="3">
        <f t="shared" si="10"/>
        <v>0</v>
      </c>
      <c r="CN22" s="3">
        <f t="shared" si="10"/>
        <v>0</v>
      </c>
      <c r="CO22" s="3">
        <f t="shared" si="10"/>
        <v>0</v>
      </c>
      <c r="CP22" s="3">
        <f t="shared" si="10"/>
        <v>0</v>
      </c>
      <c r="CQ22" s="3">
        <f t="shared" si="10"/>
        <v>0</v>
      </c>
      <c r="CR22" s="3">
        <f t="shared" si="10"/>
        <v>0</v>
      </c>
      <c r="CS22" s="3">
        <f t="shared" si="10"/>
        <v>0</v>
      </c>
      <c r="CT22" s="3">
        <f t="shared" si="10"/>
        <v>0</v>
      </c>
      <c r="CU22" s="3">
        <f t="shared" si="10"/>
        <v>0</v>
      </c>
      <c r="CV22" s="3">
        <f t="shared" si="10"/>
        <v>0</v>
      </c>
      <c r="CW22" s="3">
        <f t="shared" si="10"/>
        <v>0</v>
      </c>
      <c r="CX22" s="3">
        <f t="shared" si="10"/>
        <v>0</v>
      </c>
      <c r="CY22" s="3">
        <f t="shared" si="10"/>
        <v>0</v>
      </c>
      <c r="CZ22" s="3">
        <f t="shared" si="10"/>
        <v>0</v>
      </c>
      <c r="DA22" s="3">
        <f t="shared" si="10"/>
        <v>0</v>
      </c>
      <c r="DB22" s="3">
        <f t="shared" si="10"/>
        <v>0</v>
      </c>
      <c r="DC22" s="3">
        <f t="shared" si="10"/>
        <v>0</v>
      </c>
      <c r="DD22" s="3">
        <f t="shared" si="10"/>
        <v>0</v>
      </c>
      <c r="DE22" s="3">
        <f t="shared" si="10"/>
        <v>0</v>
      </c>
      <c r="DF22" s="3">
        <f t="shared" si="10"/>
        <v>0</v>
      </c>
      <c r="DG22" s="4">
        <f t="shared" ref="DG22:EL22" si="11">DG63</f>
        <v>0</v>
      </c>
      <c r="DH22" s="4">
        <f t="shared" si="11"/>
        <v>0</v>
      </c>
      <c r="DI22" s="4">
        <f t="shared" si="11"/>
        <v>0</v>
      </c>
      <c r="DJ22" s="4">
        <f t="shared" si="11"/>
        <v>0</v>
      </c>
      <c r="DK22" s="4">
        <f t="shared" si="11"/>
        <v>0</v>
      </c>
      <c r="DL22" s="4">
        <f t="shared" si="11"/>
        <v>0</v>
      </c>
      <c r="DM22" s="4">
        <f t="shared" si="11"/>
        <v>0</v>
      </c>
      <c r="DN22" s="4">
        <f t="shared" si="11"/>
        <v>0</v>
      </c>
      <c r="DO22" s="4">
        <f t="shared" si="11"/>
        <v>0</v>
      </c>
      <c r="DP22" s="4">
        <f t="shared" si="11"/>
        <v>0</v>
      </c>
      <c r="DQ22" s="4">
        <f t="shared" si="11"/>
        <v>0</v>
      </c>
      <c r="DR22" s="4">
        <f t="shared" si="11"/>
        <v>0</v>
      </c>
      <c r="DS22" s="4">
        <f t="shared" si="11"/>
        <v>0</v>
      </c>
      <c r="DT22" s="4">
        <f t="shared" si="11"/>
        <v>0</v>
      </c>
      <c r="DU22" s="4">
        <f t="shared" si="11"/>
        <v>0</v>
      </c>
      <c r="DV22" s="4">
        <f t="shared" si="11"/>
        <v>0</v>
      </c>
      <c r="DW22" s="4">
        <f t="shared" si="11"/>
        <v>0</v>
      </c>
      <c r="DX22" s="4">
        <f t="shared" si="11"/>
        <v>0</v>
      </c>
      <c r="DY22" s="4">
        <f t="shared" si="11"/>
        <v>0</v>
      </c>
      <c r="DZ22" s="4">
        <f t="shared" si="11"/>
        <v>0</v>
      </c>
      <c r="EA22" s="4">
        <f t="shared" si="11"/>
        <v>0</v>
      </c>
      <c r="EB22" s="4">
        <f t="shared" si="11"/>
        <v>0</v>
      </c>
      <c r="EC22" s="4">
        <f t="shared" si="11"/>
        <v>0</v>
      </c>
      <c r="ED22" s="4">
        <f t="shared" si="11"/>
        <v>0</v>
      </c>
      <c r="EE22" s="4">
        <f t="shared" si="11"/>
        <v>0</v>
      </c>
      <c r="EF22" s="4">
        <f t="shared" si="11"/>
        <v>0</v>
      </c>
      <c r="EG22" s="4">
        <f t="shared" si="11"/>
        <v>0</v>
      </c>
      <c r="EH22" s="4">
        <f t="shared" si="11"/>
        <v>0</v>
      </c>
      <c r="EI22" s="4">
        <f t="shared" si="11"/>
        <v>0</v>
      </c>
      <c r="EJ22" s="4">
        <f t="shared" si="11"/>
        <v>0</v>
      </c>
      <c r="EK22" s="4">
        <f t="shared" si="11"/>
        <v>0</v>
      </c>
      <c r="EL22" s="4">
        <f t="shared" si="11"/>
        <v>0</v>
      </c>
      <c r="EM22" s="4">
        <f t="shared" ref="EM22:FR22" si="12">EM63</f>
        <v>0</v>
      </c>
      <c r="EN22" s="4">
        <f t="shared" si="12"/>
        <v>0</v>
      </c>
      <c r="EO22" s="4">
        <f t="shared" si="12"/>
        <v>0</v>
      </c>
      <c r="EP22" s="4">
        <f t="shared" si="12"/>
        <v>0</v>
      </c>
      <c r="EQ22" s="4">
        <f t="shared" si="12"/>
        <v>0</v>
      </c>
      <c r="ER22" s="4">
        <f t="shared" si="12"/>
        <v>0</v>
      </c>
      <c r="ES22" s="4">
        <f t="shared" si="12"/>
        <v>0</v>
      </c>
      <c r="ET22" s="4">
        <f t="shared" si="12"/>
        <v>0</v>
      </c>
      <c r="EU22" s="4">
        <f t="shared" si="12"/>
        <v>0</v>
      </c>
      <c r="EV22" s="4">
        <f t="shared" si="12"/>
        <v>0</v>
      </c>
      <c r="EW22" s="4">
        <f t="shared" si="12"/>
        <v>0</v>
      </c>
      <c r="EX22" s="4">
        <f t="shared" si="12"/>
        <v>0</v>
      </c>
      <c r="EY22" s="4">
        <f t="shared" si="12"/>
        <v>0</v>
      </c>
      <c r="EZ22" s="4">
        <f t="shared" si="12"/>
        <v>0</v>
      </c>
      <c r="FA22" s="4">
        <f t="shared" si="12"/>
        <v>0</v>
      </c>
      <c r="FB22" s="4">
        <f t="shared" si="12"/>
        <v>0</v>
      </c>
      <c r="FC22" s="4">
        <f t="shared" si="12"/>
        <v>0</v>
      </c>
      <c r="FD22" s="4">
        <f t="shared" si="12"/>
        <v>0</v>
      </c>
      <c r="FE22" s="4">
        <f t="shared" si="12"/>
        <v>0</v>
      </c>
      <c r="FF22" s="4">
        <f t="shared" si="12"/>
        <v>0</v>
      </c>
      <c r="FG22" s="4">
        <f t="shared" si="12"/>
        <v>0</v>
      </c>
      <c r="FH22" s="4">
        <f t="shared" si="12"/>
        <v>0</v>
      </c>
      <c r="FI22" s="4">
        <f t="shared" si="12"/>
        <v>0</v>
      </c>
      <c r="FJ22" s="4">
        <f t="shared" si="12"/>
        <v>0</v>
      </c>
      <c r="FK22" s="4">
        <f t="shared" si="12"/>
        <v>0</v>
      </c>
      <c r="FL22" s="4">
        <f t="shared" si="12"/>
        <v>0</v>
      </c>
      <c r="FM22" s="4">
        <f t="shared" si="12"/>
        <v>0</v>
      </c>
      <c r="FN22" s="4">
        <f t="shared" si="12"/>
        <v>0</v>
      </c>
      <c r="FO22" s="4">
        <f t="shared" si="12"/>
        <v>0</v>
      </c>
      <c r="FP22" s="4">
        <f t="shared" si="12"/>
        <v>0</v>
      </c>
      <c r="FQ22" s="4">
        <f t="shared" si="12"/>
        <v>0</v>
      </c>
      <c r="FR22" s="4">
        <f t="shared" si="12"/>
        <v>0</v>
      </c>
      <c r="FS22" s="4">
        <f t="shared" ref="FS22:GX22" si="13">FS63</f>
        <v>0</v>
      </c>
      <c r="FT22" s="4">
        <f t="shared" si="13"/>
        <v>0</v>
      </c>
      <c r="FU22" s="4">
        <f t="shared" si="13"/>
        <v>0</v>
      </c>
      <c r="FV22" s="4">
        <f t="shared" si="13"/>
        <v>0</v>
      </c>
      <c r="FW22" s="4">
        <f t="shared" si="13"/>
        <v>0</v>
      </c>
      <c r="FX22" s="4">
        <f t="shared" si="13"/>
        <v>0</v>
      </c>
      <c r="FY22" s="4">
        <f t="shared" si="13"/>
        <v>0</v>
      </c>
      <c r="FZ22" s="4">
        <f t="shared" si="13"/>
        <v>0</v>
      </c>
      <c r="GA22" s="4">
        <f t="shared" si="13"/>
        <v>0</v>
      </c>
      <c r="GB22" s="4">
        <f t="shared" si="13"/>
        <v>0</v>
      </c>
      <c r="GC22" s="4">
        <f t="shared" si="13"/>
        <v>0</v>
      </c>
      <c r="GD22" s="4">
        <f t="shared" si="13"/>
        <v>0</v>
      </c>
      <c r="GE22" s="4">
        <f t="shared" si="13"/>
        <v>0</v>
      </c>
      <c r="GF22" s="4">
        <f t="shared" si="13"/>
        <v>0</v>
      </c>
      <c r="GG22" s="4">
        <f t="shared" si="13"/>
        <v>0</v>
      </c>
      <c r="GH22" s="4">
        <f t="shared" si="13"/>
        <v>0</v>
      </c>
      <c r="GI22" s="4">
        <f t="shared" si="13"/>
        <v>0</v>
      </c>
      <c r="GJ22" s="4">
        <f t="shared" si="13"/>
        <v>0</v>
      </c>
      <c r="GK22" s="4">
        <f t="shared" si="13"/>
        <v>0</v>
      </c>
      <c r="GL22" s="4">
        <f t="shared" si="13"/>
        <v>0</v>
      </c>
      <c r="GM22" s="4">
        <f t="shared" si="13"/>
        <v>0</v>
      </c>
      <c r="GN22" s="4">
        <f t="shared" si="13"/>
        <v>0</v>
      </c>
      <c r="GO22" s="4">
        <f t="shared" si="13"/>
        <v>0</v>
      </c>
      <c r="GP22" s="4">
        <f t="shared" si="13"/>
        <v>0</v>
      </c>
      <c r="GQ22" s="4">
        <f t="shared" si="13"/>
        <v>0</v>
      </c>
      <c r="GR22" s="4">
        <f t="shared" si="13"/>
        <v>0</v>
      </c>
      <c r="GS22" s="4">
        <f t="shared" si="13"/>
        <v>0</v>
      </c>
      <c r="GT22" s="4">
        <f t="shared" si="13"/>
        <v>0</v>
      </c>
      <c r="GU22" s="4">
        <f t="shared" si="13"/>
        <v>0</v>
      </c>
      <c r="GV22" s="4">
        <f t="shared" si="13"/>
        <v>0</v>
      </c>
      <c r="GW22" s="4">
        <f t="shared" si="13"/>
        <v>0</v>
      </c>
      <c r="GX22" s="4">
        <f t="shared" si="13"/>
        <v>0</v>
      </c>
    </row>
    <row r="24" spans="1:255" ht="409.5" x14ac:dyDescent="0.2">
      <c r="A24" s="2">
        <v>17</v>
      </c>
      <c r="B24" s="2">
        <v>1</v>
      </c>
      <c r="C24" s="2">
        <f>ROW(SmtRes!A4)</f>
        <v>4</v>
      </c>
      <c r="D24" s="2">
        <f>ROW(EtalonRes!A4)</f>
        <v>4</v>
      </c>
      <c r="E24" s="2" t="s">
        <v>14</v>
      </c>
      <c r="F24" s="2" t="s">
        <v>15</v>
      </c>
      <c r="G24" s="2" t="s">
        <v>16</v>
      </c>
      <c r="H24" s="2" t="s">
        <v>17</v>
      </c>
      <c r="I24" s="2">
        <f>ROUND(15/100,7)</f>
        <v>0.15</v>
      </c>
      <c r="J24" s="2">
        <v>0</v>
      </c>
      <c r="K24" s="2">
        <f>ROUND(15/100,7)</f>
        <v>0.15</v>
      </c>
      <c r="L24" s="2"/>
      <c r="M24" s="2"/>
      <c r="N24" s="2"/>
      <c r="O24" s="2">
        <f t="shared" ref="O24:O61" si="14">ROUND(CP24,2)</f>
        <v>5766.41</v>
      </c>
      <c r="P24" s="2">
        <f>SUMIF(SmtRes!AQ1:'SmtRes'!AQ4,"=1",SmtRes!DF1:'SmtRes'!DF4)</f>
        <v>28.37</v>
      </c>
      <c r="Q24" s="2">
        <f>SUMIF(SmtRes!AQ1:'SmtRes'!AQ4,"=1",SmtRes!DG1:'SmtRes'!DG4)</f>
        <v>5.9</v>
      </c>
      <c r="R24" s="2">
        <f>SUMIF(SmtRes!AQ1:'SmtRes'!AQ4,"=1",SmtRes!DH1:'SmtRes'!DH4)</f>
        <v>0</v>
      </c>
      <c r="S24" s="2">
        <f>SUMIF(SmtRes!AQ1:'SmtRes'!AQ4,"=1",SmtRes!DI1:'SmtRes'!DI4)</f>
        <v>5732.14</v>
      </c>
      <c r="T24" s="2">
        <f t="shared" ref="T24:T61" si="15">ROUND(CU24*I24,2)</f>
        <v>0</v>
      </c>
      <c r="U24" s="2">
        <f>SUMIF(SmtRes!AQ1:'SmtRes'!AQ4,"=1",SmtRes!CV1:'SmtRes'!CV4)</f>
        <v>8.8290000000000006</v>
      </c>
      <c r="V24" s="2">
        <f>SUMIF(SmtRes!AQ1:'SmtRes'!AQ4,"=1",SmtRes!CW1:'SmtRes'!CW4)</f>
        <v>0</v>
      </c>
      <c r="W24" s="2">
        <f t="shared" ref="W24:W61" si="16">ROUND(CX24*I24,2)</f>
        <v>0</v>
      </c>
      <c r="X24" s="2">
        <f t="shared" ref="X24:X61" si="17">ROUND(CY24,2)</f>
        <v>4986.96</v>
      </c>
      <c r="Y24" s="2">
        <f t="shared" ref="Y24:Y61" si="18">ROUND(CZ24,2)</f>
        <v>2522.14</v>
      </c>
      <c r="Z24" s="2"/>
      <c r="AA24" s="2">
        <v>82813384</v>
      </c>
      <c r="AB24" s="2">
        <f t="shared" ref="AB24:AB61" si="19">ROUND((AC24+AD24+AF24),6)</f>
        <v>38422.290625000001</v>
      </c>
      <c r="AC24" s="2">
        <f>ROUND((SUM(SmtRes!BQ1:'SmtRes'!BQ4)),6)</f>
        <v>176.01910000000001</v>
      </c>
      <c r="AD24" s="2">
        <f>ROUND((((SUM(SmtRes!BR1:'SmtRes'!BR4))-(0))+AE24),6)</f>
        <v>32.005125</v>
      </c>
      <c r="AE24" s="2">
        <f>ROUND((0),6)</f>
        <v>0</v>
      </c>
      <c r="AF24" s="2">
        <f>ROUND((SUM(SmtRes!BT1:'SmtRes'!BT4)),6)</f>
        <v>38214.2664</v>
      </c>
      <c r="AG24" s="2">
        <f t="shared" ref="AG24:AG61" si="20">ROUND((AP24),6)</f>
        <v>0</v>
      </c>
      <c r="AH24" s="2">
        <f>(SUM(SmtRes!BU1:'SmtRes'!BU4))</f>
        <v>58.860000000000007</v>
      </c>
      <c r="AI24" s="2">
        <f>(0)</f>
        <v>0</v>
      </c>
      <c r="AJ24" s="2">
        <f t="shared" ref="AJ24:AJ61" si="21">(AS24)</f>
        <v>0</v>
      </c>
      <c r="AK24" s="2">
        <v>28506.590600000003</v>
      </c>
      <c r="AL24" s="2">
        <v>176.01910000000001</v>
      </c>
      <c r="AM24" s="2">
        <v>23.7075</v>
      </c>
      <c r="AN24" s="2">
        <v>0</v>
      </c>
      <c r="AO24" s="2">
        <v>28306.864000000001</v>
      </c>
      <c r="AP24" s="2">
        <v>0</v>
      </c>
      <c r="AQ24" s="2">
        <v>43.6</v>
      </c>
      <c r="AR24" s="2">
        <v>0</v>
      </c>
      <c r="AS24" s="2">
        <v>0</v>
      </c>
      <c r="AT24" s="2">
        <v>87</v>
      </c>
      <c r="AU24" s="2">
        <v>44</v>
      </c>
      <c r="AV24" s="2">
        <v>1</v>
      </c>
      <c r="AW24" s="2">
        <v>1</v>
      </c>
      <c r="AX24" s="2"/>
      <c r="AY24" s="2"/>
      <c r="AZ24" s="2">
        <v>1</v>
      </c>
      <c r="BA24" s="2">
        <v>1</v>
      </c>
      <c r="BB24" s="2">
        <v>1</v>
      </c>
      <c r="BC24" s="2">
        <v>1</v>
      </c>
      <c r="BD24" s="2" t="s">
        <v>3</v>
      </c>
      <c r="BE24" s="2" t="s">
        <v>3</v>
      </c>
      <c r="BF24" s="2" t="s">
        <v>3</v>
      </c>
      <c r="BG24" s="2" t="s">
        <v>3</v>
      </c>
      <c r="BH24" s="2">
        <v>0</v>
      </c>
      <c r="BI24" s="2">
        <v>1</v>
      </c>
      <c r="BJ24" s="2" t="s">
        <v>18</v>
      </c>
      <c r="BK24" s="2"/>
      <c r="BL24" s="2"/>
      <c r="BM24" s="2">
        <v>65001</v>
      </c>
      <c r="BN24" s="2">
        <v>0</v>
      </c>
      <c r="BO24" s="2" t="s">
        <v>3</v>
      </c>
      <c r="BP24" s="2">
        <v>0</v>
      </c>
      <c r="BQ24" s="2">
        <v>6</v>
      </c>
      <c r="BR24" s="2">
        <v>0</v>
      </c>
      <c r="BS24" s="2">
        <v>1</v>
      </c>
      <c r="BT24" s="2">
        <v>1</v>
      </c>
      <c r="BU24" s="2">
        <v>1</v>
      </c>
      <c r="BV24" s="2">
        <v>1</v>
      </c>
      <c r="BW24" s="2">
        <v>1</v>
      </c>
      <c r="BX24" s="2">
        <v>1</v>
      </c>
      <c r="BY24" s="2" t="s">
        <v>3</v>
      </c>
      <c r="BZ24" s="2">
        <v>87</v>
      </c>
      <c r="CA24" s="2">
        <v>44</v>
      </c>
      <c r="CB24" s="2" t="s">
        <v>3</v>
      </c>
      <c r="CC24" s="2"/>
      <c r="CD24" s="2"/>
      <c r="CE24" s="2">
        <v>0</v>
      </c>
      <c r="CF24" s="2">
        <v>0</v>
      </c>
      <c r="CG24" s="2">
        <v>0</v>
      </c>
      <c r="CH24" s="2"/>
      <c r="CI24" s="2"/>
      <c r="CJ24" s="2"/>
      <c r="CK24" s="2"/>
      <c r="CL24" s="2"/>
      <c r="CM24" s="2">
        <v>0</v>
      </c>
      <c r="CN24" s="7" t="s">
        <v>425</v>
      </c>
      <c r="CO24" s="2">
        <v>0</v>
      </c>
      <c r="CP24" s="2">
        <f t="shared" ref="CP24:CP61" si="22">(P24+Q24+S24+R24)</f>
        <v>5766.4100000000008</v>
      </c>
      <c r="CQ24" s="2">
        <f>SUMIF(SmtRes!AQ1:'SmtRes'!AQ4,"=1",SmtRes!AA1:'SmtRes'!AA4)</f>
        <v>643.25</v>
      </c>
      <c r="CR24" s="2">
        <f>SUMIF(SmtRes!AQ1:'SmtRes'!AQ4,"=1",SmtRes!AB1:'SmtRes'!AB4)</f>
        <v>5.35</v>
      </c>
      <c r="CS24" s="2">
        <f>SUMIF(SmtRes!AQ1:'SmtRes'!AQ4,"=1",SmtRes!AC1:'SmtRes'!AC4)</f>
        <v>0</v>
      </c>
      <c r="CT24" s="2">
        <f>SUMIF(SmtRes!AQ1:'SmtRes'!AQ4,"=1",SmtRes!AD1:'SmtRes'!AD4)</f>
        <v>649.24</v>
      </c>
      <c r="CU24" s="2">
        <f t="shared" ref="CU24:CU61" si="23">AG24</f>
        <v>0</v>
      </c>
      <c r="CV24" s="2">
        <f>SUMIF(SmtRes!AQ1:'SmtRes'!AQ4,"=1",SmtRes!BU1:'SmtRes'!BU4)</f>
        <v>58.860000000000007</v>
      </c>
      <c r="CW24" s="2">
        <f>SUMIF(SmtRes!AQ1:'SmtRes'!AQ4,"=1",SmtRes!BV1:'SmtRes'!BV4)</f>
        <v>0</v>
      </c>
      <c r="CX24" s="2">
        <f t="shared" ref="CX24:CX61" si="24">AJ24</f>
        <v>0</v>
      </c>
      <c r="CY24" s="2">
        <f t="shared" ref="CY24:CY61" si="25">(((S24+R24)*AT24)/100)</f>
        <v>4986.9618000000009</v>
      </c>
      <c r="CZ24" s="2">
        <f t="shared" ref="CZ24:CZ61" si="26">(((S24+R24)*AU24)/100)</f>
        <v>2522.1415999999999</v>
      </c>
      <c r="DA24" s="2"/>
      <c r="DB24" s="2">
        <v>1</v>
      </c>
      <c r="DC24" s="2" t="s">
        <v>3</v>
      </c>
      <c r="DD24" s="2" t="s">
        <v>3</v>
      </c>
      <c r="DE24" s="2" t="s">
        <v>19</v>
      </c>
      <c r="DF24" s="2" t="s">
        <v>19</v>
      </c>
      <c r="DG24" s="2" t="s">
        <v>19</v>
      </c>
      <c r="DH24" s="2" t="s">
        <v>3</v>
      </c>
      <c r="DI24" s="2" t="s">
        <v>19</v>
      </c>
      <c r="DJ24" s="2" t="s">
        <v>19</v>
      </c>
      <c r="DK24" s="2" t="s">
        <v>3</v>
      </c>
      <c r="DL24" s="2" t="s">
        <v>3</v>
      </c>
      <c r="DM24" s="2" t="s">
        <v>3</v>
      </c>
      <c r="DN24" s="2">
        <v>0</v>
      </c>
      <c r="DO24" s="2">
        <v>0</v>
      </c>
      <c r="DP24" s="2">
        <v>1</v>
      </c>
      <c r="DQ24" s="2">
        <v>1</v>
      </c>
      <c r="DR24" s="2"/>
      <c r="DS24" s="2"/>
      <c r="DT24" s="2"/>
      <c r="DU24" s="2">
        <v>1003</v>
      </c>
      <c r="DV24" s="2" t="s">
        <v>17</v>
      </c>
      <c r="DW24" s="2" t="s">
        <v>17</v>
      </c>
      <c r="DX24" s="2">
        <v>100</v>
      </c>
      <c r="DY24" s="2"/>
      <c r="DZ24" s="2" t="s">
        <v>3</v>
      </c>
      <c r="EA24" s="2" t="s">
        <v>3</v>
      </c>
      <c r="EB24" s="2" t="s">
        <v>3</v>
      </c>
      <c r="EC24" s="2" t="s">
        <v>3</v>
      </c>
      <c r="ED24" s="2"/>
      <c r="EE24" s="2">
        <v>80781947</v>
      </c>
      <c r="EF24" s="2">
        <v>6</v>
      </c>
      <c r="EG24" s="2" t="s">
        <v>20</v>
      </c>
      <c r="EH24" s="2">
        <v>99</v>
      </c>
      <c r="EI24" s="2" t="s">
        <v>21</v>
      </c>
      <c r="EJ24" s="2">
        <v>1</v>
      </c>
      <c r="EK24" s="2">
        <v>65001</v>
      </c>
      <c r="EL24" s="2" t="s">
        <v>22</v>
      </c>
      <c r="EM24" s="2" t="s">
        <v>23</v>
      </c>
      <c r="EN24" s="2"/>
      <c r="EO24" s="2" t="s">
        <v>24</v>
      </c>
      <c r="EP24" s="2"/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43.6</v>
      </c>
      <c r="EX24" s="2">
        <v>0</v>
      </c>
      <c r="EY24" s="2">
        <v>0</v>
      </c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>
        <v>0</v>
      </c>
      <c r="FR24" s="2">
        <v>0</v>
      </c>
      <c r="FS24" s="2">
        <v>0</v>
      </c>
      <c r="FT24" s="2"/>
      <c r="FU24" s="2"/>
      <c r="FV24" s="2"/>
      <c r="FW24" s="2"/>
      <c r="FX24" s="2">
        <v>87</v>
      </c>
      <c r="FY24" s="2">
        <v>44</v>
      </c>
      <c r="FZ24" s="2"/>
      <c r="GA24" s="2" t="s">
        <v>3</v>
      </c>
      <c r="GB24" s="2"/>
      <c r="GC24" s="2"/>
      <c r="GD24" s="2">
        <v>1</v>
      </c>
      <c r="GE24" s="2"/>
      <c r="GF24" s="2">
        <v>-1689102098</v>
      </c>
      <c r="GG24" s="2">
        <v>2</v>
      </c>
      <c r="GH24" s="2">
        <v>1</v>
      </c>
      <c r="GI24" s="2">
        <v>-2</v>
      </c>
      <c r="GJ24" s="2">
        <v>0</v>
      </c>
      <c r="GK24" s="2">
        <v>0</v>
      </c>
      <c r="GL24" s="2">
        <f t="shared" ref="GL24:GL61" si="27">ROUND(IF(AND(BH24=3,BI24=3,FS24&lt;&gt;0),P24,0),2)</f>
        <v>0</v>
      </c>
      <c r="GM24" s="2">
        <f t="shared" ref="GM24:GM61" si="28">ROUND(O24+X24+Y24,2)+GX24</f>
        <v>13275.51</v>
      </c>
      <c r="GN24" s="2">
        <f t="shared" ref="GN24:GN61" si="29">IF(OR(BI24=0,BI24=1),GM24-GX24,0)</f>
        <v>13275.51</v>
      </c>
      <c r="GO24" s="2">
        <f t="shared" ref="GO24:GO61" si="30">IF(BI24=2,GM24-GX24,0)</f>
        <v>0</v>
      </c>
      <c r="GP24" s="2">
        <f t="shared" ref="GP24:GP61" si="31">IF(BI24=4,GM24-GX24,0)</f>
        <v>0</v>
      </c>
      <c r="GQ24" s="2"/>
      <c r="GR24" s="2">
        <v>0</v>
      </c>
      <c r="GS24" s="2">
        <v>3</v>
      </c>
      <c r="GT24" s="2">
        <v>0</v>
      </c>
      <c r="GU24" s="2" t="s">
        <v>3</v>
      </c>
      <c r="GV24" s="2">
        <f t="shared" ref="GV24:GV33" si="32">ROUND((GT24),6)</f>
        <v>0</v>
      </c>
      <c r="GW24" s="2">
        <v>1</v>
      </c>
      <c r="GX24" s="2">
        <f t="shared" ref="GX24:GX61" si="33">ROUND(HC24*I24,2)</f>
        <v>0</v>
      </c>
      <c r="GY24" s="2"/>
      <c r="GZ24" s="2"/>
      <c r="HA24" s="2">
        <v>0</v>
      </c>
      <c r="HB24" s="2">
        <v>0</v>
      </c>
      <c r="HC24" s="2">
        <f t="shared" ref="HC24:HC61" si="34">GV24*GW24</f>
        <v>0</v>
      </c>
      <c r="HD24" s="2"/>
      <c r="HE24" s="2" t="s">
        <v>3</v>
      </c>
      <c r="HF24" s="2" t="s">
        <v>3</v>
      </c>
      <c r="HG24" s="2"/>
      <c r="HH24" s="2"/>
      <c r="HI24" s="2"/>
      <c r="HJ24" s="2"/>
      <c r="HK24" s="2"/>
      <c r="HL24" s="2"/>
      <c r="HM24" s="2" t="s">
        <v>3</v>
      </c>
      <c r="HN24" s="2" t="s">
        <v>25</v>
      </c>
      <c r="HO24" s="2" t="s">
        <v>26</v>
      </c>
      <c r="HP24" s="2" t="s">
        <v>22</v>
      </c>
      <c r="HQ24" s="2" t="s">
        <v>22</v>
      </c>
      <c r="HR24" s="2"/>
      <c r="HS24" s="2">
        <v>0</v>
      </c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>
        <v>0</v>
      </c>
      <c r="IL24" s="2"/>
      <c r="IM24" s="2"/>
      <c r="IN24" s="2"/>
      <c r="IO24" s="2"/>
      <c r="IP24" s="2"/>
      <c r="IQ24" s="2"/>
      <c r="IR24" s="2"/>
      <c r="IS24" s="2"/>
      <c r="IT24" s="2"/>
      <c r="IU24" s="2"/>
    </row>
    <row r="25" spans="1:255" ht="409.5" x14ac:dyDescent="0.2">
      <c r="A25" s="2">
        <v>17</v>
      </c>
      <c r="B25" s="2">
        <v>1</v>
      </c>
      <c r="C25" s="2">
        <f>ROW(SmtRes!A18)</f>
        <v>18</v>
      </c>
      <c r="D25" s="2">
        <f>ROW(EtalonRes!A18)</f>
        <v>18</v>
      </c>
      <c r="E25" s="2" t="s">
        <v>27</v>
      </c>
      <c r="F25" s="2" t="s">
        <v>28</v>
      </c>
      <c r="G25" s="2" t="s">
        <v>29</v>
      </c>
      <c r="H25" s="2" t="s">
        <v>30</v>
      </c>
      <c r="I25" s="2">
        <v>2</v>
      </c>
      <c r="J25" s="2">
        <v>0</v>
      </c>
      <c r="K25" s="2">
        <v>2</v>
      </c>
      <c r="L25" s="2"/>
      <c r="M25" s="2"/>
      <c r="N25" s="2"/>
      <c r="O25" s="2">
        <f t="shared" si="14"/>
        <v>13699.3</v>
      </c>
      <c r="P25" s="2">
        <f>SUMIF(SmtRes!AQ5:'SmtRes'!AQ18,"=1",SmtRes!DF5:'SmtRes'!DF18)</f>
        <v>713.33999999999992</v>
      </c>
      <c r="Q25" s="2">
        <f>SUMIF(SmtRes!AQ5:'SmtRes'!AQ18,"=1",SmtRes!DG5:'SmtRes'!DG18)</f>
        <v>125.33000000000001</v>
      </c>
      <c r="R25" s="2">
        <f>SUMIF(SmtRes!AQ5:'SmtRes'!AQ18,"=1",SmtRes!DH5:'SmtRes'!DH18)</f>
        <v>57.81</v>
      </c>
      <c r="S25" s="2">
        <f>SUMIF(SmtRes!AQ5:'SmtRes'!AQ18,"=1",SmtRes!DI5:'SmtRes'!DI18)</f>
        <v>12802.82</v>
      </c>
      <c r="T25" s="2">
        <f t="shared" si="15"/>
        <v>0</v>
      </c>
      <c r="U25" s="2">
        <f>SUMIF(SmtRes!AQ5:'SmtRes'!AQ18,"=1",SmtRes!CV5:'SmtRes'!CV18)</f>
        <v>17.5122</v>
      </c>
      <c r="V25" s="2">
        <f>SUMIF(SmtRes!AQ5:'SmtRes'!AQ18,"=1",SmtRes!CW5:'SmtRes'!CW18)</f>
        <v>6.7500000000000004E-2</v>
      </c>
      <c r="W25" s="2">
        <f t="shared" si="16"/>
        <v>0</v>
      </c>
      <c r="X25" s="2">
        <f t="shared" si="17"/>
        <v>14005.23</v>
      </c>
      <c r="Y25" s="2">
        <f t="shared" si="18"/>
        <v>7870.71</v>
      </c>
      <c r="Z25" s="2"/>
      <c r="AA25" s="2">
        <v>82813384</v>
      </c>
      <c r="AB25" s="2">
        <f t="shared" si="19"/>
        <v>6826.3081030000003</v>
      </c>
      <c r="AC25" s="2">
        <f>ROUND((SUM(SmtRes!BQ5:'SmtRes'!BQ18)),6)</f>
        <v>363.25970899999999</v>
      </c>
      <c r="AD25" s="2">
        <f>ROUND((((SUM(SmtRes!BR5:'SmtRes'!BR18))-(SUM(SmtRes!BS5:'SmtRes'!BS18)))+AE25),6)</f>
        <v>61.638806000000002</v>
      </c>
      <c r="AE25" s="2">
        <f>ROUND((SUM(SmtRes!BS5:'SmtRes'!BS18)),6)</f>
        <v>28.908899999999999</v>
      </c>
      <c r="AF25" s="2">
        <f>ROUND((SUM(SmtRes!BT5:'SmtRes'!BT18)),6)</f>
        <v>6401.4095880000004</v>
      </c>
      <c r="AG25" s="2">
        <f t="shared" si="20"/>
        <v>0</v>
      </c>
      <c r="AH25" s="2">
        <f>(SUM(SmtRes!BU5:'SmtRes'!BU18))</f>
        <v>8.7561</v>
      </c>
      <c r="AI25" s="2">
        <f>(SUM(SmtRes!BV5:'SmtRes'!BV18))</f>
        <v>3.3750000000000002E-2</v>
      </c>
      <c r="AJ25" s="2">
        <f t="shared" si="21"/>
        <v>0</v>
      </c>
      <c r="AK25" s="2">
        <v>4540.2088089999997</v>
      </c>
      <c r="AL25" s="2">
        <v>363.25970899999999</v>
      </c>
      <c r="AM25" s="2">
        <v>36.526700000000005</v>
      </c>
      <c r="AN25" s="2">
        <v>17.1312</v>
      </c>
      <c r="AO25" s="2">
        <v>4123.2911999999997</v>
      </c>
      <c r="AP25" s="2">
        <v>0</v>
      </c>
      <c r="AQ25" s="2">
        <v>5.64</v>
      </c>
      <c r="AR25" s="2">
        <v>0.02</v>
      </c>
      <c r="AS25" s="2">
        <v>0</v>
      </c>
      <c r="AT25" s="2">
        <v>108.9</v>
      </c>
      <c r="AU25" s="2">
        <v>61.2</v>
      </c>
      <c r="AV25" s="2">
        <v>1</v>
      </c>
      <c r="AW25" s="2">
        <v>1</v>
      </c>
      <c r="AX25" s="2"/>
      <c r="AY25" s="2"/>
      <c r="AZ25" s="2">
        <v>1</v>
      </c>
      <c r="BA25" s="2">
        <v>1</v>
      </c>
      <c r="BB25" s="2">
        <v>1</v>
      </c>
      <c r="BC25" s="2">
        <v>1</v>
      </c>
      <c r="BD25" s="2" t="s">
        <v>3</v>
      </c>
      <c r="BE25" s="2" t="s">
        <v>3</v>
      </c>
      <c r="BF25" s="2" t="s">
        <v>3</v>
      </c>
      <c r="BG25" s="2" t="s">
        <v>3</v>
      </c>
      <c r="BH25" s="2">
        <v>0</v>
      </c>
      <c r="BI25" s="2">
        <v>1</v>
      </c>
      <c r="BJ25" s="2" t="s">
        <v>31</v>
      </c>
      <c r="BK25" s="2"/>
      <c r="BL25" s="2"/>
      <c r="BM25" s="2">
        <v>16001</v>
      </c>
      <c r="BN25" s="2">
        <v>0</v>
      </c>
      <c r="BO25" s="2" t="s">
        <v>3</v>
      </c>
      <c r="BP25" s="2">
        <v>0</v>
      </c>
      <c r="BQ25" s="2">
        <v>2</v>
      </c>
      <c r="BR25" s="2">
        <v>0</v>
      </c>
      <c r="BS25" s="2">
        <v>1</v>
      </c>
      <c r="BT25" s="2">
        <v>1</v>
      </c>
      <c r="BU25" s="2">
        <v>1</v>
      </c>
      <c r="BV25" s="2">
        <v>1</v>
      </c>
      <c r="BW25" s="2">
        <v>1</v>
      </c>
      <c r="BX25" s="2">
        <v>1</v>
      </c>
      <c r="BY25" s="2" t="s">
        <v>3</v>
      </c>
      <c r="BZ25" s="2">
        <v>121</v>
      </c>
      <c r="CA25" s="2">
        <v>72</v>
      </c>
      <c r="CB25" s="2" t="s">
        <v>3</v>
      </c>
      <c r="CC25" s="2"/>
      <c r="CD25" s="2"/>
      <c r="CE25" s="2">
        <v>0</v>
      </c>
      <c r="CF25" s="2">
        <v>0</v>
      </c>
      <c r="CG25" s="2">
        <v>0</v>
      </c>
      <c r="CH25" s="2"/>
      <c r="CI25" s="2"/>
      <c r="CJ25" s="2"/>
      <c r="CK25" s="2"/>
      <c r="CL25" s="2"/>
      <c r="CM25" s="2">
        <v>0</v>
      </c>
      <c r="CN25" s="7" t="s">
        <v>427</v>
      </c>
      <c r="CO25" s="2">
        <v>0</v>
      </c>
      <c r="CP25" s="2">
        <f t="shared" si="22"/>
        <v>13699.3</v>
      </c>
      <c r="CQ25" s="2">
        <f>SUMIF(SmtRes!AQ5:'SmtRes'!AQ18,"=1",SmtRes!AA5:'SmtRes'!AA18)</f>
        <v>167066.75999999998</v>
      </c>
      <c r="CR25" s="2">
        <f>SUMIF(SmtRes!AQ5:'SmtRes'!AQ18,"=1",SmtRes!AB5:'SmtRes'!AB18)</f>
        <v>1619.47</v>
      </c>
      <c r="CS25" s="2">
        <f>SUMIF(SmtRes!AQ5:'SmtRes'!AQ18,"=1",SmtRes!AC5:'SmtRes'!AC18)</f>
        <v>1713.12</v>
      </c>
      <c r="CT25" s="2">
        <f>SUMIF(SmtRes!AQ5:'SmtRes'!AQ18,"=1",SmtRes!AD5:'SmtRes'!AD18)</f>
        <v>731.08</v>
      </c>
      <c r="CU25" s="2">
        <f t="shared" si="23"/>
        <v>0</v>
      </c>
      <c r="CV25" s="2">
        <f>SUMIF(SmtRes!AQ5:'SmtRes'!AQ18,"=1",SmtRes!BU5:'SmtRes'!BU18)</f>
        <v>8.7561</v>
      </c>
      <c r="CW25" s="2">
        <f>SUMIF(SmtRes!AQ5:'SmtRes'!AQ18,"=1",SmtRes!BV5:'SmtRes'!BV18)</f>
        <v>3.3750000000000002E-2</v>
      </c>
      <c r="CX25" s="2">
        <f t="shared" si="24"/>
        <v>0</v>
      </c>
      <c r="CY25" s="2">
        <f t="shared" si="25"/>
        <v>14005.226070000001</v>
      </c>
      <c r="CZ25" s="2">
        <f t="shared" si="26"/>
        <v>7870.7055599999994</v>
      </c>
      <c r="DA25" s="2"/>
      <c r="DB25" s="2">
        <v>2</v>
      </c>
      <c r="DC25" s="2" t="s">
        <v>3</v>
      </c>
      <c r="DD25" s="2" t="s">
        <v>3</v>
      </c>
      <c r="DE25" s="2" t="s">
        <v>32</v>
      </c>
      <c r="DF25" s="2" t="s">
        <v>32</v>
      </c>
      <c r="DG25" s="2" t="s">
        <v>33</v>
      </c>
      <c r="DH25" s="2" t="s">
        <v>3</v>
      </c>
      <c r="DI25" s="2" t="s">
        <v>33</v>
      </c>
      <c r="DJ25" s="2" t="s">
        <v>32</v>
      </c>
      <c r="DK25" s="2" t="s">
        <v>3</v>
      </c>
      <c r="DL25" s="2" t="s">
        <v>34</v>
      </c>
      <c r="DM25" s="2" t="s">
        <v>35</v>
      </c>
      <c r="DN25" s="2">
        <v>0</v>
      </c>
      <c r="DO25" s="2">
        <v>0</v>
      </c>
      <c r="DP25" s="2">
        <v>1</v>
      </c>
      <c r="DQ25" s="2">
        <v>1</v>
      </c>
      <c r="DR25" s="2"/>
      <c r="DS25" s="2"/>
      <c r="DT25" s="2"/>
      <c r="DU25" s="2">
        <v>1013</v>
      </c>
      <c r="DV25" s="2" t="s">
        <v>30</v>
      </c>
      <c r="DW25" s="2" t="s">
        <v>30</v>
      </c>
      <c r="DX25" s="2">
        <v>1</v>
      </c>
      <c r="DY25" s="2"/>
      <c r="DZ25" s="2" t="s">
        <v>3</v>
      </c>
      <c r="EA25" s="2" t="s">
        <v>3</v>
      </c>
      <c r="EB25" s="2" t="s">
        <v>3</v>
      </c>
      <c r="EC25" s="2" t="s">
        <v>3</v>
      </c>
      <c r="ED25" s="2"/>
      <c r="EE25" s="2">
        <v>80781888</v>
      </c>
      <c r="EF25" s="2">
        <v>2</v>
      </c>
      <c r="EG25" s="2" t="s">
        <v>36</v>
      </c>
      <c r="EH25" s="2">
        <v>16</v>
      </c>
      <c r="EI25" s="2" t="s">
        <v>37</v>
      </c>
      <c r="EJ25" s="2">
        <v>1</v>
      </c>
      <c r="EK25" s="2">
        <v>16001</v>
      </c>
      <c r="EL25" s="2" t="s">
        <v>38</v>
      </c>
      <c r="EM25" s="2" t="s">
        <v>39</v>
      </c>
      <c r="EN25" s="2"/>
      <c r="EO25" s="2" t="s">
        <v>40</v>
      </c>
      <c r="EP25" s="2"/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5.64</v>
      </c>
      <c r="EX25" s="2">
        <v>0.02</v>
      </c>
      <c r="EY25" s="2">
        <v>0</v>
      </c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>
        <v>0</v>
      </c>
      <c r="FR25" s="2">
        <v>0</v>
      </c>
      <c r="FS25" s="2">
        <v>0</v>
      </c>
      <c r="FT25" s="2"/>
      <c r="FU25" s="2"/>
      <c r="FV25" s="2"/>
      <c r="FW25" s="2"/>
      <c r="FX25" s="2">
        <v>108.9</v>
      </c>
      <c r="FY25" s="2">
        <v>61.199999999999996</v>
      </c>
      <c r="FZ25" s="2"/>
      <c r="GA25" s="2" t="s">
        <v>3</v>
      </c>
      <c r="GB25" s="2"/>
      <c r="GC25" s="2"/>
      <c r="GD25" s="2">
        <v>1</v>
      </c>
      <c r="GE25" s="2"/>
      <c r="GF25" s="2">
        <v>-1484564249</v>
      </c>
      <c r="GG25" s="2">
        <v>2</v>
      </c>
      <c r="GH25" s="2">
        <v>1</v>
      </c>
      <c r="GI25" s="2">
        <v>-2</v>
      </c>
      <c r="GJ25" s="2">
        <v>0</v>
      </c>
      <c r="GK25" s="2">
        <v>0</v>
      </c>
      <c r="GL25" s="2">
        <f t="shared" si="27"/>
        <v>0</v>
      </c>
      <c r="GM25" s="2">
        <f t="shared" si="28"/>
        <v>35575.24</v>
      </c>
      <c r="GN25" s="2">
        <f t="shared" si="29"/>
        <v>35575.24</v>
      </c>
      <c r="GO25" s="2">
        <f t="shared" si="30"/>
        <v>0</v>
      </c>
      <c r="GP25" s="2">
        <f t="shared" si="31"/>
        <v>0</v>
      </c>
      <c r="GQ25" s="2"/>
      <c r="GR25" s="2">
        <v>0</v>
      </c>
      <c r="GS25" s="2">
        <v>3</v>
      </c>
      <c r="GT25" s="2">
        <v>0</v>
      </c>
      <c r="GU25" s="2" t="s">
        <v>3</v>
      </c>
      <c r="GV25" s="2">
        <f t="shared" si="32"/>
        <v>0</v>
      </c>
      <c r="GW25" s="2">
        <v>1</v>
      </c>
      <c r="GX25" s="2">
        <f t="shared" si="33"/>
        <v>0</v>
      </c>
      <c r="GY25" s="2"/>
      <c r="GZ25" s="2"/>
      <c r="HA25" s="2">
        <v>0</v>
      </c>
      <c r="HB25" s="2">
        <v>0</v>
      </c>
      <c r="HC25" s="2">
        <f t="shared" si="34"/>
        <v>0</v>
      </c>
      <c r="HD25" s="2"/>
      <c r="HE25" s="2" t="s">
        <v>3</v>
      </c>
      <c r="HF25" s="2" t="s">
        <v>3</v>
      </c>
      <c r="HG25" s="2"/>
      <c r="HH25" s="2"/>
      <c r="HI25" s="2"/>
      <c r="HJ25" s="2"/>
      <c r="HK25" s="2"/>
      <c r="HL25" s="2"/>
      <c r="HM25" s="2" t="s">
        <v>3</v>
      </c>
      <c r="HN25" s="2" t="s">
        <v>41</v>
      </c>
      <c r="HO25" s="2" t="s">
        <v>42</v>
      </c>
      <c r="HP25" s="2" t="s">
        <v>37</v>
      </c>
      <c r="HQ25" s="2" t="s">
        <v>37</v>
      </c>
      <c r="HR25" s="2"/>
      <c r="HS25" s="2">
        <v>0</v>
      </c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>
        <v>0</v>
      </c>
      <c r="IL25" s="2"/>
      <c r="IM25" s="2"/>
      <c r="IN25" s="2"/>
      <c r="IO25" s="2"/>
      <c r="IP25" s="2"/>
      <c r="IQ25" s="2"/>
      <c r="IR25" s="2"/>
      <c r="IS25" s="2"/>
      <c r="IT25" s="2"/>
      <c r="IU25" s="2"/>
    </row>
    <row r="26" spans="1:255" x14ac:dyDescent="0.2">
      <c r="A26" s="2">
        <v>18</v>
      </c>
      <c r="B26" s="2">
        <v>1</v>
      </c>
      <c r="C26" s="2">
        <v>16</v>
      </c>
      <c r="D26" s="2"/>
      <c r="E26" s="2" t="s">
        <v>43</v>
      </c>
      <c r="F26" s="2" t="s">
        <v>44</v>
      </c>
      <c r="G26" s="2" t="s">
        <v>45</v>
      </c>
      <c r="H26" s="2" t="s">
        <v>30</v>
      </c>
      <c r="I26" s="2">
        <f>I25*J26</f>
        <v>2</v>
      </c>
      <c r="J26" s="2">
        <v>1</v>
      </c>
      <c r="K26" s="2">
        <v>1</v>
      </c>
      <c r="L26" s="2"/>
      <c r="M26" s="2"/>
      <c r="N26" s="2"/>
      <c r="O26" s="2">
        <f t="shared" si="14"/>
        <v>0</v>
      </c>
      <c r="P26" s="2">
        <f>ROUND(CQ26*I26,2)</f>
        <v>0</v>
      </c>
      <c r="Q26" s="2">
        <f>ROUND(CR26*I26,2)</f>
        <v>0</v>
      </c>
      <c r="R26" s="2">
        <f>ROUND(CS26*I26,2)</f>
        <v>0</v>
      </c>
      <c r="S26" s="2">
        <f>ROUND(CT26*I26,2)</f>
        <v>0</v>
      </c>
      <c r="T26" s="2">
        <f t="shared" si="15"/>
        <v>0</v>
      </c>
      <c r="U26" s="2">
        <f>ROUND(CV26*I26,7)</f>
        <v>0</v>
      </c>
      <c r="V26" s="2">
        <f>ROUND(CW26*I26,7)</f>
        <v>0</v>
      </c>
      <c r="W26" s="2">
        <f t="shared" si="16"/>
        <v>0</v>
      </c>
      <c r="X26" s="2">
        <f t="shared" si="17"/>
        <v>0</v>
      </c>
      <c r="Y26" s="2">
        <f t="shared" si="18"/>
        <v>0</v>
      </c>
      <c r="Z26" s="2"/>
      <c r="AA26" s="2">
        <v>82813384</v>
      </c>
      <c r="AB26" s="2">
        <f t="shared" si="19"/>
        <v>0</v>
      </c>
      <c r="AC26" s="2">
        <f>ROUND((ES26),6)</f>
        <v>0</v>
      </c>
      <c r="AD26" s="2">
        <f>ROUND((((ET26)-(EU26))+AE26),6)</f>
        <v>0</v>
      </c>
      <c r="AE26" s="2">
        <f>ROUND((EU26),6)</f>
        <v>0</v>
      </c>
      <c r="AF26" s="2">
        <f>ROUND((EV26),6)</f>
        <v>0</v>
      </c>
      <c r="AG26" s="2">
        <f t="shared" si="20"/>
        <v>0</v>
      </c>
      <c r="AH26" s="2">
        <f>(EW26)</f>
        <v>0</v>
      </c>
      <c r="AI26" s="2">
        <f>(EX26)</f>
        <v>0</v>
      </c>
      <c r="AJ26" s="2">
        <f t="shared" si="21"/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121</v>
      </c>
      <c r="AU26" s="2">
        <v>72</v>
      </c>
      <c r="AV26" s="2">
        <v>1</v>
      </c>
      <c r="AW26" s="2">
        <v>1</v>
      </c>
      <c r="AX26" s="2"/>
      <c r="AY26" s="2"/>
      <c r="AZ26" s="2">
        <v>1</v>
      </c>
      <c r="BA26" s="2">
        <v>1</v>
      </c>
      <c r="BB26" s="2">
        <v>1</v>
      </c>
      <c r="BC26" s="2">
        <v>1</v>
      </c>
      <c r="BD26" s="2" t="s">
        <v>3</v>
      </c>
      <c r="BE26" s="2" t="s">
        <v>3</v>
      </c>
      <c r="BF26" s="2" t="s">
        <v>3</v>
      </c>
      <c r="BG26" s="2" t="s">
        <v>3</v>
      </c>
      <c r="BH26" s="2">
        <v>3</v>
      </c>
      <c r="BI26" s="2">
        <v>1</v>
      </c>
      <c r="BJ26" s="2" t="s">
        <v>3</v>
      </c>
      <c r="BK26" s="2"/>
      <c r="BL26" s="2"/>
      <c r="BM26" s="2">
        <v>16001</v>
      </c>
      <c r="BN26" s="2">
        <v>0</v>
      </c>
      <c r="BO26" s="2" t="s">
        <v>3</v>
      </c>
      <c r="BP26" s="2">
        <v>0</v>
      </c>
      <c r="BQ26" s="2">
        <v>2</v>
      </c>
      <c r="BR26" s="2">
        <v>0</v>
      </c>
      <c r="BS26" s="2">
        <v>1</v>
      </c>
      <c r="BT26" s="2">
        <v>1</v>
      </c>
      <c r="BU26" s="2">
        <v>1</v>
      </c>
      <c r="BV26" s="2">
        <v>1</v>
      </c>
      <c r="BW26" s="2">
        <v>1</v>
      </c>
      <c r="BX26" s="2">
        <v>1</v>
      </c>
      <c r="BY26" s="2" t="s">
        <v>3</v>
      </c>
      <c r="BZ26" s="2">
        <v>121</v>
      </c>
      <c r="CA26" s="2">
        <v>72</v>
      </c>
      <c r="CB26" s="2" t="s">
        <v>3</v>
      </c>
      <c r="CC26" s="2"/>
      <c r="CD26" s="2"/>
      <c r="CE26" s="2">
        <v>0</v>
      </c>
      <c r="CF26" s="2">
        <v>0</v>
      </c>
      <c r="CG26" s="2">
        <v>0</v>
      </c>
      <c r="CH26" s="2"/>
      <c r="CI26" s="2"/>
      <c r="CJ26" s="2"/>
      <c r="CK26" s="2"/>
      <c r="CL26" s="2"/>
      <c r="CM26" s="2">
        <v>0</v>
      </c>
      <c r="CN26" s="2" t="s">
        <v>3</v>
      </c>
      <c r="CO26" s="2">
        <v>0</v>
      </c>
      <c r="CP26" s="2">
        <f t="shared" si="22"/>
        <v>0</v>
      </c>
      <c r="CQ26" s="2">
        <f>ROUND(AL26*BC26,2)</f>
        <v>0</v>
      </c>
      <c r="CR26" s="2">
        <f>ROUND(AM26*BB26,2)</f>
        <v>0</v>
      </c>
      <c r="CS26" s="2">
        <f>ROUND(AN26*BS26,2)</f>
        <v>0</v>
      </c>
      <c r="CT26" s="2">
        <f>ROUND(AO26*BA26,2)</f>
        <v>0</v>
      </c>
      <c r="CU26" s="2">
        <f t="shared" si="23"/>
        <v>0</v>
      </c>
      <c r="CV26" s="2">
        <f>AH26</f>
        <v>0</v>
      </c>
      <c r="CW26" s="2">
        <f>AI26</f>
        <v>0</v>
      </c>
      <c r="CX26" s="2">
        <f t="shared" si="24"/>
        <v>0</v>
      </c>
      <c r="CY26" s="2">
        <f t="shared" si="25"/>
        <v>0</v>
      </c>
      <c r="CZ26" s="2">
        <f t="shared" si="26"/>
        <v>0</v>
      </c>
      <c r="DA26" s="2"/>
      <c r="DB26" s="2"/>
      <c r="DC26" s="2" t="s">
        <v>3</v>
      </c>
      <c r="DD26" s="2" t="s">
        <v>3</v>
      </c>
      <c r="DE26" s="2" t="s">
        <v>3</v>
      </c>
      <c r="DF26" s="2" t="s">
        <v>3</v>
      </c>
      <c r="DG26" s="2" t="s">
        <v>3</v>
      </c>
      <c r="DH26" s="2" t="s">
        <v>3</v>
      </c>
      <c r="DI26" s="2" t="s">
        <v>3</v>
      </c>
      <c r="DJ26" s="2" t="s">
        <v>3</v>
      </c>
      <c r="DK26" s="2" t="s">
        <v>3</v>
      </c>
      <c r="DL26" s="2" t="s">
        <v>3</v>
      </c>
      <c r="DM26" s="2" t="s">
        <v>3</v>
      </c>
      <c r="DN26" s="2">
        <v>0</v>
      </c>
      <c r="DO26" s="2">
        <v>0</v>
      </c>
      <c r="DP26" s="2">
        <v>1</v>
      </c>
      <c r="DQ26" s="2">
        <v>1</v>
      </c>
      <c r="DR26" s="2"/>
      <c r="DS26" s="2"/>
      <c r="DT26" s="2"/>
      <c r="DU26" s="2">
        <v>1013</v>
      </c>
      <c r="DV26" s="2" t="s">
        <v>30</v>
      </c>
      <c r="DW26" s="2" t="s">
        <v>30</v>
      </c>
      <c r="DX26" s="2">
        <v>1</v>
      </c>
      <c r="DY26" s="2"/>
      <c r="DZ26" s="2" t="s">
        <v>3</v>
      </c>
      <c r="EA26" s="2" t="s">
        <v>3</v>
      </c>
      <c r="EB26" s="2" t="s">
        <v>3</v>
      </c>
      <c r="EC26" s="2" t="s">
        <v>3</v>
      </c>
      <c r="ED26" s="2"/>
      <c r="EE26" s="2">
        <v>80781888</v>
      </c>
      <c r="EF26" s="2">
        <v>2</v>
      </c>
      <c r="EG26" s="2" t="s">
        <v>36</v>
      </c>
      <c r="EH26" s="2">
        <v>16</v>
      </c>
      <c r="EI26" s="2" t="s">
        <v>37</v>
      </c>
      <c r="EJ26" s="2">
        <v>1</v>
      </c>
      <c r="EK26" s="2">
        <v>16001</v>
      </c>
      <c r="EL26" s="2" t="s">
        <v>38</v>
      </c>
      <c r="EM26" s="2" t="s">
        <v>39</v>
      </c>
      <c r="EN26" s="2"/>
      <c r="EO26" s="2" t="s">
        <v>3</v>
      </c>
      <c r="EP26" s="2"/>
      <c r="EQ26" s="2">
        <v>0</v>
      </c>
      <c r="ER26" s="2">
        <v>0</v>
      </c>
      <c r="ES26" s="2">
        <v>0</v>
      </c>
      <c r="ET26" s="2">
        <v>0</v>
      </c>
      <c r="EU26" s="2">
        <v>0</v>
      </c>
      <c r="EV26" s="2">
        <v>0</v>
      </c>
      <c r="EW26" s="2">
        <v>0</v>
      </c>
      <c r="EX26" s="2">
        <v>0</v>
      </c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>
        <v>0</v>
      </c>
      <c r="FR26" s="2">
        <v>0</v>
      </c>
      <c r="FS26" s="2">
        <v>0</v>
      </c>
      <c r="FT26" s="2"/>
      <c r="FU26" s="2"/>
      <c r="FV26" s="2"/>
      <c r="FW26" s="2"/>
      <c r="FX26" s="2">
        <v>121</v>
      </c>
      <c r="FY26" s="2">
        <v>72</v>
      </c>
      <c r="FZ26" s="2"/>
      <c r="GA26" s="2" t="s">
        <v>3</v>
      </c>
      <c r="GB26" s="2"/>
      <c r="GC26" s="2"/>
      <c r="GD26" s="2">
        <v>1</v>
      </c>
      <c r="GE26" s="2"/>
      <c r="GF26" s="2">
        <v>2104205920</v>
      </c>
      <c r="GG26" s="2">
        <v>2</v>
      </c>
      <c r="GH26" s="2">
        <v>1</v>
      </c>
      <c r="GI26" s="2">
        <v>-2</v>
      </c>
      <c r="GJ26" s="2">
        <v>0</v>
      </c>
      <c r="GK26" s="2">
        <v>0</v>
      </c>
      <c r="GL26" s="2">
        <f t="shared" si="27"/>
        <v>0</v>
      </c>
      <c r="GM26" s="2">
        <f t="shared" si="28"/>
        <v>0</v>
      </c>
      <c r="GN26" s="2">
        <f t="shared" si="29"/>
        <v>0</v>
      </c>
      <c r="GO26" s="2">
        <f t="shared" si="30"/>
        <v>0</v>
      </c>
      <c r="GP26" s="2">
        <f t="shared" si="31"/>
        <v>0</v>
      </c>
      <c r="GQ26" s="2"/>
      <c r="GR26" s="2">
        <v>0</v>
      </c>
      <c r="GS26" s="2">
        <v>3</v>
      </c>
      <c r="GT26" s="2">
        <v>0</v>
      </c>
      <c r="GU26" s="2" t="s">
        <v>3</v>
      </c>
      <c r="GV26" s="2">
        <f t="shared" si="32"/>
        <v>0</v>
      </c>
      <c r="GW26" s="2">
        <v>1</v>
      </c>
      <c r="GX26" s="2">
        <f t="shared" si="33"/>
        <v>0</v>
      </c>
      <c r="GY26" s="2"/>
      <c r="GZ26" s="2"/>
      <c r="HA26" s="2">
        <v>0</v>
      </c>
      <c r="HB26" s="2">
        <v>0</v>
      </c>
      <c r="HC26" s="2">
        <f t="shared" si="34"/>
        <v>0</v>
      </c>
      <c r="HD26" s="2"/>
      <c r="HE26" s="2" t="s">
        <v>3</v>
      </c>
      <c r="HF26" s="2" t="s">
        <v>3</v>
      </c>
      <c r="HG26" s="2"/>
      <c r="HH26" s="2"/>
      <c r="HI26" s="2"/>
      <c r="HJ26" s="2"/>
      <c r="HK26" s="2"/>
      <c r="HL26" s="2"/>
      <c r="HM26" s="2" t="s">
        <v>3</v>
      </c>
      <c r="HN26" s="2" t="s">
        <v>41</v>
      </c>
      <c r="HO26" s="2" t="s">
        <v>42</v>
      </c>
      <c r="HP26" s="2" t="s">
        <v>37</v>
      </c>
      <c r="HQ26" s="2" t="s">
        <v>37</v>
      </c>
      <c r="HR26" s="2"/>
      <c r="HS26" s="2">
        <v>0</v>
      </c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>
        <v>0</v>
      </c>
      <c r="IL26" s="2"/>
      <c r="IM26" s="2"/>
      <c r="IN26" s="2"/>
      <c r="IO26" s="2"/>
      <c r="IP26" s="2"/>
      <c r="IQ26" s="2"/>
      <c r="IR26" s="2"/>
      <c r="IS26" s="2"/>
      <c r="IT26" s="2"/>
      <c r="IU26" s="2"/>
    </row>
    <row r="27" spans="1:255" x14ac:dyDescent="0.2">
      <c r="A27" s="2">
        <v>18</v>
      </c>
      <c r="B27" s="2">
        <v>1</v>
      </c>
      <c r="C27" s="2">
        <v>18</v>
      </c>
      <c r="D27" s="2"/>
      <c r="E27" s="2" t="s">
        <v>46</v>
      </c>
      <c r="F27" s="2" t="s">
        <v>47</v>
      </c>
      <c r="G27" s="2" t="s">
        <v>48</v>
      </c>
      <c r="H27" s="2" t="s">
        <v>30</v>
      </c>
      <c r="I27" s="2">
        <f>I25*J27</f>
        <v>2</v>
      </c>
      <c r="J27" s="2">
        <v>1</v>
      </c>
      <c r="K27" s="2">
        <v>1</v>
      </c>
      <c r="L27" s="2"/>
      <c r="M27" s="2"/>
      <c r="N27" s="2"/>
      <c r="O27" s="2">
        <f t="shared" si="14"/>
        <v>0</v>
      </c>
      <c r="P27" s="2">
        <f>ROUND(CQ27*I27,2)</f>
        <v>0</v>
      </c>
      <c r="Q27" s="2">
        <f>ROUND(CR27*I27,2)</f>
        <v>0</v>
      </c>
      <c r="R27" s="2">
        <f>ROUND(CS27*I27,2)</f>
        <v>0</v>
      </c>
      <c r="S27" s="2">
        <f>ROUND(CT27*I27,2)</f>
        <v>0</v>
      </c>
      <c r="T27" s="2">
        <f t="shared" si="15"/>
        <v>0</v>
      </c>
      <c r="U27" s="2">
        <f>ROUND(CV27*I27,7)</f>
        <v>0</v>
      </c>
      <c r="V27" s="2">
        <f>ROUND(CW27*I27,7)</f>
        <v>0</v>
      </c>
      <c r="W27" s="2">
        <f t="shared" si="16"/>
        <v>0</v>
      </c>
      <c r="X27" s="2">
        <f t="shared" si="17"/>
        <v>0</v>
      </c>
      <c r="Y27" s="2">
        <f t="shared" si="18"/>
        <v>0</v>
      </c>
      <c r="Z27" s="2"/>
      <c r="AA27" s="2">
        <v>82813384</v>
      </c>
      <c r="AB27" s="2">
        <f t="shared" si="19"/>
        <v>0</v>
      </c>
      <c r="AC27" s="2">
        <f>ROUND((ES27),6)</f>
        <v>0</v>
      </c>
      <c r="AD27" s="2">
        <f>ROUND((((ET27)-(EU27))+AE27),6)</f>
        <v>0</v>
      </c>
      <c r="AE27" s="2">
        <f>ROUND((EU27),6)</f>
        <v>0</v>
      </c>
      <c r="AF27" s="2">
        <f>ROUND((EV27),6)</f>
        <v>0</v>
      </c>
      <c r="AG27" s="2">
        <f t="shared" si="20"/>
        <v>0</v>
      </c>
      <c r="AH27" s="2">
        <f>(EW27)</f>
        <v>0</v>
      </c>
      <c r="AI27" s="2">
        <f>(EX27)</f>
        <v>0</v>
      </c>
      <c r="AJ27" s="2">
        <f t="shared" si="21"/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121</v>
      </c>
      <c r="AU27" s="2">
        <v>72</v>
      </c>
      <c r="AV27" s="2">
        <v>1</v>
      </c>
      <c r="AW27" s="2">
        <v>1</v>
      </c>
      <c r="AX27" s="2"/>
      <c r="AY27" s="2"/>
      <c r="AZ27" s="2">
        <v>1</v>
      </c>
      <c r="BA27" s="2">
        <v>1</v>
      </c>
      <c r="BB27" s="2">
        <v>1</v>
      </c>
      <c r="BC27" s="2">
        <v>1</v>
      </c>
      <c r="BD27" s="2" t="s">
        <v>3</v>
      </c>
      <c r="BE27" s="2" t="s">
        <v>3</v>
      </c>
      <c r="BF27" s="2" t="s">
        <v>3</v>
      </c>
      <c r="BG27" s="2" t="s">
        <v>3</v>
      </c>
      <c r="BH27" s="2">
        <v>3</v>
      </c>
      <c r="BI27" s="2">
        <v>1</v>
      </c>
      <c r="BJ27" s="2" t="s">
        <v>3</v>
      </c>
      <c r="BK27" s="2"/>
      <c r="BL27" s="2"/>
      <c r="BM27" s="2">
        <v>16001</v>
      </c>
      <c r="BN27" s="2">
        <v>0</v>
      </c>
      <c r="BO27" s="2" t="s">
        <v>3</v>
      </c>
      <c r="BP27" s="2">
        <v>0</v>
      </c>
      <c r="BQ27" s="2">
        <v>2</v>
      </c>
      <c r="BR27" s="2">
        <v>0</v>
      </c>
      <c r="BS27" s="2">
        <v>1</v>
      </c>
      <c r="BT27" s="2">
        <v>1</v>
      </c>
      <c r="BU27" s="2">
        <v>1</v>
      </c>
      <c r="BV27" s="2">
        <v>1</v>
      </c>
      <c r="BW27" s="2">
        <v>1</v>
      </c>
      <c r="BX27" s="2">
        <v>1</v>
      </c>
      <c r="BY27" s="2" t="s">
        <v>3</v>
      </c>
      <c r="BZ27" s="2">
        <v>121</v>
      </c>
      <c r="CA27" s="2">
        <v>72</v>
      </c>
      <c r="CB27" s="2" t="s">
        <v>3</v>
      </c>
      <c r="CC27" s="2"/>
      <c r="CD27" s="2"/>
      <c r="CE27" s="2">
        <v>0</v>
      </c>
      <c r="CF27" s="2">
        <v>0</v>
      </c>
      <c r="CG27" s="2">
        <v>0</v>
      </c>
      <c r="CH27" s="2"/>
      <c r="CI27" s="2"/>
      <c r="CJ27" s="2"/>
      <c r="CK27" s="2"/>
      <c r="CL27" s="2"/>
      <c r="CM27" s="2">
        <v>0</v>
      </c>
      <c r="CN27" s="2" t="s">
        <v>3</v>
      </c>
      <c r="CO27" s="2">
        <v>0</v>
      </c>
      <c r="CP27" s="2">
        <f t="shared" si="22"/>
        <v>0</v>
      </c>
      <c r="CQ27" s="2">
        <f>ROUND(AL27*BC27,2)</f>
        <v>0</v>
      </c>
      <c r="CR27" s="2">
        <f>ROUND(AM27*BB27,2)</f>
        <v>0</v>
      </c>
      <c r="CS27" s="2">
        <f>ROUND(AN27*BS27,2)</f>
        <v>0</v>
      </c>
      <c r="CT27" s="2">
        <f>ROUND(AO27*BA27,2)</f>
        <v>0</v>
      </c>
      <c r="CU27" s="2">
        <f t="shared" si="23"/>
        <v>0</v>
      </c>
      <c r="CV27" s="2">
        <f>AH27</f>
        <v>0</v>
      </c>
      <c r="CW27" s="2">
        <f>AI27</f>
        <v>0</v>
      </c>
      <c r="CX27" s="2">
        <f t="shared" si="24"/>
        <v>0</v>
      </c>
      <c r="CY27" s="2">
        <f t="shared" si="25"/>
        <v>0</v>
      </c>
      <c r="CZ27" s="2">
        <f t="shared" si="26"/>
        <v>0</v>
      </c>
      <c r="DA27" s="2"/>
      <c r="DB27" s="2"/>
      <c r="DC27" s="2" t="s">
        <v>3</v>
      </c>
      <c r="DD27" s="2" t="s">
        <v>3</v>
      </c>
      <c r="DE27" s="2" t="s">
        <v>3</v>
      </c>
      <c r="DF27" s="2" t="s">
        <v>3</v>
      </c>
      <c r="DG27" s="2" t="s">
        <v>3</v>
      </c>
      <c r="DH27" s="2" t="s">
        <v>3</v>
      </c>
      <c r="DI27" s="2" t="s">
        <v>3</v>
      </c>
      <c r="DJ27" s="2" t="s">
        <v>3</v>
      </c>
      <c r="DK27" s="2" t="s">
        <v>3</v>
      </c>
      <c r="DL27" s="2" t="s">
        <v>3</v>
      </c>
      <c r="DM27" s="2" t="s">
        <v>3</v>
      </c>
      <c r="DN27" s="2">
        <v>0</v>
      </c>
      <c r="DO27" s="2">
        <v>0</v>
      </c>
      <c r="DP27" s="2">
        <v>1</v>
      </c>
      <c r="DQ27" s="2">
        <v>1</v>
      </c>
      <c r="DR27" s="2"/>
      <c r="DS27" s="2"/>
      <c r="DT27" s="2"/>
      <c r="DU27" s="2">
        <v>1013</v>
      </c>
      <c r="DV27" s="2" t="s">
        <v>30</v>
      </c>
      <c r="DW27" s="2" t="s">
        <v>30</v>
      </c>
      <c r="DX27" s="2">
        <v>1</v>
      </c>
      <c r="DY27" s="2"/>
      <c r="DZ27" s="2" t="s">
        <v>3</v>
      </c>
      <c r="EA27" s="2" t="s">
        <v>3</v>
      </c>
      <c r="EB27" s="2" t="s">
        <v>3</v>
      </c>
      <c r="EC27" s="2" t="s">
        <v>3</v>
      </c>
      <c r="ED27" s="2"/>
      <c r="EE27" s="2">
        <v>80781888</v>
      </c>
      <c r="EF27" s="2">
        <v>2</v>
      </c>
      <c r="EG27" s="2" t="s">
        <v>36</v>
      </c>
      <c r="EH27" s="2">
        <v>16</v>
      </c>
      <c r="EI27" s="2" t="s">
        <v>37</v>
      </c>
      <c r="EJ27" s="2">
        <v>1</v>
      </c>
      <c r="EK27" s="2">
        <v>16001</v>
      </c>
      <c r="EL27" s="2" t="s">
        <v>38</v>
      </c>
      <c r="EM27" s="2" t="s">
        <v>39</v>
      </c>
      <c r="EN27" s="2"/>
      <c r="EO27" s="2" t="s">
        <v>3</v>
      </c>
      <c r="EP27" s="2"/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>
        <v>0</v>
      </c>
      <c r="FR27" s="2">
        <v>0</v>
      </c>
      <c r="FS27" s="2">
        <v>0</v>
      </c>
      <c r="FT27" s="2"/>
      <c r="FU27" s="2"/>
      <c r="FV27" s="2"/>
      <c r="FW27" s="2"/>
      <c r="FX27" s="2">
        <v>121</v>
      </c>
      <c r="FY27" s="2">
        <v>72</v>
      </c>
      <c r="FZ27" s="2"/>
      <c r="GA27" s="2" t="s">
        <v>3</v>
      </c>
      <c r="GB27" s="2"/>
      <c r="GC27" s="2"/>
      <c r="GD27" s="2">
        <v>1</v>
      </c>
      <c r="GE27" s="2"/>
      <c r="GF27" s="2">
        <v>-2036935815</v>
      </c>
      <c r="GG27" s="2">
        <v>2</v>
      </c>
      <c r="GH27" s="2">
        <v>1</v>
      </c>
      <c r="GI27" s="2">
        <v>-2</v>
      </c>
      <c r="GJ27" s="2">
        <v>0</v>
      </c>
      <c r="GK27" s="2">
        <v>0</v>
      </c>
      <c r="GL27" s="2">
        <f t="shared" si="27"/>
        <v>0</v>
      </c>
      <c r="GM27" s="2">
        <f t="shared" si="28"/>
        <v>0</v>
      </c>
      <c r="GN27" s="2">
        <f t="shared" si="29"/>
        <v>0</v>
      </c>
      <c r="GO27" s="2">
        <f t="shared" si="30"/>
        <v>0</v>
      </c>
      <c r="GP27" s="2">
        <f t="shared" si="31"/>
        <v>0</v>
      </c>
      <c r="GQ27" s="2"/>
      <c r="GR27" s="2">
        <v>0</v>
      </c>
      <c r="GS27" s="2">
        <v>3</v>
      </c>
      <c r="GT27" s="2">
        <v>0</v>
      </c>
      <c r="GU27" s="2" t="s">
        <v>3</v>
      </c>
      <c r="GV27" s="2">
        <f t="shared" si="32"/>
        <v>0</v>
      </c>
      <c r="GW27" s="2">
        <v>1</v>
      </c>
      <c r="GX27" s="2">
        <f t="shared" si="33"/>
        <v>0</v>
      </c>
      <c r="GY27" s="2"/>
      <c r="GZ27" s="2"/>
      <c r="HA27" s="2">
        <v>0</v>
      </c>
      <c r="HB27" s="2">
        <v>0</v>
      </c>
      <c r="HC27" s="2">
        <f t="shared" si="34"/>
        <v>0</v>
      </c>
      <c r="HD27" s="2"/>
      <c r="HE27" s="2" t="s">
        <v>3</v>
      </c>
      <c r="HF27" s="2" t="s">
        <v>3</v>
      </c>
      <c r="HG27" s="2"/>
      <c r="HH27" s="2"/>
      <c r="HI27" s="2"/>
      <c r="HJ27" s="2"/>
      <c r="HK27" s="2"/>
      <c r="HL27" s="2"/>
      <c r="HM27" s="2" t="s">
        <v>3</v>
      </c>
      <c r="HN27" s="2" t="s">
        <v>41</v>
      </c>
      <c r="HO27" s="2" t="s">
        <v>42</v>
      </c>
      <c r="HP27" s="2" t="s">
        <v>37</v>
      </c>
      <c r="HQ27" s="2" t="s">
        <v>37</v>
      </c>
      <c r="HR27" s="2"/>
      <c r="HS27" s="2">
        <v>0</v>
      </c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>
        <v>0</v>
      </c>
      <c r="IL27" s="2"/>
      <c r="IM27" s="2"/>
      <c r="IN27" s="2"/>
      <c r="IO27" s="2"/>
      <c r="IP27" s="2"/>
      <c r="IQ27" s="2"/>
      <c r="IR27" s="2"/>
      <c r="IS27" s="2"/>
      <c r="IT27" s="2"/>
      <c r="IU27" s="2"/>
    </row>
    <row r="28" spans="1:255" x14ac:dyDescent="0.2">
      <c r="A28" s="2">
        <v>17</v>
      </c>
      <c r="B28" s="2">
        <v>1</v>
      </c>
      <c r="C28" s="2">
        <f>ROW(SmtRes!A20)</f>
        <v>20</v>
      </c>
      <c r="D28" s="2">
        <f>ROW(EtalonRes!A20)</f>
        <v>20</v>
      </c>
      <c r="E28" s="2" t="s">
        <v>3</v>
      </c>
      <c r="F28" s="2" t="s">
        <v>49</v>
      </c>
      <c r="G28" s="2" t="s">
        <v>50</v>
      </c>
      <c r="H28" s="2" t="s">
        <v>51</v>
      </c>
      <c r="I28" s="2">
        <f>ROUND(2/100,7)</f>
        <v>0.02</v>
      </c>
      <c r="J28" s="2">
        <v>0</v>
      </c>
      <c r="K28" s="2">
        <f>ROUND(2/100,7)</f>
        <v>0.02</v>
      </c>
      <c r="L28" s="2"/>
      <c r="M28" s="2"/>
      <c r="N28" s="2"/>
      <c r="O28" s="2">
        <f t="shared" si="14"/>
        <v>1016.9</v>
      </c>
      <c r="P28" s="2">
        <f>SUMIF(SmtRes!AQ19:'SmtRes'!AQ20,"=1",SmtRes!DF19:'SmtRes'!DF20)</f>
        <v>0</v>
      </c>
      <c r="Q28" s="2">
        <f>SUMIF(SmtRes!AQ19:'SmtRes'!AQ20,"=1",SmtRes!DG19:'SmtRes'!DG20)</f>
        <v>0</v>
      </c>
      <c r="R28" s="2">
        <f>SUMIF(SmtRes!AQ19:'SmtRes'!AQ20,"=1",SmtRes!DH19:'SmtRes'!DH20)</f>
        <v>0</v>
      </c>
      <c r="S28" s="2">
        <f>SUMIF(SmtRes!AQ19:'SmtRes'!AQ20,"=1",SmtRes!DI19:'SmtRes'!DI20)</f>
        <v>1016.9</v>
      </c>
      <c r="T28" s="2">
        <f t="shared" si="15"/>
        <v>0</v>
      </c>
      <c r="U28" s="2">
        <f>SUMIF(SmtRes!AQ19:'SmtRes'!AQ20,"=1",SmtRes!CV19:'SmtRes'!CV20)</f>
        <v>1.71</v>
      </c>
      <c r="V28" s="2">
        <f>SUMIF(SmtRes!AQ19:'SmtRes'!AQ20,"=1",SmtRes!CW19:'SmtRes'!CW20)</f>
        <v>0</v>
      </c>
      <c r="W28" s="2">
        <f t="shared" si="16"/>
        <v>0</v>
      </c>
      <c r="X28" s="2">
        <f t="shared" si="17"/>
        <v>935.55</v>
      </c>
      <c r="Y28" s="2">
        <f t="shared" si="18"/>
        <v>447.44</v>
      </c>
      <c r="Z28" s="2"/>
      <c r="AA28" s="2">
        <v>-1</v>
      </c>
      <c r="AB28" s="2">
        <f t="shared" si="19"/>
        <v>50845.14</v>
      </c>
      <c r="AC28" s="2">
        <f>ROUND((0),6)</f>
        <v>0</v>
      </c>
      <c r="AD28" s="2">
        <f>ROUND((((0)-(0))+AE28),6)</f>
        <v>0</v>
      </c>
      <c r="AE28" s="2">
        <f>ROUND((0),6)</f>
        <v>0</v>
      </c>
      <c r="AF28" s="2">
        <f>ROUND((SUM(SmtRes!BT19:'SmtRes'!BT20)),6)</f>
        <v>50845.14</v>
      </c>
      <c r="AG28" s="2">
        <f t="shared" si="20"/>
        <v>0</v>
      </c>
      <c r="AH28" s="2">
        <f>(SUM(SmtRes!BU19:'SmtRes'!BU20))</f>
        <v>85.5</v>
      </c>
      <c r="AI28" s="2">
        <f>(0)</f>
        <v>0</v>
      </c>
      <c r="AJ28" s="2">
        <f t="shared" si="21"/>
        <v>0</v>
      </c>
      <c r="AK28" s="2">
        <v>50845.139999999992</v>
      </c>
      <c r="AL28" s="2">
        <v>0</v>
      </c>
      <c r="AM28" s="2">
        <v>0</v>
      </c>
      <c r="AN28" s="2">
        <v>0</v>
      </c>
      <c r="AO28" s="2">
        <v>50845.139999999992</v>
      </c>
      <c r="AP28" s="2">
        <v>0</v>
      </c>
      <c r="AQ28" s="2">
        <v>85.5</v>
      </c>
      <c r="AR28" s="2">
        <v>0</v>
      </c>
      <c r="AS28" s="2">
        <v>0</v>
      </c>
      <c r="AT28" s="2">
        <v>92</v>
      </c>
      <c r="AU28" s="2">
        <v>44</v>
      </c>
      <c r="AV28" s="2">
        <v>1</v>
      </c>
      <c r="AW28" s="2">
        <v>1</v>
      </c>
      <c r="AX28" s="2"/>
      <c r="AY28" s="2"/>
      <c r="AZ28" s="2">
        <v>1</v>
      </c>
      <c r="BA28" s="2">
        <v>1</v>
      </c>
      <c r="BB28" s="2">
        <v>1</v>
      </c>
      <c r="BC28" s="2">
        <v>1</v>
      </c>
      <c r="BD28" s="2" t="s">
        <v>3</v>
      </c>
      <c r="BE28" s="2" t="s">
        <v>3</v>
      </c>
      <c r="BF28" s="2" t="s">
        <v>3</v>
      </c>
      <c r="BG28" s="2" t="s">
        <v>3</v>
      </c>
      <c r="BH28" s="2">
        <v>0</v>
      </c>
      <c r="BI28" s="2">
        <v>1</v>
      </c>
      <c r="BJ28" s="2" t="s">
        <v>52</v>
      </c>
      <c r="BK28" s="2"/>
      <c r="BL28" s="2"/>
      <c r="BM28" s="2">
        <v>69001</v>
      </c>
      <c r="BN28" s="2">
        <v>0</v>
      </c>
      <c r="BO28" s="2" t="s">
        <v>3</v>
      </c>
      <c r="BP28" s="2">
        <v>0</v>
      </c>
      <c r="BQ28" s="2">
        <v>6</v>
      </c>
      <c r="BR28" s="2">
        <v>0</v>
      </c>
      <c r="BS28" s="2">
        <v>1</v>
      </c>
      <c r="BT28" s="2">
        <v>1</v>
      </c>
      <c r="BU28" s="2">
        <v>1</v>
      </c>
      <c r="BV28" s="2">
        <v>1</v>
      </c>
      <c r="BW28" s="2">
        <v>1</v>
      </c>
      <c r="BX28" s="2">
        <v>1</v>
      </c>
      <c r="BY28" s="2" t="s">
        <v>3</v>
      </c>
      <c r="BZ28" s="2">
        <v>92</v>
      </c>
      <c r="CA28" s="2">
        <v>44</v>
      </c>
      <c r="CB28" s="2" t="s">
        <v>3</v>
      </c>
      <c r="CC28" s="2"/>
      <c r="CD28" s="2"/>
      <c r="CE28" s="2">
        <v>0</v>
      </c>
      <c r="CF28" s="2">
        <v>0</v>
      </c>
      <c r="CG28" s="2">
        <v>0</v>
      </c>
      <c r="CH28" s="2"/>
      <c r="CI28" s="2"/>
      <c r="CJ28" s="2"/>
      <c r="CK28" s="2"/>
      <c r="CL28" s="2"/>
      <c r="CM28" s="2">
        <v>0</v>
      </c>
      <c r="CN28" s="2" t="s">
        <v>3</v>
      </c>
      <c r="CO28" s="2">
        <v>0</v>
      </c>
      <c r="CP28" s="2">
        <f t="shared" si="22"/>
        <v>1016.9</v>
      </c>
      <c r="CQ28" s="2">
        <f>SUMIF(SmtRes!AQ19:'SmtRes'!AQ20,"=1",SmtRes!AA19:'SmtRes'!AA20)</f>
        <v>0</v>
      </c>
      <c r="CR28" s="2">
        <f>SUMIF(SmtRes!AQ19:'SmtRes'!AQ20,"=1",SmtRes!AB19:'SmtRes'!AB20)</f>
        <v>0</v>
      </c>
      <c r="CS28" s="2">
        <f>SUMIF(SmtRes!AQ19:'SmtRes'!AQ20,"=1",SmtRes!AC19:'SmtRes'!AC20)</f>
        <v>0</v>
      </c>
      <c r="CT28" s="2">
        <f>SUMIF(SmtRes!AQ19:'SmtRes'!AQ20,"=1",SmtRes!AD19:'SmtRes'!AD20)</f>
        <v>594.67999999999995</v>
      </c>
      <c r="CU28" s="2">
        <f t="shared" si="23"/>
        <v>0</v>
      </c>
      <c r="CV28" s="2">
        <f>SUMIF(SmtRes!AQ19:'SmtRes'!AQ20,"=1",SmtRes!BU19:'SmtRes'!BU20)</f>
        <v>85.5</v>
      </c>
      <c r="CW28" s="2">
        <f>SUMIF(SmtRes!AQ19:'SmtRes'!AQ20,"=1",SmtRes!BV19:'SmtRes'!BV20)</f>
        <v>0</v>
      </c>
      <c r="CX28" s="2">
        <f t="shared" si="24"/>
        <v>0</v>
      </c>
      <c r="CY28" s="2">
        <f t="shared" si="25"/>
        <v>935.548</v>
      </c>
      <c r="CZ28" s="2">
        <f t="shared" si="26"/>
        <v>447.43599999999998</v>
      </c>
      <c r="DA28" s="2"/>
      <c r="DB28" s="2"/>
      <c r="DC28" s="2" t="s">
        <v>3</v>
      </c>
      <c r="DD28" s="2" t="s">
        <v>3</v>
      </c>
      <c r="DE28" s="2" t="s">
        <v>3</v>
      </c>
      <c r="DF28" s="2" t="s">
        <v>3</v>
      </c>
      <c r="DG28" s="2" t="s">
        <v>3</v>
      </c>
      <c r="DH28" s="2" t="s">
        <v>3</v>
      </c>
      <c r="DI28" s="2" t="s">
        <v>3</v>
      </c>
      <c r="DJ28" s="2" t="s">
        <v>3</v>
      </c>
      <c r="DK28" s="2" t="s">
        <v>3</v>
      </c>
      <c r="DL28" s="2" t="s">
        <v>3</v>
      </c>
      <c r="DM28" s="2" t="s">
        <v>3</v>
      </c>
      <c r="DN28" s="2">
        <v>0</v>
      </c>
      <c r="DO28" s="2">
        <v>0</v>
      </c>
      <c r="DP28" s="2">
        <v>1</v>
      </c>
      <c r="DQ28" s="2">
        <v>1</v>
      </c>
      <c r="DR28" s="2"/>
      <c r="DS28" s="2"/>
      <c r="DT28" s="2"/>
      <c r="DU28" s="2">
        <v>1013</v>
      </c>
      <c r="DV28" s="2" t="s">
        <v>51</v>
      </c>
      <c r="DW28" s="2" t="s">
        <v>51</v>
      </c>
      <c r="DX28" s="2">
        <v>1</v>
      </c>
      <c r="DY28" s="2"/>
      <c r="DZ28" s="2" t="s">
        <v>3</v>
      </c>
      <c r="EA28" s="2" t="s">
        <v>3</v>
      </c>
      <c r="EB28" s="2" t="s">
        <v>3</v>
      </c>
      <c r="EC28" s="2" t="s">
        <v>3</v>
      </c>
      <c r="ED28" s="2"/>
      <c r="EE28" s="2">
        <v>80781987</v>
      </c>
      <c r="EF28" s="2">
        <v>6</v>
      </c>
      <c r="EG28" s="2" t="s">
        <v>20</v>
      </c>
      <c r="EH28" s="2">
        <v>103</v>
      </c>
      <c r="EI28" s="2" t="s">
        <v>53</v>
      </c>
      <c r="EJ28" s="2">
        <v>1</v>
      </c>
      <c r="EK28" s="2">
        <v>69001</v>
      </c>
      <c r="EL28" s="2" t="s">
        <v>53</v>
      </c>
      <c r="EM28" s="2" t="s">
        <v>54</v>
      </c>
      <c r="EN28" s="2"/>
      <c r="EO28" s="2" t="s">
        <v>3</v>
      </c>
      <c r="EP28" s="2"/>
      <c r="EQ28" s="2">
        <v>1024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85.5</v>
      </c>
      <c r="EX28" s="2">
        <v>0</v>
      </c>
      <c r="EY28" s="2">
        <v>0</v>
      </c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>
        <v>0</v>
      </c>
      <c r="FR28" s="2">
        <v>0</v>
      </c>
      <c r="FS28" s="2">
        <v>0</v>
      </c>
      <c r="FT28" s="2"/>
      <c r="FU28" s="2"/>
      <c r="FV28" s="2"/>
      <c r="FW28" s="2"/>
      <c r="FX28" s="2">
        <v>92</v>
      </c>
      <c r="FY28" s="2">
        <v>44</v>
      </c>
      <c r="FZ28" s="2"/>
      <c r="GA28" s="2" t="s">
        <v>3</v>
      </c>
      <c r="GB28" s="2"/>
      <c r="GC28" s="2"/>
      <c r="GD28" s="2">
        <v>1</v>
      </c>
      <c r="GE28" s="2"/>
      <c r="GF28" s="2">
        <v>-561881202</v>
      </c>
      <c r="GG28" s="2">
        <v>2</v>
      </c>
      <c r="GH28" s="2">
        <v>1</v>
      </c>
      <c r="GI28" s="2">
        <v>-2</v>
      </c>
      <c r="GJ28" s="2">
        <v>0</v>
      </c>
      <c r="GK28" s="2">
        <v>0</v>
      </c>
      <c r="GL28" s="2">
        <f t="shared" si="27"/>
        <v>0</v>
      </c>
      <c r="GM28" s="2">
        <f t="shared" si="28"/>
        <v>2399.89</v>
      </c>
      <c r="GN28" s="2">
        <f t="shared" si="29"/>
        <v>2399.89</v>
      </c>
      <c r="GO28" s="2">
        <f t="shared" si="30"/>
        <v>0</v>
      </c>
      <c r="GP28" s="2">
        <f t="shared" si="31"/>
        <v>0</v>
      </c>
      <c r="GQ28" s="2"/>
      <c r="GR28" s="2">
        <v>0</v>
      </c>
      <c r="GS28" s="2">
        <v>3</v>
      </c>
      <c r="GT28" s="2">
        <v>0</v>
      </c>
      <c r="GU28" s="2" t="s">
        <v>3</v>
      </c>
      <c r="GV28" s="2">
        <f t="shared" si="32"/>
        <v>0</v>
      </c>
      <c r="GW28" s="2">
        <v>1</v>
      </c>
      <c r="GX28" s="2">
        <f t="shared" si="33"/>
        <v>0</v>
      </c>
      <c r="GY28" s="2"/>
      <c r="GZ28" s="2"/>
      <c r="HA28" s="2">
        <v>0</v>
      </c>
      <c r="HB28" s="2">
        <v>0</v>
      </c>
      <c r="HC28" s="2">
        <f t="shared" si="34"/>
        <v>0</v>
      </c>
      <c r="HD28" s="2"/>
      <c r="HE28" s="2" t="s">
        <v>3</v>
      </c>
      <c r="HF28" s="2" t="s">
        <v>3</v>
      </c>
      <c r="HG28" s="2"/>
      <c r="HH28" s="2"/>
      <c r="HI28" s="2"/>
      <c r="HJ28" s="2"/>
      <c r="HK28" s="2"/>
      <c r="HL28" s="2"/>
      <c r="HM28" s="2" t="s">
        <v>3</v>
      </c>
      <c r="HN28" s="2" t="s">
        <v>55</v>
      </c>
      <c r="HO28" s="2" t="s">
        <v>56</v>
      </c>
      <c r="HP28" s="2" t="s">
        <v>53</v>
      </c>
      <c r="HQ28" s="2" t="s">
        <v>53</v>
      </c>
      <c r="HR28" s="2"/>
      <c r="HS28" s="2">
        <v>0</v>
      </c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>
        <v>0</v>
      </c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x14ac:dyDescent="0.2">
      <c r="A29" s="2">
        <v>18</v>
      </c>
      <c r="B29" s="2">
        <v>1</v>
      </c>
      <c r="C29" s="2">
        <v>20</v>
      </c>
      <c r="D29" s="2"/>
      <c r="E29" s="2" t="s">
        <v>3</v>
      </c>
      <c r="F29" s="2" t="s">
        <v>57</v>
      </c>
      <c r="G29" s="2" t="s">
        <v>58</v>
      </c>
      <c r="H29" s="2" t="s">
        <v>59</v>
      </c>
      <c r="I29" s="2">
        <f>I28*J29</f>
        <v>2.2000000000000001E-3</v>
      </c>
      <c r="J29" s="2">
        <v>0.11</v>
      </c>
      <c r="K29" s="2">
        <v>0.11</v>
      </c>
      <c r="L29" s="2"/>
      <c r="M29" s="2"/>
      <c r="N29" s="2"/>
      <c r="O29" s="2">
        <f t="shared" si="14"/>
        <v>0</v>
      </c>
      <c r="P29" s="2">
        <f>ROUND(CQ29*I29,2)</f>
        <v>0</v>
      </c>
      <c r="Q29" s="2">
        <f>ROUND(CR29*I29,2)</f>
        <v>0</v>
      </c>
      <c r="R29" s="2">
        <f>ROUND(CS29*I29,2)</f>
        <v>0</v>
      </c>
      <c r="S29" s="2">
        <f>ROUND(CT29*I29,2)</f>
        <v>0</v>
      </c>
      <c r="T29" s="2">
        <f t="shared" si="15"/>
        <v>0</v>
      </c>
      <c r="U29" s="2">
        <f>ROUND(CV29*I29,7)</f>
        <v>0</v>
      </c>
      <c r="V29" s="2">
        <f>ROUND(CW29*I29,7)</f>
        <v>0</v>
      </c>
      <c r="W29" s="2">
        <f t="shared" si="16"/>
        <v>0</v>
      </c>
      <c r="X29" s="2">
        <f t="shared" si="17"/>
        <v>0</v>
      </c>
      <c r="Y29" s="2">
        <f t="shared" si="18"/>
        <v>0</v>
      </c>
      <c r="Z29" s="2"/>
      <c r="AA29" s="2">
        <v>-1</v>
      </c>
      <c r="AB29" s="2">
        <f t="shared" si="19"/>
        <v>0</v>
      </c>
      <c r="AC29" s="2">
        <f>ROUND((ES29),6)</f>
        <v>0</v>
      </c>
      <c r="AD29" s="2">
        <f>ROUND((((ET29)-(EU29))+AE29),6)</f>
        <v>0</v>
      </c>
      <c r="AE29" s="2">
        <f>ROUND((EU29),6)</f>
        <v>0</v>
      </c>
      <c r="AF29" s="2">
        <f>ROUND((EV29),6)</f>
        <v>0</v>
      </c>
      <c r="AG29" s="2">
        <f t="shared" si="20"/>
        <v>0</v>
      </c>
      <c r="AH29" s="2">
        <f>(EW29)</f>
        <v>0</v>
      </c>
      <c r="AI29" s="2">
        <f>(EX29)</f>
        <v>0</v>
      </c>
      <c r="AJ29" s="2">
        <f t="shared" si="21"/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92</v>
      </c>
      <c r="AU29" s="2">
        <v>44</v>
      </c>
      <c r="AV29" s="2">
        <v>1</v>
      </c>
      <c r="AW29" s="2">
        <v>1</v>
      </c>
      <c r="AX29" s="2"/>
      <c r="AY29" s="2"/>
      <c r="AZ29" s="2">
        <v>1</v>
      </c>
      <c r="BA29" s="2">
        <v>1</v>
      </c>
      <c r="BB29" s="2">
        <v>1</v>
      </c>
      <c r="BC29" s="2">
        <v>1</v>
      </c>
      <c r="BD29" s="2" t="s">
        <v>3</v>
      </c>
      <c r="BE29" s="2" t="s">
        <v>3</v>
      </c>
      <c r="BF29" s="2" t="s">
        <v>3</v>
      </c>
      <c r="BG29" s="2" t="s">
        <v>3</v>
      </c>
      <c r="BH29" s="2">
        <v>3</v>
      </c>
      <c r="BI29" s="2">
        <v>1</v>
      </c>
      <c r="BJ29" s="2" t="s">
        <v>3</v>
      </c>
      <c r="BK29" s="2"/>
      <c r="BL29" s="2"/>
      <c r="BM29" s="2">
        <v>69001</v>
      </c>
      <c r="BN29" s="2">
        <v>0</v>
      </c>
      <c r="BO29" s="2" t="s">
        <v>3</v>
      </c>
      <c r="BP29" s="2">
        <v>0</v>
      </c>
      <c r="BQ29" s="2">
        <v>6</v>
      </c>
      <c r="BR29" s="2">
        <v>0</v>
      </c>
      <c r="BS29" s="2">
        <v>1</v>
      </c>
      <c r="BT29" s="2">
        <v>1</v>
      </c>
      <c r="BU29" s="2">
        <v>1</v>
      </c>
      <c r="BV29" s="2">
        <v>1</v>
      </c>
      <c r="BW29" s="2">
        <v>1</v>
      </c>
      <c r="BX29" s="2">
        <v>1</v>
      </c>
      <c r="BY29" s="2" t="s">
        <v>3</v>
      </c>
      <c r="BZ29" s="2">
        <v>92</v>
      </c>
      <c r="CA29" s="2">
        <v>44</v>
      </c>
      <c r="CB29" s="2" t="s">
        <v>3</v>
      </c>
      <c r="CC29" s="2"/>
      <c r="CD29" s="2"/>
      <c r="CE29" s="2">
        <v>0</v>
      </c>
      <c r="CF29" s="2">
        <v>0</v>
      </c>
      <c r="CG29" s="2">
        <v>0</v>
      </c>
      <c r="CH29" s="2"/>
      <c r="CI29" s="2"/>
      <c r="CJ29" s="2"/>
      <c r="CK29" s="2"/>
      <c r="CL29" s="2"/>
      <c r="CM29" s="2">
        <v>0</v>
      </c>
      <c r="CN29" s="2" t="s">
        <v>3</v>
      </c>
      <c r="CO29" s="2">
        <v>0</v>
      </c>
      <c r="CP29" s="2">
        <f t="shared" si="22"/>
        <v>0</v>
      </c>
      <c r="CQ29" s="2">
        <f>ROUND(AL29*BC29,2)</f>
        <v>0</v>
      </c>
      <c r="CR29" s="2">
        <f>ROUND(AM29*BB29,2)</f>
        <v>0</v>
      </c>
      <c r="CS29" s="2">
        <f>ROUND(AN29*BS29,2)</f>
        <v>0</v>
      </c>
      <c r="CT29" s="2">
        <f>ROUND(AO29*BA29,2)</f>
        <v>0</v>
      </c>
      <c r="CU29" s="2">
        <f t="shared" si="23"/>
        <v>0</v>
      </c>
      <c r="CV29" s="2">
        <f>AH29</f>
        <v>0</v>
      </c>
      <c r="CW29" s="2">
        <f>AI29</f>
        <v>0</v>
      </c>
      <c r="CX29" s="2">
        <f t="shared" si="24"/>
        <v>0</v>
      </c>
      <c r="CY29" s="2">
        <f t="shared" si="25"/>
        <v>0</v>
      </c>
      <c r="CZ29" s="2">
        <f t="shared" si="26"/>
        <v>0</v>
      </c>
      <c r="DA29" s="2"/>
      <c r="DB29" s="2"/>
      <c r="DC29" s="2" t="s">
        <v>3</v>
      </c>
      <c r="DD29" s="2" t="s">
        <v>3</v>
      </c>
      <c r="DE29" s="2" t="s">
        <v>3</v>
      </c>
      <c r="DF29" s="2" t="s">
        <v>3</v>
      </c>
      <c r="DG29" s="2" t="s">
        <v>3</v>
      </c>
      <c r="DH29" s="2" t="s">
        <v>3</v>
      </c>
      <c r="DI29" s="2" t="s">
        <v>3</v>
      </c>
      <c r="DJ29" s="2" t="s">
        <v>3</v>
      </c>
      <c r="DK29" s="2" t="s">
        <v>3</v>
      </c>
      <c r="DL29" s="2" t="s">
        <v>3</v>
      </c>
      <c r="DM29" s="2" t="s">
        <v>3</v>
      </c>
      <c r="DN29" s="2">
        <v>0</v>
      </c>
      <c r="DO29" s="2">
        <v>0</v>
      </c>
      <c r="DP29" s="2">
        <v>1</v>
      </c>
      <c r="DQ29" s="2">
        <v>1</v>
      </c>
      <c r="DR29" s="2"/>
      <c r="DS29" s="2"/>
      <c r="DT29" s="2"/>
      <c r="DU29" s="2">
        <v>1009</v>
      </c>
      <c r="DV29" s="2" t="s">
        <v>59</v>
      </c>
      <c r="DW29" s="2" t="s">
        <v>59</v>
      </c>
      <c r="DX29" s="2">
        <v>1000</v>
      </c>
      <c r="DY29" s="2"/>
      <c r="DZ29" s="2" t="s">
        <v>3</v>
      </c>
      <c r="EA29" s="2" t="s">
        <v>3</v>
      </c>
      <c r="EB29" s="2" t="s">
        <v>3</v>
      </c>
      <c r="EC29" s="2" t="s">
        <v>3</v>
      </c>
      <c r="ED29" s="2"/>
      <c r="EE29" s="2">
        <v>80781987</v>
      </c>
      <c r="EF29" s="2">
        <v>6</v>
      </c>
      <c r="EG29" s="2" t="s">
        <v>20</v>
      </c>
      <c r="EH29" s="2">
        <v>103</v>
      </c>
      <c r="EI29" s="2" t="s">
        <v>53</v>
      </c>
      <c r="EJ29" s="2">
        <v>1</v>
      </c>
      <c r="EK29" s="2">
        <v>69001</v>
      </c>
      <c r="EL29" s="2" t="s">
        <v>53</v>
      </c>
      <c r="EM29" s="2" t="s">
        <v>54</v>
      </c>
      <c r="EN29" s="2"/>
      <c r="EO29" s="2" t="s">
        <v>3</v>
      </c>
      <c r="EP29" s="2"/>
      <c r="EQ29" s="2">
        <v>1024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>
        <v>0</v>
      </c>
      <c r="FR29" s="2">
        <v>0</v>
      </c>
      <c r="FS29" s="2">
        <v>0</v>
      </c>
      <c r="FT29" s="2"/>
      <c r="FU29" s="2"/>
      <c r="FV29" s="2"/>
      <c r="FW29" s="2"/>
      <c r="FX29" s="2">
        <v>92</v>
      </c>
      <c r="FY29" s="2">
        <v>44</v>
      </c>
      <c r="FZ29" s="2"/>
      <c r="GA29" s="2" t="s">
        <v>3</v>
      </c>
      <c r="GB29" s="2"/>
      <c r="GC29" s="2"/>
      <c r="GD29" s="2">
        <v>1</v>
      </c>
      <c r="GE29" s="2"/>
      <c r="GF29" s="2">
        <v>2102561428</v>
      </c>
      <c r="GG29" s="2">
        <v>2</v>
      </c>
      <c r="GH29" s="2">
        <v>1</v>
      </c>
      <c r="GI29" s="2">
        <v>-2</v>
      </c>
      <c r="GJ29" s="2">
        <v>0</v>
      </c>
      <c r="GK29" s="2">
        <v>0</v>
      </c>
      <c r="GL29" s="2">
        <f t="shared" si="27"/>
        <v>0</v>
      </c>
      <c r="GM29" s="2">
        <f t="shared" si="28"/>
        <v>0</v>
      </c>
      <c r="GN29" s="2">
        <f t="shared" si="29"/>
        <v>0</v>
      </c>
      <c r="GO29" s="2">
        <f t="shared" si="30"/>
        <v>0</v>
      </c>
      <c r="GP29" s="2">
        <f t="shared" si="31"/>
        <v>0</v>
      </c>
      <c r="GQ29" s="2"/>
      <c r="GR29" s="2">
        <v>0</v>
      </c>
      <c r="GS29" s="2">
        <v>3</v>
      </c>
      <c r="GT29" s="2">
        <v>0</v>
      </c>
      <c r="GU29" s="2" t="s">
        <v>3</v>
      </c>
      <c r="GV29" s="2">
        <f t="shared" si="32"/>
        <v>0</v>
      </c>
      <c r="GW29" s="2">
        <v>1</v>
      </c>
      <c r="GX29" s="2">
        <f t="shared" si="33"/>
        <v>0</v>
      </c>
      <c r="GY29" s="2"/>
      <c r="GZ29" s="2"/>
      <c r="HA29" s="2">
        <v>0</v>
      </c>
      <c r="HB29" s="2">
        <v>0</v>
      </c>
      <c r="HC29" s="2">
        <f t="shared" si="34"/>
        <v>0</v>
      </c>
      <c r="HD29" s="2"/>
      <c r="HE29" s="2" t="s">
        <v>3</v>
      </c>
      <c r="HF29" s="2" t="s">
        <v>3</v>
      </c>
      <c r="HG29" s="2"/>
      <c r="HH29" s="2"/>
      <c r="HI29" s="2"/>
      <c r="HJ29" s="2"/>
      <c r="HK29" s="2"/>
      <c r="HL29" s="2"/>
      <c r="HM29" s="2" t="s">
        <v>3</v>
      </c>
      <c r="HN29" s="2" t="s">
        <v>55</v>
      </c>
      <c r="HO29" s="2" t="s">
        <v>56</v>
      </c>
      <c r="HP29" s="2" t="s">
        <v>53</v>
      </c>
      <c r="HQ29" s="2" t="s">
        <v>53</v>
      </c>
      <c r="HR29" s="2"/>
      <c r="HS29" s="2">
        <v>0</v>
      </c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>
        <v>0</v>
      </c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5" x14ac:dyDescent="0.2">
      <c r="A30" s="2">
        <v>17</v>
      </c>
      <c r="B30" s="2">
        <v>1</v>
      </c>
      <c r="C30" s="2">
        <f>ROW(SmtRes!A23)</f>
        <v>23</v>
      </c>
      <c r="D30" s="2">
        <f>ROW(EtalonRes!A23)</f>
        <v>23</v>
      </c>
      <c r="E30" s="2" t="s">
        <v>3</v>
      </c>
      <c r="F30" s="2" t="s">
        <v>60</v>
      </c>
      <c r="G30" s="2" t="s">
        <v>61</v>
      </c>
      <c r="H30" s="2" t="s">
        <v>51</v>
      </c>
      <c r="I30" s="2">
        <f>ROUND(2/100,7)</f>
        <v>0.02</v>
      </c>
      <c r="J30" s="2">
        <v>0</v>
      </c>
      <c r="K30" s="2">
        <f>ROUND(2/100,7)</f>
        <v>0.02</v>
      </c>
      <c r="L30" s="2"/>
      <c r="M30" s="2"/>
      <c r="N30" s="2"/>
      <c r="O30" s="2">
        <f t="shared" si="14"/>
        <v>69.709999999999994</v>
      </c>
      <c r="P30" s="2">
        <f>SUMIF(SmtRes!AQ21:'SmtRes'!AQ23,"=1",SmtRes!DF21:'SmtRes'!DF23)</f>
        <v>0.11</v>
      </c>
      <c r="Q30" s="2">
        <f>SUMIF(SmtRes!AQ21:'SmtRes'!AQ23,"=1",SmtRes!DG21:'SmtRes'!DG23)</f>
        <v>0</v>
      </c>
      <c r="R30" s="2">
        <f>SUMIF(SmtRes!AQ21:'SmtRes'!AQ23,"=1",SmtRes!DH21:'SmtRes'!DH23)</f>
        <v>0</v>
      </c>
      <c r="S30" s="2">
        <f>SUMIF(SmtRes!AQ21:'SmtRes'!AQ23,"=1",SmtRes!DI21:'SmtRes'!DI23)</f>
        <v>69.599999999999994</v>
      </c>
      <c r="T30" s="2">
        <f t="shared" si="15"/>
        <v>0</v>
      </c>
      <c r="U30" s="2">
        <f>SUMIF(SmtRes!AQ21:'SmtRes'!AQ23,"=1",SmtRes!CV21:'SmtRes'!CV23)</f>
        <v>0.1072</v>
      </c>
      <c r="V30" s="2">
        <f>SUMIF(SmtRes!AQ21:'SmtRes'!AQ23,"=1",SmtRes!CW21:'SmtRes'!CW23)</f>
        <v>0</v>
      </c>
      <c r="W30" s="2">
        <f t="shared" si="16"/>
        <v>0</v>
      </c>
      <c r="X30" s="2">
        <f t="shared" si="17"/>
        <v>64.03</v>
      </c>
      <c r="Y30" s="2">
        <f t="shared" si="18"/>
        <v>30.62</v>
      </c>
      <c r="Z30" s="2"/>
      <c r="AA30" s="2">
        <v>-1</v>
      </c>
      <c r="AB30" s="2">
        <f t="shared" si="19"/>
        <v>3485.3959679999998</v>
      </c>
      <c r="AC30" s="2">
        <f>ROUND((SUM(SmtRes!BQ21:'SmtRes'!BQ23)),6)</f>
        <v>5.4695679999999998</v>
      </c>
      <c r="AD30" s="2">
        <f>ROUND((((0)-(0))+AE30),6)</f>
        <v>0</v>
      </c>
      <c r="AE30" s="2">
        <f>ROUND((0),6)</f>
        <v>0</v>
      </c>
      <c r="AF30" s="2">
        <f>ROUND((SUM(SmtRes!BT21:'SmtRes'!BT23)),6)</f>
        <v>3479.9263999999998</v>
      </c>
      <c r="AG30" s="2">
        <f t="shared" si="20"/>
        <v>0</v>
      </c>
      <c r="AH30" s="2">
        <f>(SUM(SmtRes!BU21:'SmtRes'!BU23))</f>
        <v>5.36</v>
      </c>
      <c r="AI30" s="2">
        <f>(0)</f>
        <v>0</v>
      </c>
      <c r="AJ30" s="2">
        <f t="shared" si="21"/>
        <v>0</v>
      </c>
      <c r="AK30" s="2">
        <v>3485.3959680000003</v>
      </c>
      <c r="AL30" s="2">
        <v>5.4695679999999998</v>
      </c>
      <c r="AM30" s="2">
        <v>0</v>
      </c>
      <c r="AN30" s="2">
        <v>0</v>
      </c>
      <c r="AO30" s="2">
        <v>3479.9264000000003</v>
      </c>
      <c r="AP30" s="2">
        <v>0</v>
      </c>
      <c r="AQ30" s="2">
        <v>5.36</v>
      </c>
      <c r="AR30" s="2">
        <v>0</v>
      </c>
      <c r="AS30" s="2">
        <v>0</v>
      </c>
      <c r="AT30" s="2">
        <v>92</v>
      </c>
      <c r="AU30" s="2">
        <v>44</v>
      </c>
      <c r="AV30" s="2">
        <v>1</v>
      </c>
      <c r="AW30" s="2">
        <v>1</v>
      </c>
      <c r="AX30" s="2"/>
      <c r="AY30" s="2"/>
      <c r="AZ30" s="2">
        <v>1</v>
      </c>
      <c r="BA30" s="2">
        <v>1</v>
      </c>
      <c r="BB30" s="2">
        <v>1</v>
      </c>
      <c r="BC30" s="2">
        <v>1</v>
      </c>
      <c r="BD30" s="2" t="s">
        <v>3</v>
      </c>
      <c r="BE30" s="2" t="s">
        <v>3</v>
      </c>
      <c r="BF30" s="2" t="s">
        <v>3</v>
      </c>
      <c r="BG30" s="2" t="s">
        <v>3</v>
      </c>
      <c r="BH30" s="2">
        <v>0</v>
      </c>
      <c r="BI30" s="2">
        <v>1</v>
      </c>
      <c r="BJ30" s="2" t="s">
        <v>62</v>
      </c>
      <c r="BK30" s="2"/>
      <c r="BL30" s="2"/>
      <c r="BM30" s="2">
        <v>69001</v>
      </c>
      <c r="BN30" s="2">
        <v>0</v>
      </c>
      <c r="BO30" s="2" t="s">
        <v>3</v>
      </c>
      <c r="BP30" s="2">
        <v>0</v>
      </c>
      <c r="BQ30" s="2">
        <v>6</v>
      </c>
      <c r="BR30" s="2">
        <v>0</v>
      </c>
      <c r="BS30" s="2">
        <v>1</v>
      </c>
      <c r="BT30" s="2">
        <v>1</v>
      </c>
      <c r="BU30" s="2">
        <v>1</v>
      </c>
      <c r="BV30" s="2">
        <v>1</v>
      </c>
      <c r="BW30" s="2">
        <v>1</v>
      </c>
      <c r="BX30" s="2">
        <v>1</v>
      </c>
      <c r="BY30" s="2" t="s">
        <v>3</v>
      </c>
      <c r="BZ30" s="2">
        <v>92</v>
      </c>
      <c r="CA30" s="2">
        <v>44</v>
      </c>
      <c r="CB30" s="2" t="s">
        <v>3</v>
      </c>
      <c r="CC30" s="2"/>
      <c r="CD30" s="2"/>
      <c r="CE30" s="2">
        <v>0</v>
      </c>
      <c r="CF30" s="2">
        <v>0</v>
      </c>
      <c r="CG30" s="2">
        <v>0</v>
      </c>
      <c r="CH30" s="2"/>
      <c r="CI30" s="2"/>
      <c r="CJ30" s="2"/>
      <c r="CK30" s="2"/>
      <c r="CL30" s="2"/>
      <c r="CM30" s="2">
        <v>0</v>
      </c>
      <c r="CN30" s="2" t="s">
        <v>3</v>
      </c>
      <c r="CO30" s="2">
        <v>0</v>
      </c>
      <c r="CP30" s="2">
        <f t="shared" si="22"/>
        <v>69.709999999999994</v>
      </c>
      <c r="CQ30" s="2">
        <f>SUMIF(SmtRes!AQ21:'SmtRes'!AQ23,"=1",SmtRes!AA21:'SmtRes'!AA23)</f>
        <v>6.92</v>
      </c>
      <c r="CR30" s="2">
        <f>SUMIF(SmtRes!AQ21:'SmtRes'!AQ23,"=1",SmtRes!AB21:'SmtRes'!AB23)</f>
        <v>0</v>
      </c>
      <c r="CS30" s="2">
        <f>SUMIF(SmtRes!AQ21:'SmtRes'!AQ23,"=1",SmtRes!AC21:'SmtRes'!AC23)</f>
        <v>0</v>
      </c>
      <c r="CT30" s="2">
        <f>SUMIF(SmtRes!AQ21:'SmtRes'!AQ23,"=1",SmtRes!AD21:'SmtRes'!AD23)</f>
        <v>649.24</v>
      </c>
      <c r="CU30" s="2">
        <f t="shared" si="23"/>
        <v>0</v>
      </c>
      <c r="CV30" s="2">
        <f>SUMIF(SmtRes!AQ21:'SmtRes'!AQ23,"=1",SmtRes!BU21:'SmtRes'!BU23)</f>
        <v>5.36</v>
      </c>
      <c r="CW30" s="2">
        <f>SUMIF(SmtRes!AQ21:'SmtRes'!AQ23,"=1",SmtRes!BV21:'SmtRes'!BV23)</f>
        <v>0</v>
      </c>
      <c r="CX30" s="2">
        <f t="shared" si="24"/>
        <v>0</v>
      </c>
      <c r="CY30" s="2">
        <f t="shared" si="25"/>
        <v>64.031999999999996</v>
      </c>
      <c r="CZ30" s="2">
        <f t="shared" si="26"/>
        <v>30.623999999999995</v>
      </c>
      <c r="DA30" s="2"/>
      <c r="DB30" s="2"/>
      <c r="DC30" s="2" t="s">
        <v>3</v>
      </c>
      <c r="DD30" s="2" t="s">
        <v>3</v>
      </c>
      <c r="DE30" s="2" t="s">
        <v>3</v>
      </c>
      <c r="DF30" s="2" t="s">
        <v>3</v>
      </c>
      <c r="DG30" s="2" t="s">
        <v>3</v>
      </c>
      <c r="DH30" s="2" t="s">
        <v>3</v>
      </c>
      <c r="DI30" s="2" t="s">
        <v>3</v>
      </c>
      <c r="DJ30" s="2" t="s">
        <v>3</v>
      </c>
      <c r="DK30" s="2" t="s">
        <v>3</v>
      </c>
      <c r="DL30" s="2" t="s">
        <v>3</v>
      </c>
      <c r="DM30" s="2" t="s">
        <v>3</v>
      </c>
      <c r="DN30" s="2">
        <v>0</v>
      </c>
      <c r="DO30" s="2">
        <v>0</v>
      </c>
      <c r="DP30" s="2">
        <v>1</v>
      </c>
      <c r="DQ30" s="2">
        <v>1</v>
      </c>
      <c r="DR30" s="2"/>
      <c r="DS30" s="2"/>
      <c r="DT30" s="2"/>
      <c r="DU30" s="2">
        <v>1013</v>
      </c>
      <c r="DV30" s="2" t="s">
        <v>51</v>
      </c>
      <c r="DW30" s="2" t="s">
        <v>51</v>
      </c>
      <c r="DX30" s="2">
        <v>1</v>
      </c>
      <c r="DY30" s="2"/>
      <c r="DZ30" s="2" t="s">
        <v>3</v>
      </c>
      <c r="EA30" s="2" t="s">
        <v>3</v>
      </c>
      <c r="EB30" s="2" t="s">
        <v>3</v>
      </c>
      <c r="EC30" s="2" t="s">
        <v>3</v>
      </c>
      <c r="ED30" s="2"/>
      <c r="EE30" s="2">
        <v>80781987</v>
      </c>
      <c r="EF30" s="2">
        <v>6</v>
      </c>
      <c r="EG30" s="2" t="s">
        <v>20</v>
      </c>
      <c r="EH30" s="2">
        <v>103</v>
      </c>
      <c r="EI30" s="2" t="s">
        <v>53</v>
      </c>
      <c r="EJ30" s="2">
        <v>1</v>
      </c>
      <c r="EK30" s="2">
        <v>69001</v>
      </c>
      <c r="EL30" s="2" t="s">
        <v>53</v>
      </c>
      <c r="EM30" s="2" t="s">
        <v>54</v>
      </c>
      <c r="EN30" s="2"/>
      <c r="EO30" s="2" t="s">
        <v>3</v>
      </c>
      <c r="EP30" s="2"/>
      <c r="EQ30" s="2">
        <v>1024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5.36</v>
      </c>
      <c r="EX30" s="2">
        <v>0</v>
      </c>
      <c r="EY30" s="2">
        <v>0</v>
      </c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>
        <v>0</v>
      </c>
      <c r="FR30" s="2">
        <v>0</v>
      </c>
      <c r="FS30" s="2">
        <v>0</v>
      </c>
      <c r="FT30" s="2"/>
      <c r="FU30" s="2"/>
      <c r="FV30" s="2"/>
      <c r="FW30" s="2"/>
      <c r="FX30" s="2">
        <v>92</v>
      </c>
      <c r="FY30" s="2">
        <v>44</v>
      </c>
      <c r="FZ30" s="2"/>
      <c r="GA30" s="2" t="s">
        <v>3</v>
      </c>
      <c r="GB30" s="2"/>
      <c r="GC30" s="2"/>
      <c r="GD30" s="2">
        <v>1</v>
      </c>
      <c r="GE30" s="2"/>
      <c r="GF30" s="2">
        <v>-248432179</v>
      </c>
      <c r="GG30" s="2">
        <v>2</v>
      </c>
      <c r="GH30" s="2">
        <v>1</v>
      </c>
      <c r="GI30" s="2">
        <v>-2</v>
      </c>
      <c r="GJ30" s="2">
        <v>0</v>
      </c>
      <c r="GK30" s="2">
        <v>0</v>
      </c>
      <c r="GL30" s="2">
        <f t="shared" si="27"/>
        <v>0</v>
      </c>
      <c r="GM30" s="2">
        <f t="shared" si="28"/>
        <v>164.36</v>
      </c>
      <c r="GN30" s="2">
        <f t="shared" si="29"/>
        <v>164.36</v>
      </c>
      <c r="GO30" s="2">
        <f t="shared" si="30"/>
        <v>0</v>
      </c>
      <c r="GP30" s="2">
        <f t="shared" si="31"/>
        <v>0</v>
      </c>
      <c r="GQ30" s="2"/>
      <c r="GR30" s="2">
        <v>0</v>
      </c>
      <c r="GS30" s="2">
        <v>3</v>
      </c>
      <c r="GT30" s="2">
        <v>0</v>
      </c>
      <c r="GU30" s="2" t="s">
        <v>3</v>
      </c>
      <c r="GV30" s="2">
        <f t="shared" si="32"/>
        <v>0</v>
      </c>
      <c r="GW30" s="2">
        <v>1</v>
      </c>
      <c r="GX30" s="2">
        <f t="shared" si="33"/>
        <v>0</v>
      </c>
      <c r="GY30" s="2"/>
      <c r="GZ30" s="2"/>
      <c r="HA30" s="2">
        <v>0</v>
      </c>
      <c r="HB30" s="2">
        <v>0</v>
      </c>
      <c r="HC30" s="2">
        <f t="shared" si="34"/>
        <v>0</v>
      </c>
      <c r="HD30" s="2"/>
      <c r="HE30" s="2" t="s">
        <v>3</v>
      </c>
      <c r="HF30" s="2" t="s">
        <v>3</v>
      </c>
      <c r="HG30" s="2"/>
      <c r="HH30" s="2"/>
      <c r="HI30" s="2"/>
      <c r="HJ30" s="2"/>
      <c r="HK30" s="2"/>
      <c r="HL30" s="2"/>
      <c r="HM30" s="2" t="s">
        <v>3</v>
      </c>
      <c r="HN30" s="2" t="s">
        <v>55</v>
      </c>
      <c r="HO30" s="2" t="s">
        <v>56</v>
      </c>
      <c r="HP30" s="2" t="s">
        <v>53</v>
      </c>
      <c r="HQ30" s="2" t="s">
        <v>53</v>
      </c>
      <c r="HR30" s="2"/>
      <c r="HS30" s="2">
        <v>0</v>
      </c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>
        <v>0</v>
      </c>
      <c r="IL30" s="2"/>
      <c r="IM30" s="2"/>
      <c r="IN30" s="2"/>
      <c r="IO30" s="2"/>
      <c r="IP30" s="2"/>
      <c r="IQ30" s="2"/>
      <c r="IR30" s="2"/>
      <c r="IS30" s="2"/>
      <c r="IT30" s="2"/>
      <c r="IU30" s="2"/>
    </row>
    <row r="31" spans="1:255" x14ac:dyDescent="0.2">
      <c r="A31" s="2">
        <v>18</v>
      </c>
      <c r="B31" s="2">
        <v>1</v>
      </c>
      <c r="C31" s="2">
        <v>23</v>
      </c>
      <c r="D31" s="2"/>
      <c r="E31" s="2" t="s">
        <v>3</v>
      </c>
      <c r="F31" s="2" t="s">
        <v>57</v>
      </c>
      <c r="G31" s="2" t="s">
        <v>58</v>
      </c>
      <c r="H31" s="2" t="s">
        <v>59</v>
      </c>
      <c r="I31" s="2">
        <f>I30*J31</f>
        <v>1.2E-4</v>
      </c>
      <c r="J31" s="2">
        <v>6.0000000000000001E-3</v>
      </c>
      <c r="K31" s="2">
        <v>6.0000000000000001E-3</v>
      </c>
      <c r="L31" s="2"/>
      <c r="M31" s="2"/>
      <c r="N31" s="2"/>
      <c r="O31" s="2">
        <f t="shared" si="14"/>
        <v>0</v>
      </c>
      <c r="P31" s="2">
        <f>ROUND(CQ31*I31,2)</f>
        <v>0</v>
      </c>
      <c r="Q31" s="2">
        <f>ROUND(CR31*I31,2)</f>
        <v>0</v>
      </c>
      <c r="R31" s="2">
        <f>ROUND(CS31*I31,2)</f>
        <v>0</v>
      </c>
      <c r="S31" s="2">
        <f>ROUND(CT31*I31,2)</f>
        <v>0</v>
      </c>
      <c r="T31" s="2">
        <f t="shared" si="15"/>
        <v>0</v>
      </c>
      <c r="U31" s="2">
        <f>ROUND(CV31*I31,7)</f>
        <v>0</v>
      </c>
      <c r="V31" s="2">
        <f>ROUND(CW31*I31,7)</f>
        <v>0</v>
      </c>
      <c r="W31" s="2">
        <f t="shared" si="16"/>
        <v>0</v>
      </c>
      <c r="X31" s="2">
        <f t="shared" si="17"/>
        <v>0</v>
      </c>
      <c r="Y31" s="2">
        <f t="shared" si="18"/>
        <v>0</v>
      </c>
      <c r="Z31" s="2"/>
      <c r="AA31" s="2">
        <v>-1</v>
      </c>
      <c r="AB31" s="2">
        <f t="shared" si="19"/>
        <v>0</v>
      </c>
      <c r="AC31" s="2">
        <f>ROUND((ES31),6)</f>
        <v>0</v>
      </c>
      <c r="AD31" s="2">
        <f>ROUND((((ET31)-(EU31))+AE31),6)</f>
        <v>0</v>
      </c>
      <c r="AE31" s="2">
        <f>ROUND((EU31),6)</f>
        <v>0</v>
      </c>
      <c r="AF31" s="2">
        <f>ROUND((EV31),6)</f>
        <v>0</v>
      </c>
      <c r="AG31" s="2">
        <f t="shared" si="20"/>
        <v>0</v>
      </c>
      <c r="AH31" s="2">
        <f>(EW31)</f>
        <v>0</v>
      </c>
      <c r="AI31" s="2">
        <f>(EX31)</f>
        <v>0</v>
      </c>
      <c r="AJ31" s="2">
        <f t="shared" si="21"/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92</v>
      </c>
      <c r="AU31" s="2">
        <v>44</v>
      </c>
      <c r="AV31" s="2">
        <v>1</v>
      </c>
      <c r="AW31" s="2">
        <v>1</v>
      </c>
      <c r="AX31" s="2"/>
      <c r="AY31" s="2"/>
      <c r="AZ31" s="2">
        <v>1</v>
      </c>
      <c r="BA31" s="2">
        <v>1</v>
      </c>
      <c r="BB31" s="2">
        <v>1</v>
      </c>
      <c r="BC31" s="2">
        <v>1</v>
      </c>
      <c r="BD31" s="2" t="s">
        <v>3</v>
      </c>
      <c r="BE31" s="2" t="s">
        <v>3</v>
      </c>
      <c r="BF31" s="2" t="s">
        <v>3</v>
      </c>
      <c r="BG31" s="2" t="s">
        <v>3</v>
      </c>
      <c r="BH31" s="2">
        <v>3</v>
      </c>
      <c r="BI31" s="2">
        <v>1</v>
      </c>
      <c r="BJ31" s="2" t="s">
        <v>3</v>
      </c>
      <c r="BK31" s="2"/>
      <c r="BL31" s="2"/>
      <c r="BM31" s="2">
        <v>69001</v>
      </c>
      <c r="BN31" s="2">
        <v>0</v>
      </c>
      <c r="BO31" s="2" t="s">
        <v>3</v>
      </c>
      <c r="BP31" s="2">
        <v>0</v>
      </c>
      <c r="BQ31" s="2">
        <v>6</v>
      </c>
      <c r="BR31" s="2">
        <v>0</v>
      </c>
      <c r="BS31" s="2">
        <v>1</v>
      </c>
      <c r="BT31" s="2">
        <v>1</v>
      </c>
      <c r="BU31" s="2">
        <v>1</v>
      </c>
      <c r="BV31" s="2">
        <v>1</v>
      </c>
      <c r="BW31" s="2">
        <v>1</v>
      </c>
      <c r="BX31" s="2">
        <v>1</v>
      </c>
      <c r="BY31" s="2" t="s">
        <v>3</v>
      </c>
      <c r="BZ31" s="2">
        <v>92</v>
      </c>
      <c r="CA31" s="2">
        <v>44</v>
      </c>
      <c r="CB31" s="2" t="s">
        <v>3</v>
      </c>
      <c r="CC31" s="2"/>
      <c r="CD31" s="2"/>
      <c r="CE31" s="2">
        <v>0</v>
      </c>
      <c r="CF31" s="2">
        <v>0</v>
      </c>
      <c r="CG31" s="2">
        <v>0</v>
      </c>
      <c r="CH31" s="2"/>
      <c r="CI31" s="2"/>
      <c r="CJ31" s="2"/>
      <c r="CK31" s="2"/>
      <c r="CL31" s="2"/>
      <c r="CM31" s="2">
        <v>0</v>
      </c>
      <c r="CN31" s="2" t="s">
        <v>3</v>
      </c>
      <c r="CO31" s="2">
        <v>0</v>
      </c>
      <c r="CP31" s="2">
        <f t="shared" si="22"/>
        <v>0</v>
      </c>
      <c r="CQ31" s="2">
        <f>ROUND(AL31*BC31,2)</f>
        <v>0</v>
      </c>
      <c r="CR31" s="2">
        <f>ROUND(AM31*BB31,2)</f>
        <v>0</v>
      </c>
      <c r="CS31" s="2">
        <f>ROUND(AN31*BS31,2)</f>
        <v>0</v>
      </c>
      <c r="CT31" s="2">
        <f>ROUND(AO31*BA31,2)</f>
        <v>0</v>
      </c>
      <c r="CU31" s="2">
        <f t="shared" si="23"/>
        <v>0</v>
      </c>
      <c r="CV31" s="2">
        <f>AH31</f>
        <v>0</v>
      </c>
      <c r="CW31" s="2">
        <f>AI31</f>
        <v>0</v>
      </c>
      <c r="CX31" s="2">
        <f t="shared" si="24"/>
        <v>0</v>
      </c>
      <c r="CY31" s="2">
        <f t="shared" si="25"/>
        <v>0</v>
      </c>
      <c r="CZ31" s="2">
        <f t="shared" si="26"/>
        <v>0</v>
      </c>
      <c r="DA31" s="2"/>
      <c r="DB31" s="2"/>
      <c r="DC31" s="2" t="s">
        <v>3</v>
      </c>
      <c r="DD31" s="2" t="s">
        <v>3</v>
      </c>
      <c r="DE31" s="2" t="s">
        <v>3</v>
      </c>
      <c r="DF31" s="2" t="s">
        <v>3</v>
      </c>
      <c r="DG31" s="2" t="s">
        <v>3</v>
      </c>
      <c r="DH31" s="2" t="s">
        <v>3</v>
      </c>
      <c r="DI31" s="2" t="s">
        <v>3</v>
      </c>
      <c r="DJ31" s="2" t="s">
        <v>3</v>
      </c>
      <c r="DK31" s="2" t="s">
        <v>3</v>
      </c>
      <c r="DL31" s="2" t="s">
        <v>3</v>
      </c>
      <c r="DM31" s="2" t="s">
        <v>3</v>
      </c>
      <c r="DN31" s="2">
        <v>0</v>
      </c>
      <c r="DO31" s="2">
        <v>0</v>
      </c>
      <c r="DP31" s="2">
        <v>1</v>
      </c>
      <c r="DQ31" s="2">
        <v>1</v>
      </c>
      <c r="DR31" s="2"/>
      <c r="DS31" s="2"/>
      <c r="DT31" s="2"/>
      <c r="DU31" s="2">
        <v>1009</v>
      </c>
      <c r="DV31" s="2" t="s">
        <v>59</v>
      </c>
      <c r="DW31" s="2" t="s">
        <v>59</v>
      </c>
      <c r="DX31" s="2">
        <v>1000</v>
      </c>
      <c r="DY31" s="2"/>
      <c r="DZ31" s="2" t="s">
        <v>3</v>
      </c>
      <c r="EA31" s="2" t="s">
        <v>3</v>
      </c>
      <c r="EB31" s="2" t="s">
        <v>3</v>
      </c>
      <c r="EC31" s="2" t="s">
        <v>3</v>
      </c>
      <c r="ED31" s="2"/>
      <c r="EE31" s="2">
        <v>80781987</v>
      </c>
      <c r="EF31" s="2">
        <v>6</v>
      </c>
      <c r="EG31" s="2" t="s">
        <v>20</v>
      </c>
      <c r="EH31" s="2">
        <v>103</v>
      </c>
      <c r="EI31" s="2" t="s">
        <v>53</v>
      </c>
      <c r="EJ31" s="2">
        <v>1</v>
      </c>
      <c r="EK31" s="2">
        <v>69001</v>
      </c>
      <c r="EL31" s="2" t="s">
        <v>53</v>
      </c>
      <c r="EM31" s="2" t="s">
        <v>54</v>
      </c>
      <c r="EN31" s="2"/>
      <c r="EO31" s="2" t="s">
        <v>3</v>
      </c>
      <c r="EP31" s="2"/>
      <c r="EQ31" s="2">
        <v>1024</v>
      </c>
      <c r="ER31" s="2">
        <v>0</v>
      </c>
      <c r="ES31" s="2">
        <v>0</v>
      </c>
      <c r="ET31" s="2">
        <v>0</v>
      </c>
      <c r="EU31" s="2">
        <v>0</v>
      </c>
      <c r="EV31" s="2">
        <v>0</v>
      </c>
      <c r="EW31" s="2">
        <v>0</v>
      </c>
      <c r="EX31" s="2">
        <v>0</v>
      </c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>
        <v>0</v>
      </c>
      <c r="FR31" s="2">
        <v>0</v>
      </c>
      <c r="FS31" s="2">
        <v>0</v>
      </c>
      <c r="FT31" s="2"/>
      <c r="FU31" s="2"/>
      <c r="FV31" s="2"/>
      <c r="FW31" s="2"/>
      <c r="FX31" s="2">
        <v>92</v>
      </c>
      <c r="FY31" s="2">
        <v>44</v>
      </c>
      <c r="FZ31" s="2"/>
      <c r="GA31" s="2" t="s">
        <v>3</v>
      </c>
      <c r="GB31" s="2"/>
      <c r="GC31" s="2"/>
      <c r="GD31" s="2">
        <v>1</v>
      </c>
      <c r="GE31" s="2"/>
      <c r="GF31" s="2">
        <v>2102561428</v>
      </c>
      <c r="GG31" s="2">
        <v>2</v>
      </c>
      <c r="GH31" s="2">
        <v>1</v>
      </c>
      <c r="GI31" s="2">
        <v>-2</v>
      </c>
      <c r="GJ31" s="2">
        <v>0</v>
      </c>
      <c r="GK31" s="2">
        <v>0</v>
      </c>
      <c r="GL31" s="2">
        <f t="shared" si="27"/>
        <v>0</v>
      </c>
      <c r="GM31" s="2">
        <f t="shared" si="28"/>
        <v>0</v>
      </c>
      <c r="GN31" s="2">
        <f t="shared" si="29"/>
        <v>0</v>
      </c>
      <c r="GO31" s="2">
        <f t="shared" si="30"/>
        <v>0</v>
      </c>
      <c r="GP31" s="2">
        <f t="shared" si="31"/>
        <v>0</v>
      </c>
      <c r="GQ31" s="2"/>
      <c r="GR31" s="2">
        <v>0</v>
      </c>
      <c r="GS31" s="2">
        <v>3</v>
      </c>
      <c r="GT31" s="2">
        <v>0</v>
      </c>
      <c r="GU31" s="2" t="s">
        <v>3</v>
      </c>
      <c r="GV31" s="2">
        <f t="shared" si="32"/>
        <v>0</v>
      </c>
      <c r="GW31" s="2">
        <v>1</v>
      </c>
      <c r="GX31" s="2">
        <f t="shared" si="33"/>
        <v>0</v>
      </c>
      <c r="GY31" s="2"/>
      <c r="GZ31" s="2"/>
      <c r="HA31" s="2">
        <v>0</v>
      </c>
      <c r="HB31" s="2">
        <v>0</v>
      </c>
      <c r="HC31" s="2">
        <f t="shared" si="34"/>
        <v>0</v>
      </c>
      <c r="HD31" s="2"/>
      <c r="HE31" s="2" t="s">
        <v>3</v>
      </c>
      <c r="HF31" s="2" t="s">
        <v>3</v>
      </c>
      <c r="HG31" s="2"/>
      <c r="HH31" s="2"/>
      <c r="HI31" s="2"/>
      <c r="HJ31" s="2"/>
      <c r="HK31" s="2"/>
      <c r="HL31" s="2"/>
      <c r="HM31" s="2" t="s">
        <v>3</v>
      </c>
      <c r="HN31" s="2" t="s">
        <v>55</v>
      </c>
      <c r="HO31" s="2" t="s">
        <v>56</v>
      </c>
      <c r="HP31" s="2" t="s">
        <v>53</v>
      </c>
      <c r="HQ31" s="2" t="s">
        <v>53</v>
      </c>
      <c r="HR31" s="2"/>
      <c r="HS31" s="2">
        <v>0</v>
      </c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>
        <v>0</v>
      </c>
      <c r="IL31" s="2"/>
      <c r="IM31" s="2"/>
      <c r="IN31" s="2"/>
      <c r="IO31" s="2"/>
      <c r="IP31" s="2"/>
      <c r="IQ31" s="2"/>
      <c r="IR31" s="2"/>
      <c r="IS31" s="2"/>
      <c r="IT31" s="2"/>
      <c r="IU31" s="2"/>
    </row>
    <row r="32" spans="1:255" x14ac:dyDescent="0.2">
      <c r="A32" s="2">
        <v>17</v>
      </c>
      <c r="B32" s="2">
        <v>1</v>
      </c>
      <c r="C32" s="2">
        <f>ROW(SmtRes!A26)</f>
        <v>26</v>
      </c>
      <c r="D32" s="2">
        <f>ROW(EtalonRes!A26)</f>
        <v>26</v>
      </c>
      <c r="E32" s="2" t="s">
        <v>3</v>
      </c>
      <c r="F32" s="2" t="s">
        <v>63</v>
      </c>
      <c r="G32" s="2" t="s">
        <v>64</v>
      </c>
      <c r="H32" s="2" t="s">
        <v>51</v>
      </c>
      <c r="I32" s="2">
        <f>ROUND(2/100,7)</f>
        <v>0.02</v>
      </c>
      <c r="J32" s="2">
        <v>0</v>
      </c>
      <c r="K32" s="2">
        <f>ROUND(2/100,7)</f>
        <v>0.02</v>
      </c>
      <c r="L32" s="2"/>
      <c r="M32" s="2"/>
      <c r="N32" s="2"/>
      <c r="O32" s="2">
        <f t="shared" si="14"/>
        <v>68.67</v>
      </c>
      <c r="P32" s="2">
        <f>SUMIF(SmtRes!AQ24:'SmtRes'!AQ26,"=1",SmtRes!DF24:'SmtRes'!DF26)</f>
        <v>0.11</v>
      </c>
      <c r="Q32" s="2">
        <f>SUMIF(SmtRes!AQ24:'SmtRes'!AQ26,"=1",SmtRes!DG24:'SmtRes'!DG26)</f>
        <v>0</v>
      </c>
      <c r="R32" s="2">
        <f>SUMIF(SmtRes!AQ24:'SmtRes'!AQ26,"=1",SmtRes!DH24:'SmtRes'!DH26)</f>
        <v>0</v>
      </c>
      <c r="S32" s="2">
        <f>SUMIF(SmtRes!AQ24:'SmtRes'!AQ26,"=1",SmtRes!DI24:'SmtRes'!DI26)</f>
        <v>68.56</v>
      </c>
      <c r="T32" s="2">
        <f t="shared" si="15"/>
        <v>0</v>
      </c>
      <c r="U32" s="2">
        <f>SUMIF(SmtRes!AQ24:'SmtRes'!AQ26,"=1",SmtRes!CV24:'SmtRes'!CV26)</f>
        <v>0.1056</v>
      </c>
      <c r="V32" s="2">
        <f>SUMIF(SmtRes!AQ24:'SmtRes'!AQ26,"=1",SmtRes!CW24:'SmtRes'!CW26)</f>
        <v>0</v>
      </c>
      <c r="W32" s="2">
        <f t="shared" si="16"/>
        <v>0</v>
      </c>
      <c r="X32" s="2">
        <f t="shared" si="17"/>
        <v>63.08</v>
      </c>
      <c r="Y32" s="2">
        <f t="shared" si="18"/>
        <v>30.17</v>
      </c>
      <c r="Z32" s="2"/>
      <c r="AA32" s="2">
        <v>-1</v>
      </c>
      <c r="AB32" s="2">
        <f t="shared" si="19"/>
        <v>3433.2464</v>
      </c>
      <c r="AC32" s="2">
        <f>ROUND((SUM(SmtRes!BQ24:'SmtRes'!BQ26)),6)</f>
        <v>5.2591999999999999</v>
      </c>
      <c r="AD32" s="2">
        <f>ROUND((((0)-(0))+AE32),6)</f>
        <v>0</v>
      </c>
      <c r="AE32" s="2">
        <f>ROUND((0),6)</f>
        <v>0</v>
      </c>
      <c r="AF32" s="2">
        <f>ROUND((SUM(SmtRes!BT24:'SmtRes'!BT26)),6)</f>
        <v>3427.9872</v>
      </c>
      <c r="AG32" s="2">
        <f t="shared" si="20"/>
        <v>0</v>
      </c>
      <c r="AH32" s="2">
        <f>(SUM(SmtRes!BU24:'SmtRes'!BU26))</f>
        <v>5.28</v>
      </c>
      <c r="AI32" s="2">
        <f>(0)</f>
        <v>0</v>
      </c>
      <c r="AJ32" s="2">
        <f t="shared" si="21"/>
        <v>0</v>
      </c>
      <c r="AK32" s="2">
        <v>3433.2464</v>
      </c>
      <c r="AL32" s="2">
        <v>5.2591999999999999</v>
      </c>
      <c r="AM32" s="2">
        <v>0</v>
      </c>
      <c r="AN32" s="2">
        <v>0</v>
      </c>
      <c r="AO32" s="2">
        <v>3427.9872</v>
      </c>
      <c r="AP32" s="2">
        <v>0</v>
      </c>
      <c r="AQ32" s="2">
        <v>5.28</v>
      </c>
      <c r="AR32" s="2">
        <v>0</v>
      </c>
      <c r="AS32" s="2">
        <v>0</v>
      </c>
      <c r="AT32" s="2">
        <v>92</v>
      </c>
      <c r="AU32" s="2">
        <v>44</v>
      </c>
      <c r="AV32" s="2">
        <v>1</v>
      </c>
      <c r="AW32" s="2">
        <v>1</v>
      </c>
      <c r="AX32" s="2"/>
      <c r="AY32" s="2"/>
      <c r="AZ32" s="2">
        <v>1</v>
      </c>
      <c r="BA32" s="2">
        <v>1</v>
      </c>
      <c r="BB32" s="2">
        <v>1</v>
      </c>
      <c r="BC32" s="2">
        <v>1</v>
      </c>
      <c r="BD32" s="2" t="s">
        <v>3</v>
      </c>
      <c r="BE32" s="2" t="s">
        <v>3</v>
      </c>
      <c r="BF32" s="2" t="s">
        <v>3</v>
      </c>
      <c r="BG32" s="2" t="s">
        <v>3</v>
      </c>
      <c r="BH32" s="2">
        <v>0</v>
      </c>
      <c r="BI32" s="2">
        <v>1</v>
      </c>
      <c r="BJ32" s="2" t="s">
        <v>65</v>
      </c>
      <c r="BK32" s="2"/>
      <c r="BL32" s="2"/>
      <c r="BM32" s="2">
        <v>69001</v>
      </c>
      <c r="BN32" s="2">
        <v>0</v>
      </c>
      <c r="BO32" s="2" t="s">
        <v>3</v>
      </c>
      <c r="BP32" s="2">
        <v>0</v>
      </c>
      <c r="BQ32" s="2">
        <v>6</v>
      </c>
      <c r="BR32" s="2">
        <v>0</v>
      </c>
      <c r="BS32" s="2">
        <v>1</v>
      </c>
      <c r="BT32" s="2">
        <v>1</v>
      </c>
      <c r="BU32" s="2">
        <v>1</v>
      </c>
      <c r="BV32" s="2">
        <v>1</v>
      </c>
      <c r="BW32" s="2">
        <v>1</v>
      </c>
      <c r="BX32" s="2">
        <v>1</v>
      </c>
      <c r="BY32" s="2" t="s">
        <v>3</v>
      </c>
      <c r="BZ32" s="2">
        <v>92</v>
      </c>
      <c r="CA32" s="2">
        <v>44</v>
      </c>
      <c r="CB32" s="2" t="s">
        <v>3</v>
      </c>
      <c r="CC32" s="2"/>
      <c r="CD32" s="2"/>
      <c r="CE32" s="2">
        <v>0</v>
      </c>
      <c r="CF32" s="2">
        <v>0</v>
      </c>
      <c r="CG32" s="2">
        <v>0</v>
      </c>
      <c r="CH32" s="2"/>
      <c r="CI32" s="2"/>
      <c r="CJ32" s="2"/>
      <c r="CK32" s="2"/>
      <c r="CL32" s="2"/>
      <c r="CM32" s="2">
        <v>0</v>
      </c>
      <c r="CN32" s="2" t="s">
        <v>3</v>
      </c>
      <c r="CO32" s="2">
        <v>0</v>
      </c>
      <c r="CP32" s="2">
        <f t="shared" si="22"/>
        <v>68.67</v>
      </c>
      <c r="CQ32" s="2">
        <f>SUMIF(SmtRes!AQ24:'SmtRes'!AQ26,"=1",SmtRes!AA24:'SmtRes'!AA26)</f>
        <v>6.92</v>
      </c>
      <c r="CR32" s="2">
        <f>SUMIF(SmtRes!AQ24:'SmtRes'!AQ26,"=1",SmtRes!AB24:'SmtRes'!AB26)</f>
        <v>0</v>
      </c>
      <c r="CS32" s="2">
        <f>SUMIF(SmtRes!AQ24:'SmtRes'!AQ26,"=1",SmtRes!AC24:'SmtRes'!AC26)</f>
        <v>0</v>
      </c>
      <c r="CT32" s="2">
        <f>SUMIF(SmtRes!AQ24:'SmtRes'!AQ26,"=1",SmtRes!AD24:'SmtRes'!AD26)</f>
        <v>649.24</v>
      </c>
      <c r="CU32" s="2">
        <f t="shared" si="23"/>
        <v>0</v>
      </c>
      <c r="CV32" s="2">
        <f>SUMIF(SmtRes!AQ24:'SmtRes'!AQ26,"=1",SmtRes!BU24:'SmtRes'!BU26)</f>
        <v>5.28</v>
      </c>
      <c r="CW32" s="2">
        <f>SUMIF(SmtRes!AQ24:'SmtRes'!AQ26,"=1",SmtRes!BV24:'SmtRes'!BV26)</f>
        <v>0</v>
      </c>
      <c r="CX32" s="2">
        <f t="shared" si="24"/>
        <v>0</v>
      </c>
      <c r="CY32" s="2">
        <f t="shared" si="25"/>
        <v>63.075200000000002</v>
      </c>
      <c r="CZ32" s="2">
        <f t="shared" si="26"/>
        <v>30.166400000000003</v>
      </c>
      <c r="DA32" s="2"/>
      <c r="DB32" s="2"/>
      <c r="DC32" s="2" t="s">
        <v>3</v>
      </c>
      <c r="DD32" s="2" t="s">
        <v>3</v>
      </c>
      <c r="DE32" s="2" t="s">
        <v>3</v>
      </c>
      <c r="DF32" s="2" t="s">
        <v>3</v>
      </c>
      <c r="DG32" s="2" t="s">
        <v>3</v>
      </c>
      <c r="DH32" s="2" t="s">
        <v>3</v>
      </c>
      <c r="DI32" s="2" t="s">
        <v>3</v>
      </c>
      <c r="DJ32" s="2" t="s">
        <v>3</v>
      </c>
      <c r="DK32" s="2" t="s">
        <v>3</v>
      </c>
      <c r="DL32" s="2" t="s">
        <v>3</v>
      </c>
      <c r="DM32" s="2" t="s">
        <v>3</v>
      </c>
      <c r="DN32" s="2">
        <v>0</v>
      </c>
      <c r="DO32" s="2">
        <v>0</v>
      </c>
      <c r="DP32" s="2">
        <v>1</v>
      </c>
      <c r="DQ32" s="2">
        <v>1</v>
      </c>
      <c r="DR32" s="2"/>
      <c r="DS32" s="2"/>
      <c r="DT32" s="2"/>
      <c r="DU32" s="2">
        <v>1013</v>
      </c>
      <c r="DV32" s="2" t="s">
        <v>51</v>
      </c>
      <c r="DW32" s="2" t="s">
        <v>51</v>
      </c>
      <c r="DX32" s="2">
        <v>1</v>
      </c>
      <c r="DY32" s="2"/>
      <c r="DZ32" s="2" t="s">
        <v>3</v>
      </c>
      <c r="EA32" s="2" t="s">
        <v>3</v>
      </c>
      <c r="EB32" s="2" t="s">
        <v>3</v>
      </c>
      <c r="EC32" s="2" t="s">
        <v>3</v>
      </c>
      <c r="ED32" s="2"/>
      <c r="EE32" s="2">
        <v>80781987</v>
      </c>
      <c r="EF32" s="2">
        <v>6</v>
      </c>
      <c r="EG32" s="2" t="s">
        <v>20</v>
      </c>
      <c r="EH32" s="2">
        <v>103</v>
      </c>
      <c r="EI32" s="2" t="s">
        <v>53</v>
      </c>
      <c r="EJ32" s="2">
        <v>1</v>
      </c>
      <c r="EK32" s="2">
        <v>69001</v>
      </c>
      <c r="EL32" s="2" t="s">
        <v>53</v>
      </c>
      <c r="EM32" s="2" t="s">
        <v>54</v>
      </c>
      <c r="EN32" s="2"/>
      <c r="EO32" s="2" t="s">
        <v>3</v>
      </c>
      <c r="EP32" s="2"/>
      <c r="EQ32" s="2">
        <v>1024</v>
      </c>
      <c r="ER32" s="2">
        <v>0</v>
      </c>
      <c r="ES32" s="2">
        <v>0</v>
      </c>
      <c r="ET32" s="2">
        <v>0</v>
      </c>
      <c r="EU32" s="2">
        <v>0</v>
      </c>
      <c r="EV32" s="2">
        <v>0</v>
      </c>
      <c r="EW32" s="2">
        <v>5.28</v>
      </c>
      <c r="EX32" s="2">
        <v>0</v>
      </c>
      <c r="EY32" s="2">
        <v>0</v>
      </c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>
        <v>0</v>
      </c>
      <c r="FR32" s="2">
        <v>0</v>
      </c>
      <c r="FS32" s="2">
        <v>0</v>
      </c>
      <c r="FT32" s="2"/>
      <c r="FU32" s="2"/>
      <c r="FV32" s="2"/>
      <c r="FW32" s="2"/>
      <c r="FX32" s="2">
        <v>92</v>
      </c>
      <c r="FY32" s="2">
        <v>44</v>
      </c>
      <c r="FZ32" s="2"/>
      <c r="GA32" s="2" t="s">
        <v>3</v>
      </c>
      <c r="GB32" s="2"/>
      <c r="GC32" s="2"/>
      <c r="GD32" s="2">
        <v>1</v>
      </c>
      <c r="GE32" s="2"/>
      <c r="GF32" s="2">
        <v>1518773194</v>
      </c>
      <c r="GG32" s="2">
        <v>2</v>
      </c>
      <c r="GH32" s="2">
        <v>1</v>
      </c>
      <c r="GI32" s="2">
        <v>-2</v>
      </c>
      <c r="GJ32" s="2">
        <v>0</v>
      </c>
      <c r="GK32" s="2">
        <v>0</v>
      </c>
      <c r="GL32" s="2">
        <f t="shared" si="27"/>
        <v>0</v>
      </c>
      <c r="GM32" s="2">
        <f t="shared" si="28"/>
        <v>161.91999999999999</v>
      </c>
      <c r="GN32" s="2">
        <f t="shared" si="29"/>
        <v>161.91999999999999</v>
      </c>
      <c r="GO32" s="2">
        <f t="shared" si="30"/>
        <v>0</v>
      </c>
      <c r="GP32" s="2">
        <f t="shared" si="31"/>
        <v>0</v>
      </c>
      <c r="GQ32" s="2"/>
      <c r="GR32" s="2">
        <v>0</v>
      </c>
      <c r="GS32" s="2">
        <v>3</v>
      </c>
      <c r="GT32" s="2">
        <v>0</v>
      </c>
      <c r="GU32" s="2" t="s">
        <v>3</v>
      </c>
      <c r="GV32" s="2">
        <f t="shared" si="32"/>
        <v>0</v>
      </c>
      <c r="GW32" s="2">
        <v>1</v>
      </c>
      <c r="GX32" s="2">
        <f t="shared" si="33"/>
        <v>0</v>
      </c>
      <c r="GY32" s="2"/>
      <c r="GZ32" s="2"/>
      <c r="HA32" s="2">
        <v>0</v>
      </c>
      <c r="HB32" s="2">
        <v>0</v>
      </c>
      <c r="HC32" s="2">
        <f t="shared" si="34"/>
        <v>0</v>
      </c>
      <c r="HD32" s="2"/>
      <c r="HE32" s="2" t="s">
        <v>3</v>
      </c>
      <c r="HF32" s="2" t="s">
        <v>3</v>
      </c>
      <c r="HG32" s="2"/>
      <c r="HH32" s="2"/>
      <c r="HI32" s="2"/>
      <c r="HJ32" s="2"/>
      <c r="HK32" s="2"/>
      <c r="HL32" s="2"/>
      <c r="HM32" s="2" t="s">
        <v>3</v>
      </c>
      <c r="HN32" s="2" t="s">
        <v>55</v>
      </c>
      <c r="HO32" s="2" t="s">
        <v>56</v>
      </c>
      <c r="HP32" s="2" t="s">
        <v>53</v>
      </c>
      <c r="HQ32" s="2" t="s">
        <v>53</v>
      </c>
      <c r="HR32" s="2"/>
      <c r="HS32" s="2">
        <v>0</v>
      </c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>
        <v>0</v>
      </c>
      <c r="IL32" s="2"/>
      <c r="IM32" s="2"/>
      <c r="IN32" s="2"/>
      <c r="IO32" s="2"/>
      <c r="IP32" s="2"/>
      <c r="IQ32" s="2"/>
      <c r="IR32" s="2"/>
      <c r="IS32" s="2"/>
      <c r="IT32" s="2"/>
      <c r="IU32" s="2"/>
    </row>
    <row r="33" spans="1:255" x14ac:dyDescent="0.2">
      <c r="A33" s="2">
        <v>18</v>
      </c>
      <c r="B33" s="2">
        <v>1</v>
      </c>
      <c r="C33" s="2">
        <v>26</v>
      </c>
      <c r="D33" s="2"/>
      <c r="E33" s="2" t="s">
        <v>3</v>
      </c>
      <c r="F33" s="2" t="s">
        <v>57</v>
      </c>
      <c r="G33" s="2" t="s">
        <v>58</v>
      </c>
      <c r="H33" s="2" t="s">
        <v>59</v>
      </c>
      <c r="I33" s="2">
        <f>I32*J33</f>
        <v>1.2E-4</v>
      </c>
      <c r="J33" s="2">
        <v>6.0000000000000001E-3</v>
      </c>
      <c r="K33" s="2">
        <v>6.0000000000000001E-3</v>
      </c>
      <c r="L33" s="2"/>
      <c r="M33" s="2"/>
      <c r="N33" s="2"/>
      <c r="O33" s="2">
        <f t="shared" si="14"/>
        <v>0</v>
      </c>
      <c r="P33" s="2">
        <f>ROUND(CQ33*I33,2)</f>
        <v>0</v>
      </c>
      <c r="Q33" s="2">
        <f>ROUND(CR33*I33,2)</f>
        <v>0</v>
      </c>
      <c r="R33" s="2">
        <f>ROUND(CS33*I33,2)</f>
        <v>0</v>
      </c>
      <c r="S33" s="2">
        <f>ROUND(CT33*I33,2)</f>
        <v>0</v>
      </c>
      <c r="T33" s="2">
        <f t="shared" si="15"/>
        <v>0</v>
      </c>
      <c r="U33" s="2">
        <f>ROUND(CV33*I33,7)</f>
        <v>0</v>
      </c>
      <c r="V33" s="2">
        <f>ROUND(CW33*I33,7)</f>
        <v>0</v>
      </c>
      <c r="W33" s="2">
        <f t="shared" si="16"/>
        <v>0</v>
      </c>
      <c r="X33" s="2">
        <f t="shared" si="17"/>
        <v>0</v>
      </c>
      <c r="Y33" s="2">
        <f t="shared" si="18"/>
        <v>0</v>
      </c>
      <c r="Z33" s="2"/>
      <c r="AA33" s="2">
        <v>-1</v>
      </c>
      <c r="AB33" s="2">
        <f t="shared" si="19"/>
        <v>0</v>
      </c>
      <c r="AC33" s="2">
        <f>ROUND((ES33),6)</f>
        <v>0</v>
      </c>
      <c r="AD33" s="2">
        <f>ROUND((((ET33)-(EU33))+AE33),6)</f>
        <v>0</v>
      </c>
      <c r="AE33" s="2">
        <f>ROUND((EU33),6)</f>
        <v>0</v>
      </c>
      <c r="AF33" s="2">
        <f>ROUND((EV33),6)</f>
        <v>0</v>
      </c>
      <c r="AG33" s="2">
        <f t="shared" si="20"/>
        <v>0</v>
      </c>
      <c r="AH33" s="2">
        <f>(EW33)</f>
        <v>0</v>
      </c>
      <c r="AI33" s="2">
        <f>(EX33)</f>
        <v>0</v>
      </c>
      <c r="AJ33" s="2">
        <f t="shared" si="21"/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92</v>
      </c>
      <c r="AU33" s="2">
        <v>44</v>
      </c>
      <c r="AV33" s="2">
        <v>1</v>
      </c>
      <c r="AW33" s="2">
        <v>1</v>
      </c>
      <c r="AX33" s="2"/>
      <c r="AY33" s="2"/>
      <c r="AZ33" s="2">
        <v>1</v>
      </c>
      <c r="BA33" s="2">
        <v>1</v>
      </c>
      <c r="BB33" s="2">
        <v>1</v>
      </c>
      <c r="BC33" s="2">
        <v>1</v>
      </c>
      <c r="BD33" s="2" t="s">
        <v>3</v>
      </c>
      <c r="BE33" s="2" t="s">
        <v>3</v>
      </c>
      <c r="BF33" s="2" t="s">
        <v>3</v>
      </c>
      <c r="BG33" s="2" t="s">
        <v>3</v>
      </c>
      <c r="BH33" s="2">
        <v>3</v>
      </c>
      <c r="BI33" s="2">
        <v>1</v>
      </c>
      <c r="BJ33" s="2" t="s">
        <v>3</v>
      </c>
      <c r="BK33" s="2"/>
      <c r="BL33" s="2"/>
      <c r="BM33" s="2">
        <v>69001</v>
      </c>
      <c r="BN33" s="2">
        <v>0</v>
      </c>
      <c r="BO33" s="2" t="s">
        <v>3</v>
      </c>
      <c r="BP33" s="2">
        <v>0</v>
      </c>
      <c r="BQ33" s="2">
        <v>6</v>
      </c>
      <c r="BR33" s="2">
        <v>0</v>
      </c>
      <c r="BS33" s="2">
        <v>1</v>
      </c>
      <c r="BT33" s="2">
        <v>1</v>
      </c>
      <c r="BU33" s="2">
        <v>1</v>
      </c>
      <c r="BV33" s="2">
        <v>1</v>
      </c>
      <c r="BW33" s="2">
        <v>1</v>
      </c>
      <c r="BX33" s="2">
        <v>1</v>
      </c>
      <c r="BY33" s="2" t="s">
        <v>3</v>
      </c>
      <c r="BZ33" s="2">
        <v>92</v>
      </c>
      <c r="CA33" s="2">
        <v>44</v>
      </c>
      <c r="CB33" s="2" t="s">
        <v>3</v>
      </c>
      <c r="CC33" s="2"/>
      <c r="CD33" s="2"/>
      <c r="CE33" s="2">
        <v>0</v>
      </c>
      <c r="CF33" s="2">
        <v>0</v>
      </c>
      <c r="CG33" s="2">
        <v>0</v>
      </c>
      <c r="CH33" s="2"/>
      <c r="CI33" s="2"/>
      <c r="CJ33" s="2"/>
      <c r="CK33" s="2"/>
      <c r="CL33" s="2"/>
      <c r="CM33" s="2">
        <v>0</v>
      </c>
      <c r="CN33" s="2" t="s">
        <v>3</v>
      </c>
      <c r="CO33" s="2">
        <v>0</v>
      </c>
      <c r="CP33" s="2">
        <f t="shared" si="22"/>
        <v>0</v>
      </c>
      <c r="CQ33" s="2">
        <f>ROUND(AL33*BC33,2)</f>
        <v>0</v>
      </c>
      <c r="CR33" s="2">
        <f>ROUND(AM33*BB33,2)</f>
        <v>0</v>
      </c>
      <c r="CS33" s="2">
        <f>ROUND(AN33*BS33,2)</f>
        <v>0</v>
      </c>
      <c r="CT33" s="2">
        <f>ROUND(AO33*BA33,2)</f>
        <v>0</v>
      </c>
      <c r="CU33" s="2">
        <f t="shared" si="23"/>
        <v>0</v>
      </c>
      <c r="CV33" s="2">
        <f>AH33</f>
        <v>0</v>
      </c>
      <c r="CW33" s="2">
        <f>AI33</f>
        <v>0</v>
      </c>
      <c r="CX33" s="2">
        <f t="shared" si="24"/>
        <v>0</v>
      </c>
      <c r="CY33" s="2">
        <f t="shared" si="25"/>
        <v>0</v>
      </c>
      <c r="CZ33" s="2">
        <f t="shared" si="26"/>
        <v>0</v>
      </c>
      <c r="DA33" s="2"/>
      <c r="DB33" s="2"/>
      <c r="DC33" s="2" t="s">
        <v>3</v>
      </c>
      <c r="DD33" s="2" t="s">
        <v>3</v>
      </c>
      <c r="DE33" s="2" t="s">
        <v>3</v>
      </c>
      <c r="DF33" s="2" t="s">
        <v>3</v>
      </c>
      <c r="DG33" s="2" t="s">
        <v>3</v>
      </c>
      <c r="DH33" s="2" t="s">
        <v>3</v>
      </c>
      <c r="DI33" s="2" t="s">
        <v>3</v>
      </c>
      <c r="DJ33" s="2" t="s">
        <v>3</v>
      </c>
      <c r="DK33" s="2" t="s">
        <v>3</v>
      </c>
      <c r="DL33" s="2" t="s">
        <v>3</v>
      </c>
      <c r="DM33" s="2" t="s">
        <v>3</v>
      </c>
      <c r="DN33" s="2">
        <v>0</v>
      </c>
      <c r="DO33" s="2">
        <v>0</v>
      </c>
      <c r="DP33" s="2">
        <v>1</v>
      </c>
      <c r="DQ33" s="2">
        <v>1</v>
      </c>
      <c r="DR33" s="2"/>
      <c r="DS33" s="2"/>
      <c r="DT33" s="2"/>
      <c r="DU33" s="2">
        <v>1009</v>
      </c>
      <c r="DV33" s="2" t="s">
        <v>59</v>
      </c>
      <c r="DW33" s="2" t="s">
        <v>59</v>
      </c>
      <c r="DX33" s="2">
        <v>1000</v>
      </c>
      <c r="DY33" s="2"/>
      <c r="DZ33" s="2" t="s">
        <v>3</v>
      </c>
      <c r="EA33" s="2" t="s">
        <v>3</v>
      </c>
      <c r="EB33" s="2" t="s">
        <v>3</v>
      </c>
      <c r="EC33" s="2" t="s">
        <v>3</v>
      </c>
      <c r="ED33" s="2"/>
      <c r="EE33" s="2">
        <v>80781987</v>
      </c>
      <c r="EF33" s="2">
        <v>6</v>
      </c>
      <c r="EG33" s="2" t="s">
        <v>20</v>
      </c>
      <c r="EH33" s="2">
        <v>103</v>
      </c>
      <c r="EI33" s="2" t="s">
        <v>53</v>
      </c>
      <c r="EJ33" s="2">
        <v>1</v>
      </c>
      <c r="EK33" s="2">
        <v>69001</v>
      </c>
      <c r="EL33" s="2" t="s">
        <v>53</v>
      </c>
      <c r="EM33" s="2" t="s">
        <v>54</v>
      </c>
      <c r="EN33" s="2"/>
      <c r="EO33" s="2" t="s">
        <v>3</v>
      </c>
      <c r="EP33" s="2"/>
      <c r="EQ33" s="2">
        <v>1024</v>
      </c>
      <c r="ER33" s="2">
        <v>0</v>
      </c>
      <c r="ES33" s="2">
        <v>0</v>
      </c>
      <c r="ET33" s="2">
        <v>0</v>
      </c>
      <c r="EU33" s="2">
        <v>0</v>
      </c>
      <c r="EV33" s="2">
        <v>0</v>
      </c>
      <c r="EW33" s="2">
        <v>0</v>
      </c>
      <c r="EX33" s="2">
        <v>0</v>
      </c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>
        <v>0</v>
      </c>
      <c r="FR33" s="2">
        <v>0</v>
      </c>
      <c r="FS33" s="2">
        <v>0</v>
      </c>
      <c r="FT33" s="2"/>
      <c r="FU33" s="2"/>
      <c r="FV33" s="2"/>
      <c r="FW33" s="2"/>
      <c r="FX33" s="2">
        <v>92</v>
      </c>
      <c r="FY33" s="2">
        <v>44</v>
      </c>
      <c r="FZ33" s="2"/>
      <c r="GA33" s="2" t="s">
        <v>3</v>
      </c>
      <c r="GB33" s="2"/>
      <c r="GC33" s="2"/>
      <c r="GD33" s="2">
        <v>1</v>
      </c>
      <c r="GE33" s="2"/>
      <c r="GF33" s="2">
        <v>2102561428</v>
      </c>
      <c r="GG33" s="2">
        <v>2</v>
      </c>
      <c r="GH33" s="2">
        <v>1</v>
      </c>
      <c r="GI33" s="2">
        <v>-2</v>
      </c>
      <c r="GJ33" s="2">
        <v>0</v>
      </c>
      <c r="GK33" s="2">
        <v>0</v>
      </c>
      <c r="GL33" s="2">
        <f t="shared" si="27"/>
        <v>0</v>
      </c>
      <c r="GM33" s="2">
        <f t="shared" si="28"/>
        <v>0</v>
      </c>
      <c r="GN33" s="2">
        <f t="shared" si="29"/>
        <v>0</v>
      </c>
      <c r="GO33" s="2">
        <f t="shared" si="30"/>
        <v>0</v>
      </c>
      <c r="GP33" s="2">
        <f t="shared" si="31"/>
        <v>0</v>
      </c>
      <c r="GQ33" s="2"/>
      <c r="GR33" s="2">
        <v>0</v>
      </c>
      <c r="GS33" s="2">
        <v>3</v>
      </c>
      <c r="GT33" s="2">
        <v>0</v>
      </c>
      <c r="GU33" s="2" t="s">
        <v>3</v>
      </c>
      <c r="GV33" s="2">
        <f t="shared" si="32"/>
        <v>0</v>
      </c>
      <c r="GW33" s="2">
        <v>1</v>
      </c>
      <c r="GX33" s="2">
        <f t="shared" si="33"/>
        <v>0</v>
      </c>
      <c r="GY33" s="2"/>
      <c r="GZ33" s="2"/>
      <c r="HA33" s="2">
        <v>0</v>
      </c>
      <c r="HB33" s="2">
        <v>0</v>
      </c>
      <c r="HC33" s="2">
        <f t="shared" si="34"/>
        <v>0</v>
      </c>
      <c r="HD33" s="2"/>
      <c r="HE33" s="2" t="s">
        <v>3</v>
      </c>
      <c r="HF33" s="2" t="s">
        <v>3</v>
      </c>
      <c r="HG33" s="2"/>
      <c r="HH33" s="2"/>
      <c r="HI33" s="2"/>
      <c r="HJ33" s="2"/>
      <c r="HK33" s="2"/>
      <c r="HL33" s="2"/>
      <c r="HM33" s="2" t="s">
        <v>3</v>
      </c>
      <c r="HN33" s="2" t="s">
        <v>55</v>
      </c>
      <c r="HO33" s="2" t="s">
        <v>56</v>
      </c>
      <c r="HP33" s="2" t="s">
        <v>53</v>
      </c>
      <c r="HQ33" s="2" t="s">
        <v>53</v>
      </c>
      <c r="HR33" s="2"/>
      <c r="HS33" s="2">
        <v>0</v>
      </c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>
        <v>0</v>
      </c>
      <c r="IL33" s="2"/>
      <c r="IM33" s="2"/>
      <c r="IN33" s="2"/>
      <c r="IO33" s="2"/>
      <c r="IP33" s="2"/>
      <c r="IQ33" s="2"/>
      <c r="IR33" s="2"/>
      <c r="IS33" s="2"/>
      <c r="IT33" s="2"/>
      <c r="IU33" s="2"/>
    </row>
    <row r="34" spans="1:255" x14ac:dyDescent="0.2">
      <c r="A34" s="2">
        <v>17</v>
      </c>
      <c r="B34" s="2">
        <v>1</v>
      </c>
      <c r="C34" s="2">
        <f>ROW(SmtRes!A29)</f>
        <v>29</v>
      </c>
      <c r="D34" s="2">
        <f>ROW(EtalonRes!A29)</f>
        <v>29</v>
      </c>
      <c r="E34" s="2" t="s">
        <v>3</v>
      </c>
      <c r="F34" s="2" t="s">
        <v>66</v>
      </c>
      <c r="G34" s="2" t="s">
        <v>67</v>
      </c>
      <c r="H34" s="2" t="s">
        <v>51</v>
      </c>
      <c r="I34" s="2">
        <f>ROUND(2/100,7)</f>
        <v>0.02</v>
      </c>
      <c r="J34" s="2">
        <v>0</v>
      </c>
      <c r="K34" s="2">
        <f>ROUND(2/100,7)</f>
        <v>0.02</v>
      </c>
      <c r="L34" s="2"/>
      <c r="M34" s="2"/>
      <c r="N34" s="2"/>
      <c r="O34" s="2">
        <f t="shared" si="14"/>
        <v>328.24</v>
      </c>
      <c r="P34" s="2">
        <f>SUMIF(SmtRes!AQ27:'SmtRes'!AQ29,"=1",SmtRes!DF27:'SmtRes'!DF29)</f>
        <v>0.5</v>
      </c>
      <c r="Q34" s="2">
        <f>SUMIF(SmtRes!AQ27:'SmtRes'!AQ29,"=1",SmtRes!DG27:'SmtRes'!DG29)</f>
        <v>0</v>
      </c>
      <c r="R34" s="2">
        <f>SUMIF(SmtRes!AQ27:'SmtRes'!AQ29,"=1",SmtRes!DH27:'SmtRes'!DH29)</f>
        <v>0</v>
      </c>
      <c r="S34" s="2">
        <f>SUMIF(SmtRes!AQ27:'SmtRes'!AQ29,"=1",SmtRes!DI27:'SmtRes'!DI29)</f>
        <v>327.74</v>
      </c>
      <c r="T34" s="2">
        <f t="shared" si="15"/>
        <v>0</v>
      </c>
      <c r="U34" s="2">
        <f>SUMIF(SmtRes!AQ27:'SmtRes'!AQ29,"=1",SmtRes!CV27:'SmtRes'!CV29)</f>
        <v>0.50480000000000003</v>
      </c>
      <c r="V34" s="2">
        <f>SUMIF(SmtRes!AQ27:'SmtRes'!AQ29,"=1",SmtRes!CW27:'SmtRes'!CW29)</f>
        <v>0</v>
      </c>
      <c r="W34" s="2">
        <f t="shared" si="16"/>
        <v>0</v>
      </c>
      <c r="X34" s="2">
        <f t="shared" si="17"/>
        <v>301.52</v>
      </c>
      <c r="Y34" s="2">
        <f t="shared" si="18"/>
        <v>144.21</v>
      </c>
      <c r="Z34" s="2"/>
      <c r="AA34" s="2">
        <v>-1</v>
      </c>
      <c r="AB34" s="2">
        <f t="shared" si="19"/>
        <v>16411.973183999999</v>
      </c>
      <c r="AC34" s="2">
        <f>ROUND((SUM(SmtRes!BQ27:'SmtRes'!BQ29)),6)</f>
        <v>25.155584000000001</v>
      </c>
      <c r="AD34" s="2">
        <f>ROUND((((0)-(0))+AE34),6)</f>
        <v>0</v>
      </c>
      <c r="AE34" s="2">
        <f>ROUND((0),6)</f>
        <v>0</v>
      </c>
      <c r="AF34" s="2">
        <f>ROUND((SUM(SmtRes!BT27:'SmtRes'!BT29)),6)</f>
        <v>16386.817599999998</v>
      </c>
      <c r="AG34" s="2">
        <f t="shared" si="20"/>
        <v>0</v>
      </c>
      <c r="AH34" s="2">
        <f>(SUM(SmtRes!BU27:'SmtRes'!BU29))</f>
        <v>25.24</v>
      </c>
      <c r="AI34" s="2">
        <f>(0)</f>
        <v>0</v>
      </c>
      <c r="AJ34" s="2">
        <f t="shared" si="21"/>
        <v>0</v>
      </c>
      <c r="AK34" s="2">
        <v>4102.9932959999996</v>
      </c>
      <c r="AL34" s="2">
        <v>6.2888960000000003</v>
      </c>
      <c r="AM34" s="2">
        <v>0</v>
      </c>
      <c r="AN34" s="2">
        <v>0</v>
      </c>
      <c r="AO34" s="2">
        <v>4096.7043999999996</v>
      </c>
      <c r="AP34" s="2">
        <v>0</v>
      </c>
      <c r="AQ34" s="2">
        <v>6.31</v>
      </c>
      <c r="AR34" s="2">
        <v>0</v>
      </c>
      <c r="AS34" s="2">
        <v>0</v>
      </c>
      <c r="AT34" s="2">
        <v>92</v>
      </c>
      <c r="AU34" s="2">
        <v>44</v>
      </c>
      <c r="AV34" s="2">
        <v>1</v>
      </c>
      <c r="AW34" s="2">
        <v>1</v>
      </c>
      <c r="AX34" s="2"/>
      <c r="AY34" s="2"/>
      <c r="AZ34" s="2">
        <v>1</v>
      </c>
      <c r="BA34" s="2">
        <v>1</v>
      </c>
      <c r="BB34" s="2">
        <v>1</v>
      </c>
      <c r="BC34" s="2">
        <v>1</v>
      </c>
      <c r="BD34" s="2" t="s">
        <v>3</v>
      </c>
      <c r="BE34" s="2" t="s">
        <v>3</v>
      </c>
      <c r="BF34" s="2" t="s">
        <v>3</v>
      </c>
      <c r="BG34" s="2" t="s">
        <v>3</v>
      </c>
      <c r="BH34" s="2">
        <v>0</v>
      </c>
      <c r="BI34" s="2">
        <v>1</v>
      </c>
      <c r="BJ34" s="2" t="s">
        <v>68</v>
      </c>
      <c r="BK34" s="2"/>
      <c r="BL34" s="2"/>
      <c r="BM34" s="2">
        <v>69001</v>
      </c>
      <c r="BN34" s="2">
        <v>0</v>
      </c>
      <c r="BO34" s="2" t="s">
        <v>3</v>
      </c>
      <c r="BP34" s="2">
        <v>0</v>
      </c>
      <c r="BQ34" s="2">
        <v>6</v>
      </c>
      <c r="BR34" s="2">
        <v>0</v>
      </c>
      <c r="BS34" s="2">
        <v>1</v>
      </c>
      <c r="BT34" s="2">
        <v>1</v>
      </c>
      <c r="BU34" s="2">
        <v>1</v>
      </c>
      <c r="BV34" s="2">
        <v>1</v>
      </c>
      <c r="BW34" s="2">
        <v>1</v>
      </c>
      <c r="BX34" s="2">
        <v>1</v>
      </c>
      <c r="BY34" s="2" t="s">
        <v>3</v>
      </c>
      <c r="BZ34" s="2">
        <v>92</v>
      </c>
      <c r="CA34" s="2">
        <v>44</v>
      </c>
      <c r="CB34" s="2" t="s">
        <v>3</v>
      </c>
      <c r="CC34" s="2"/>
      <c r="CD34" s="2"/>
      <c r="CE34" s="2">
        <v>0</v>
      </c>
      <c r="CF34" s="2">
        <v>0</v>
      </c>
      <c r="CG34" s="2">
        <v>0</v>
      </c>
      <c r="CH34" s="2"/>
      <c r="CI34" s="2"/>
      <c r="CJ34" s="2"/>
      <c r="CK34" s="2"/>
      <c r="CL34" s="2"/>
      <c r="CM34" s="2">
        <v>0</v>
      </c>
      <c r="CN34" s="2" t="s">
        <v>3</v>
      </c>
      <c r="CO34" s="2">
        <v>0</v>
      </c>
      <c r="CP34" s="2">
        <f t="shared" si="22"/>
        <v>328.24</v>
      </c>
      <c r="CQ34" s="2">
        <f>SUMIF(SmtRes!AQ27:'SmtRes'!AQ29,"=1",SmtRes!AA27:'SmtRes'!AA29)</f>
        <v>6.92</v>
      </c>
      <c r="CR34" s="2">
        <f>SUMIF(SmtRes!AQ27:'SmtRes'!AQ29,"=1",SmtRes!AB27:'SmtRes'!AB29)</f>
        <v>0</v>
      </c>
      <c r="CS34" s="2">
        <f>SUMIF(SmtRes!AQ27:'SmtRes'!AQ29,"=1",SmtRes!AC27:'SmtRes'!AC29)</f>
        <v>0</v>
      </c>
      <c r="CT34" s="2">
        <f>SUMIF(SmtRes!AQ27:'SmtRes'!AQ29,"=1",SmtRes!AD27:'SmtRes'!AD29)</f>
        <v>649.24</v>
      </c>
      <c r="CU34" s="2">
        <f t="shared" si="23"/>
        <v>0</v>
      </c>
      <c r="CV34" s="2">
        <f>SUMIF(SmtRes!AQ27:'SmtRes'!AQ29,"=1",SmtRes!BU27:'SmtRes'!BU29)</f>
        <v>25.24</v>
      </c>
      <c r="CW34" s="2">
        <f>SUMIF(SmtRes!AQ27:'SmtRes'!AQ29,"=1",SmtRes!BV27:'SmtRes'!BV29)</f>
        <v>0</v>
      </c>
      <c r="CX34" s="2">
        <f t="shared" si="24"/>
        <v>0</v>
      </c>
      <c r="CY34" s="2">
        <f t="shared" si="25"/>
        <v>301.52080000000001</v>
      </c>
      <c r="CZ34" s="2">
        <f t="shared" si="26"/>
        <v>144.2056</v>
      </c>
      <c r="DA34" s="2"/>
      <c r="DB34" s="2"/>
      <c r="DC34" s="2" t="s">
        <v>3</v>
      </c>
      <c r="DD34" s="2" t="s">
        <v>69</v>
      </c>
      <c r="DE34" s="2" t="s">
        <v>69</v>
      </c>
      <c r="DF34" s="2" t="s">
        <v>69</v>
      </c>
      <c r="DG34" s="2" t="s">
        <v>69</v>
      </c>
      <c r="DH34" s="2" t="s">
        <v>3</v>
      </c>
      <c r="DI34" s="2" t="s">
        <v>69</v>
      </c>
      <c r="DJ34" s="2" t="s">
        <v>69</v>
      </c>
      <c r="DK34" s="2" t="s">
        <v>3</v>
      </c>
      <c r="DL34" s="2" t="s">
        <v>3</v>
      </c>
      <c r="DM34" s="2" t="s">
        <v>3</v>
      </c>
      <c r="DN34" s="2">
        <v>0</v>
      </c>
      <c r="DO34" s="2">
        <v>0</v>
      </c>
      <c r="DP34" s="2">
        <v>1</v>
      </c>
      <c r="DQ34" s="2">
        <v>1</v>
      </c>
      <c r="DR34" s="2"/>
      <c r="DS34" s="2"/>
      <c r="DT34" s="2"/>
      <c r="DU34" s="2">
        <v>1013</v>
      </c>
      <c r="DV34" s="2" t="s">
        <v>51</v>
      </c>
      <c r="DW34" s="2" t="s">
        <v>51</v>
      </c>
      <c r="DX34" s="2">
        <v>1</v>
      </c>
      <c r="DY34" s="2"/>
      <c r="DZ34" s="2" t="s">
        <v>3</v>
      </c>
      <c r="EA34" s="2" t="s">
        <v>3</v>
      </c>
      <c r="EB34" s="2" t="s">
        <v>3</v>
      </c>
      <c r="EC34" s="2" t="s">
        <v>3</v>
      </c>
      <c r="ED34" s="2"/>
      <c r="EE34" s="2">
        <v>80781987</v>
      </c>
      <c r="EF34" s="2">
        <v>6</v>
      </c>
      <c r="EG34" s="2" t="s">
        <v>20</v>
      </c>
      <c r="EH34" s="2">
        <v>103</v>
      </c>
      <c r="EI34" s="2" t="s">
        <v>53</v>
      </c>
      <c r="EJ34" s="2">
        <v>1</v>
      </c>
      <c r="EK34" s="2">
        <v>69001</v>
      </c>
      <c r="EL34" s="2" t="s">
        <v>53</v>
      </c>
      <c r="EM34" s="2" t="s">
        <v>54</v>
      </c>
      <c r="EN34" s="2"/>
      <c r="EO34" s="2" t="s">
        <v>3</v>
      </c>
      <c r="EP34" s="2"/>
      <c r="EQ34" s="2">
        <v>1024</v>
      </c>
      <c r="ER34" s="2">
        <v>0</v>
      </c>
      <c r="ES34" s="2">
        <v>0</v>
      </c>
      <c r="ET34" s="2">
        <v>0</v>
      </c>
      <c r="EU34" s="2">
        <v>0</v>
      </c>
      <c r="EV34" s="2">
        <v>0</v>
      </c>
      <c r="EW34" s="2">
        <v>6.31</v>
      </c>
      <c r="EX34" s="2">
        <v>0</v>
      </c>
      <c r="EY34" s="2">
        <v>0</v>
      </c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>
        <v>0</v>
      </c>
      <c r="FR34" s="2">
        <v>0</v>
      </c>
      <c r="FS34" s="2">
        <v>0</v>
      </c>
      <c r="FT34" s="2"/>
      <c r="FU34" s="2"/>
      <c r="FV34" s="2"/>
      <c r="FW34" s="2"/>
      <c r="FX34" s="2">
        <v>92</v>
      </c>
      <c r="FY34" s="2">
        <v>44</v>
      </c>
      <c r="FZ34" s="2"/>
      <c r="GA34" s="2" t="s">
        <v>3</v>
      </c>
      <c r="GB34" s="2"/>
      <c r="GC34" s="2"/>
      <c r="GD34" s="2">
        <v>1</v>
      </c>
      <c r="GE34" s="2"/>
      <c r="GF34" s="2">
        <v>-419974509</v>
      </c>
      <c r="GG34" s="2">
        <v>2</v>
      </c>
      <c r="GH34" s="2">
        <v>1</v>
      </c>
      <c r="GI34" s="2">
        <v>-2</v>
      </c>
      <c r="GJ34" s="2">
        <v>0</v>
      </c>
      <c r="GK34" s="2">
        <v>0</v>
      </c>
      <c r="GL34" s="2">
        <f t="shared" si="27"/>
        <v>0</v>
      </c>
      <c r="GM34" s="2">
        <f t="shared" si="28"/>
        <v>773.97</v>
      </c>
      <c r="GN34" s="2">
        <f t="shared" si="29"/>
        <v>773.97</v>
      </c>
      <c r="GO34" s="2">
        <f t="shared" si="30"/>
        <v>0</v>
      </c>
      <c r="GP34" s="2">
        <f t="shared" si="31"/>
        <v>0</v>
      </c>
      <c r="GQ34" s="2"/>
      <c r="GR34" s="2">
        <v>0</v>
      </c>
      <c r="GS34" s="2">
        <v>3</v>
      </c>
      <c r="GT34" s="2">
        <v>0</v>
      </c>
      <c r="GU34" s="2" t="s">
        <v>69</v>
      </c>
      <c r="GV34" s="2">
        <f>ROUND(((GT34*ROUND(4,7))),6)</f>
        <v>0</v>
      </c>
      <c r="GW34" s="2">
        <v>1</v>
      </c>
      <c r="GX34" s="2">
        <f t="shared" si="33"/>
        <v>0</v>
      </c>
      <c r="GY34" s="2"/>
      <c r="GZ34" s="2"/>
      <c r="HA34" s="2">
        <v>0</v>
      </c>
      <c r="HB34" s="2">
        <v>0</v>
      </c>
      <c r="HC34" s="2">
        <f t="shared" si="34"/>
        <v>0</v>
      </c>
      <c r="HD34" s="2"/>
      <c r="HE34" s="2" t="s">
        <v>3</v>
      </c>
      <c r="HF34" s="2" t="s">
        <v>3</v>
      </c>
      <c r="HG34" s="2"/>
      <c r="HH34" s="2"/>
      <c r="HI34" s="2"/>
      <c r="HJ34" s="2"/>
      <c r="HK34" s="2"/>
      <c r="HL34" s="2"/>
      <c r="HM34" s="2" t="s">
        <v>3</v>
      </c>
      <c r="HN34" s="2" t="s">
        <v>55</v>
      </c>
      <c r="HO34" s="2" t="s">
        <v>56</v>
      </c>
      <c r="HP34" s="2" t="s">
        <v>53</v>
      </c>
      <c r="HQ34" s="2" t="s">
        <v>53</v>
      </c>
      <c r="HR34" s="2"/>
      <c r="HS34" s="2">
        <v>0</v>
      </c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>
        <v>0</v>
      </c>
      <c r="IL34" s="2"/>
      <c r="IM34" s="2"/>
      <c r="IN34" s="2"/>
      <c r="IO34" s="2"/>
      <c r="IP34" s="2"/>
      <c r="IQ34" s="2"/>
      <c r="IR34" s="2"/>
      <c r="IS34" s="2"/>
      <c r="IT34" s="2"/>
      <c r="IU34" s="2"/>
    </row>
    <row r="35" spans="1:255" x14ac:dyDescent="0.2">
      <c r="A35" s="2">
        <v>18</v>
      </c>
      <c r="B35" s="2">
        <v>1</v>
      </c>
      <c r="C35" s="2">
        <v>29</v>
      </c>
      <c r="D35" s="2"/>
      <c r="E35" s="2" t="s">
        <v>3</v>
      </c>
      <c r="F35" s="2" t="s">
        <v>57</v>
      </c>
      <c r="G35" s="2" t="s">
        <v>58</v>
      </c>
      <c r="H35" s="2" t="s">
        <v>59</v>
      </c>
      <c r="I35" s="2">
        <f>I34*J35</f>
        <v>2.4000000000000001E-4</v>
      </c>
      <c r="J35" s="2">
        <v>1.2E-2</v>
      </c>
      <c r="K35" s="2">
        <v>3.0000000000000001E-3</v>
      </c>
      <c r="L35" s="2"/>
      <c r="M35" s="2"/>
      <c r="N35" s="2"/>
      <c r="O35" s="2">
        <f t="shared" si="14"/>
        <v>0</v>
      </c>
      <c r="P35" s="2">
        <f>ROUND(CQ35*I35,2)</f>
        <v>0</v>
      </c>
      <c r="Q35" s="2">
        <f>ROUND(CR35*I35,2)</f>
        <v>0</v>
      </c>
      <c r="R35" s="2">
        <f>ROUND(CS35*I35,2)</f>
        <v>0</v>
      </c>
      <c r="S35" s="2">
        <f>ROUND(CT35*I35,2)</f>
        <v>0</v>
      </c>
      <c r="T35" s="2">
        <f t="shared" si="15"/>
        <v>0</v>
      </c>
      <c r="U35" s="2">
        <f>ROUND(CV35*I35,7)</f>
        <v>0</v>
      </c>
      <c r="V35" s="2">
        <f>ROUND(CW35*I35,7)</f>
        <v>0</v>
      </c>
      <c r="W35" s="2">
        <f t="shared" si="16"/>
        <v>0</v>
      </c>
      <c r="X35" s="2">
        <f t="shared" si="17"/>
        <v>0</v>
      </c>
      <c r="Y35" s="2">
        <f t="shared" si="18"/>
        <v>0</v>
      </c>
      <c r="Z35" s="2"/>
      <c r="AA35" s="2">
        <v>-1</v>
      </c>
      <c r="AB35" s="2">
        <f t="shared" si="19"/>
        <v>0</v>
      </c>
      <c r="AC35" s="2">
        <f>ROUND((ES35),6)</f>
        <v>0</v>
      </c>
      <c r="AD35" s="2">
        <f>ROUND((((ET35)-(EU35))+AE35),6)</f>
        <v>0</v>
      </c>
      <c r="AE35" s="2">
        <f>ROUND((EU35),6)</f>
        <v>0</v>
      </c>
      <c r="AF35" s="2">
        <f>ROUND((EV35),6)</f>
        <v>0</v>
      </c>
      <c r="AG35" s="2">
        <f t="shared" si="20"/>
        <v>0</v>
      </c>
      <c r="AH35" s="2">
        <f>(EW35)</f>
        <v>0</v>
      </c>
      <c r="AI35" s="2">
        <f>(EX35)</f>
        <v>0</v>
      </c>
      <c r="AJ35" s="2">
        <f t="shared" si="21"/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92</v>
      </c>
      <c r="AU35" s="2">
        <v>44</v>
      </c>
      <c r="AV35" s="2">
        <v>1</v>
      </c>
      <c r="AW35" s="2">
        <v>1</v>
      </c>
      <c r="AX35" s="2"/>
      <c r="AY35" s="2"/>
      <c r="AZ35" s="2">
        <v>1</v>
      </c>
      <c r="BA35" s="2">
        <v>1</v>
      </c>
      <c r="BB35" s="2">
        <v>1</v>
      </c>
      <c r="BC35" s="2">
        <v>1</v>
      </c>
      <c r="BD35" s="2" t="s">
        <v>3</v>
      </c>
      <c r="BE35" s="2" t="s">
        <v>3</v>
      </c>
      <c r="BF35" s="2" t="s">
        <v>3</v>
      </c>
      <c r="BG35" s="2" t="s">
        <v>3</v>
      </c>
      <c r="BH35" s="2">
        <v>3</v>
      </c>
      <c r="BI35" s="2">
        <v>1</v>
      </c>
      <c r="BJ35" s="2" t="s">
        <v>3</v>
      </c>
      <c r="BK35" s="2"/>
      <c r="BL35" s="2"/>
      <c r="BM35" s="2">
        <v>69001</v>
      </c>
      <c r="BN35" s="2">
        <v>0</v>
      </c>
      <c r="BO35" s="2" t="s">
        <v>3</v>
      </c>
      <c r="BP35" s="2">
        <v>0</v>
      </c>
      <c r="BQ35" s="2">
        <v>6</v>
      </c>
      <c r="BR35" s="2">
        <v>0</v>
      </c>
      <c r="BS35" s="2">
        <v>1</v>
      </c>
      <c r="BT35" s="2">
        <v>1</v>
      </c>
      <c r="BU35" s="2">
        <v>1</v>
      </c>
      <c r="BV35" s="2">
        <v>1</v>
      </c>
      <c r="BW35" s="2">
        <v>1</v>
      </c>
      <c r="BX35" s="2">
        <v>1</v>
      </c>
      <c r="BY35" s="2" t="s">
        <v>3</v>
      </c>
      <c r="BZ35" s="2">
        <v>92</v>
      </c>
      <c r="CA35" s="2">
        <v>44</v>
      </c>
      <c r="CB35" s="2" t="s">
        <v>3</v>
      </c>
      <c r="CC35" s="2"/>
      <c r="CD35" s="2"/>
      <c r="CE35" s="2">
        <v>0</v>
      </c>
      <c r="CF35" s="2">
        <v>0</v>
      </c>
      <c r="CG35" s="2">
        <v>0</v>
      </c>
      <c r="CH35" s="2"/>
      <c r="CI35" s="2"/>
      <c r="CJ35" s="2"/>
      <c r="CK35" s="2"/>
      <c r="CL35" s="2"/>
      <c r="CM35" s="2">
        <v>0</v>
      </c>
      <c r="CN35" s="2" t="s">
        <v>3</v>
      </c>
      <c r="CO35" s="2">
        <v>0</v>
      </c>
      <c r="CP35" s="2">
        <f t="shared" si="22"/>
        <v>0</v>
      </c>
      <c r="CQ35" s="2">
        <f>ROUND(AL35*BC35,2)</f>
        <v>0</v>
      </c>
      <c r="CR35" s="2">
        <f>ROUND(AM35*BB35,2)</f>
        <v>0</v>
      </c>
      <c r="CS35" s="2">
        <f>ROUND(AN35*BS35,2)</f>
        <v>0</v>
      </c>
      <c r="CT35" s="2">
        <f>ROUND(AO35*BA35,2)</f>
        <v>0</v>
      </c>
      <c r="CU35" s="2">
        <f t="shared" si="23"/>
        <v>0</v>
      </c>
      <c r="CV35" s="2">
        <f>AH35</f>
        <v>0</v>
      </c>
      <c r="CW35" s="2">
        <f>AI35</f>
        <v>0</v>
      </c>
      <c r="CX35" s="2">
        <f t="shared" si="24"/>
        <v>0</v>
      </c>
      <c r="CY35" s="2">
        <f t="shared" si="25"/>
        <v>0</v>
      </c>
      <c r="CZ35" s="2">
        <f t="shared" si="26"/>
        <v>0</v>
      </c>
      <c r="DA35" s="2"/>
      <c r="DB35" s="2"/>
      <c r="DC35" s="2" t="s">
        <v>3</v>
      </c>
      <c r="DD35" s="2" t="s">
        <v>3</v>
      </c>
      <c r="DE35" s="2" t="s">
        <v>3</v>
      </c>
      <c r="DF35" s="2" t="s">
        <v>3</v>
      </c>
      <c r="DG35" s="2" t="s">
        <v>3</v>
      </c>
      <c r="DH35" s="2" t="s">
        <v>3</v>
      </c>
      <c r="DI35" s="2" t="s">
        <v>3</v>
      </c>
      <c r="DJ35" s="2" t="s">
        <v>3</v>
      </c>
      <c r="DK35" s="2" t="s">
        <v>3</v>
      </c>
      <c r="DL35" s="2" t="s">
        <v>3</v>
      </c>
      <c r="DM35" s="2" t="s">
        <v>3</v>
      </c>
      <c r="DN35" s="2">
        <v>0</v>
      </c>
      <c r="DO35" s="2">
        <v>0</v>
      </c>
      <c r="DP35" s="2">
        <v>1</v>
      </c>
      <c r="DQ35" s="2">
        <v>1</v>
      </c>
      <c r="DR35" s="2"/>
      <c r="DS35" s="2"/>
      <c r="DT35" s="2"/>
      <c r="DU35" s="2">
        <v>1009</v>
      </c>
      <c r="DV35" s="2" t="s">
        <v>59</v>
      </c>
      <c r="DW35" s="2" t="s">
        <v>59</v>
      </c>
      <c r="DX35" s="2">
        <v>1000</v>
      </c>
      <c r="DY35" s="2"/>
      <c r="DZ35" s="2" t="s">
        <v>3</v>
      </c>
      <c r="EA35" s="2" t="s">
        <v>3</v>
      </c>
      <c r="EB35" s="2" t="s">
        <v>3</v>
      </c>
      <c r="EC35" s="2" t="s">
        <v>3</v>
      </c>
      <c r="ED35" s="2"/>
      <c r="EE35" s="2">
        <v>80781987</v>
      </c>
      <c r="EF35" s="2">
        <v>6</v>
      </c>
      <c r="EG35" s="2" t="s">
        <v>20</v>
      </c>
      <c r="EH35" s="2">
        <v>103</v>
      </c>
      <c r="EI35" s="2" t="s">
        <v>53</v>
      </c>
      <c r="EJ35" s="2">
        <v>1</v>
      </c>
      <c r="EK35" s="2">
        <v>69001</v>
      </c>
      <c r="EL35" s="2" t="s">
        <v>53</v>
      </c>
      <c r="EM35" s="2" t="s">
        <v>54</v>
      </c>
      <c r="EN35" s="2"/>
      <c r="EO35" s="2" t="s">
        <v>3</v>
      </c>
      <c r="EP35" s="2"/>
      <c r="EQ35" s="2">
        <v>1024</v>
      </c>
      <c r="ER35" s="2">
        <v>0</v>
      </c>
      <c r="ES35" s="2">
        <v>0</v>
      </c>
      <c r="ET35" s="2">
        <v>0</v>
      </c>
      <c r="EU35" s="2">
        <v>0</v>
      </c>
      <c r="EV35" s="2">
        <v>0</v>
      </c>
      <c r="EW35" s="2">
        <v>0</v>
      </c>
      <c r="EX35" s="2">
        <v>0</v>
      </c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>
        <v>0</v>
      </c>
      <c r="FR35" s="2">
        <v>0</v>
      </c>
      <c r="FS35" s="2">
        <v>0</v>
      </c>
      <c r="FT35" s="2"/>
      <c r="FU35" s="2"/>
      <c r="FV35" s="2"/>
      <c r="FW35" s="2"/>
      <c r="FX35" s="2">
        <v>92</v>
      </c>
      <c r="FY35" s="2">
        <v>44</v>
      </c>
      <c r="FZ35" s="2"/>
      <c r="GA35" s="2" t="s">
        <v>3</v>
      </c>
      <c r="GB35" s="2"/>
      <c r="GC35" s="2"/>
      <c r="GD35" s="2">
        <v>1</v>
      </c>
      <c r="GE35" s="2"/>
      <c r="GF35" s="2">
        <v>2102561428</v>
      </c>
      <c r="GG35" s="2">
        <v>2</v>
      </c>
      <c r="GH35" s="2">
        <v>1</v>
      </c>
      <c r="GI35" s="2">
        <v>-2</v>
      </c>
      <c r="GJ35" s="2">
        <v>0</v>
      </c>
      <c r="GK35" s="2">
        <v>0</v>
      </c>
      <c r="GL35" s="2">
        <f t="shared" si="27"/>
        <v>0</v>
      </c>
      <c r="GM35" s="2">
        <f t="shared" si="28"/>
        <v>0</v>
      </c>
      <c r="GN35" s="2">
        <f t="shared" si="29"/>
        <v>0</v>
      </c>
      <c r="GO35" s="2">
        <f t="shared" si="30"/>
        <v>0</v>
      </c>
      <c r="GP35" s="2">
        <f t="shared" si="31"/>
        <v>0</v>
      </c>
      <c r="GQ35" s="2"/>
      <c r="GR35" s="2">
        <v>0</v>
      </c>
      <c r="GS35" s="2">
        <v>3</v>
      </c>
      <c r="GT35" s="2">
        <v>0</v>
      </c>
      <c r="GU35" s="2" t="s">
        <v>3</v>
      </c>
      <c r="GV35" s="2">
        <f t="shared" ref="GV35:GV61" si="35">ROUND((GT35),6)</f>
        <v>0</v>
      </c>
      <c r="GW35" s="2">
        <v>1</v>
      </c>
      <c r="GX35" s="2">
        <f t="shared" si="33"/>
        <v>0</v>
      </c>
      <c r="GY35" s="2"/>
      <c r="GZ35" s="2"/>
      <c r="HA35" s="2">
        <v>0</v>
      </c>
      <c r="HB35" s="2">
        <v>0</v>
      </c>
      <c r="HC35" s="2">
        <f t="shared" si="34"/>
        <v>0</v>
      </c>
      <c r="HD35" s="2"/>
      <c r="HE35" s="2" t="s">
        <v>3</v>
      </c>
      <c r="HF35" s="2" t="s">
        <v>3</v>
      </c>
      <c r="HG35" s="2"/>
      <c r="HH35" s="2"/>
      <c r="HI35" s="2"/>
      <c r="HJ35" s="2"/>
      <c r="HK35" s="2"/>
      <c r="HL35" s="2"/>
      <c r="HM35" s="2" t="s">
        <v>69</v>
      </c>
      <c r="HN35" s="2" t="s">
        <v>55</v>
      </c>
      <c r="HO35" s="2" t="s">
        <v>56</v>
      </c>
      <c r="HP35" s="2" t="s">
        <v>53</v>
      </c>
      <c r="HQ35" s="2" t="s">
        <v>53</v>
      </c>
      <c r="HR35" s="2"/>
      <c r="HS35" s="2">
        <v>0</v>
      </c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>
        <v>0</v>
      </c>
      <c r="IL35" s="2"/>
      <c r="IM35" s="2"/>
      <c r="IN35" s="2"/>
      <c r="IO35" s="2"/>
      <c r="IP35" s="2"/>
      <c r="IQ35" s="2"/>
      <c r="IR35" s="2"/>
      <c r="IS35" s="2"/>
      <c r="IT35" s="2"/>
      <c r="IU35" s="2"/>
    </row>
    <row r="36" spans="1:255" x14ac:dyDescent="0.2">
      <c r="A36" s="2">
        <v>17</v>
      </c>
      <c r="B36" s="2">
        <v>1</v>
      </c>
      <c r="C36" s="2">
        <f>ROW(SmtRes!A33)</f>
        <v>33</v>
      </c>
      <c r="D36" s="2">
        <f>ROW(EtalonRes!A33)</f>
        <v>33</v>
      </c>
      <c r="E36" s="2" t="s">
        <v>3</v>
      </c>
      <c r="F36" s="2" t="s">
        <v>70</v>
      </c>
      <c r="G36" s="2" t="s">
        <v>71</v>
      </c>
      <c r="H36" s="2" t="s">
        <v>72</v>
      </c>
      <c r="I36" s="2">
        <v>0.5</v>
      </c>
      <c r="J36" s="2">
        <v>0</v>
      </c>
      <c r="K36" s="2">
        <v>0.5</v>
      </c>
      <c r="L36" s="2"/>
      <c r="M36" s="2"/>
      <c r="N36" s="2"/>
      <c r="O36" s="2">
        <f t="shared" si="14"/>
        <v>2468.7600000000002</v>
      </c>
      <c r="P36" s="2">
        <f>SUMIF(SmtRes!AQ30:'SmtRes'!AQ33,"=1",SmtRes!DF30:'SmtRes'!DF33)</f>
        <v>3.2</v>
      </c>
      <c r="Q36" s="2">
        <f>SUMIF(SmtRes!AQ30:'SmtRes'!AQ33,"=1",SmtRes!DG30:'SmtRes'!DG33)</f>
        <v>29.01</v>
      </c>
      <c r="R36" s="2">
        <f>SUMIF(SmtRes!AQ30:'SmtRes'!AQ33,"=1",SmtRes!DH30:'SmtRes'!DH33)</f>
        <v>0</v>
      </c>
      <c r="S36" s="2">
        <f>SUMIF(SmtRes!AQ30:'SmtRes'!AQ33,"=1",SmtRes!DI30:'SmtRes'!DI33)</f>
        <v>2436.5500000000002</v>
      </c>
      <c r="T36" s="2">
        <f t="shared" si="15"/>
        <v>0</v>
      </c>
      <c r="U36" s="2">
        <f>SUMIF(SmtRes!AQ30:'SmtRes'!AQ33,"=1",SmtRes!CV30:'SmtRes'!CV33)</f>
        <v>2.9</v>
      </c>
      <c r="V36" s="2">
        <f>SUMIF(SmtRes!AQ30:'SmtRes'!AQ33,"=1",SmtRes!CW30:'SmtRes'!CW33)</f>
        <v>0</v>
      </c>
      <c r="W36" s="2">
        <f t="shared" si="16"/>
        <v>0</v>
      </c>
      <c r="X36" s="2">
        <f t="shared" si="17"/>
        <v>2241.63</v>
      </c>
      <c r="Y36" s="2">
        <f t="shared" si="18"/>
        <v>1072.08</v>
      </c>
      <c r="Z36" s="2"/>
      <c r="AA36" s="2">
        <v>-1</v>
      </c>
      <c r="AB36" s="2">
        <f t="shared" si="19"/>
        <v>4926.8700699999999</v>
      </c>
      <c r="AC36" s="2">
        <f>ROUND((SUM(SmtRes!BQ30:'SmtRes'!BQ33)),6)</f>
        <v>4.17807</v>
      </c>
      <c r="AD36" s="2">
        <f>ROUND((((SUM(SmtRes!BR30:'SmtRes'!BR33))-(0))+AE36),6)</f>
        <v>49.59</v>
      </c>
      <c r="AE36" s="2">
        <f>ROUND((0),6)</f>
        <v>0</v>
      </c>
      <c r="AF36" s="2">
        <f>ROUND((SUM(SmtRes!BT30:'SmtRes'!BT33)),6)</f>
        <v>4873.1019999999999</v>
      </c>
      <c r="AG36" s="2">
        <f t="shared" si="20"/>
        <v>0</v>
      </c>
      <c r="AH36" s="2">
        <f>(SUM(SmtRes!BU30:'SmtRes'!BU33))</f>
        <v>5.8</v>
      </c>
      <c r="AI36" s="2">
        <f>(0)</f>
        <v>0</v>
      </c>
      <c r="AJ36" s="2">
        <f t="shared" si="21"/>
        <v>0</v>
      </c>
      <c r="AK36" s="2">
        <v>4926.8700699999999</v>
      </c>
      <c r="AL36" s="2">
        <v>4.17807</v>
      </c>
      <c r="AM36" s="2">
        <v>49.59</v>
      </c>
      <c r="AN36" s="2">
        <v>0</v>
      </c>
      <c r="AO36" s="2">
        <v>4873.1019999999999</v>
      </c>
      <c r="AP36" s="2">
        <v>0</v>
      </c>
      <c r="AQ36" s="2">
        <v>5.8</v>
      </c>
      <c r="AR36" s="2">
        <v>0</v>
      </c>
      <c r="AS36" s="2">
        <v>0</v>
      </c>
      <c r="AT36" s="2">
        <v>92</v>
      </c>
      <c r="AU36" s="2">
        <v>44</v>
      </c>
      <c r="AV36" s="2">
        <v>1</v>
      </c>
      <c r="AW36" s="2">
        <v>1</v>
      </c>
      <c r="AX36" s="2"/>
      <c r="AY36" s="2"/>
      <c r="AZ36" s="2">
        <v>1</v>
      </c>
      <c r="BA36" s="2">
        <v>1</v>
      </c>
      <c r="BB36" s="2">
        <v>1</v>
      </c>
      <c r="BC36" s="2">
        <v>1</v>
      </c>
      <c r="BD36" s="2" t="s">
        <v>3</v>
      </c>
      <c r="BE36" s="2" t="s">
        <v>3</v>
      </c>
      <c r="BF36" s="2" t="s">
        <v>3</v>
      </c>
      <c r="BG36" s="2" t="s">
        <v>3</v>
      </c>
      <c r="BH36" s="2">
        <v>0</v>
      </c>
      <c r="BI36" s="2">
        <v>1</v>
      </c>
      <c r="BJ36" s="2" t="s">
        <v>73</v>
      </c>
      <c r="BK36" s="2"/>
      <c r="BL36" s="2"/>
      <c r="BM36" s="2">
        <v>69001</v>
      </c>
      <c r="BN36" s="2">
        <v>0</v>
      </c>
      <c r="BO36" s="2" t="s">
        <v>3</v>
      </c>
      <c r="BP36" s="2">
        <v>0</v>
      </c>
      <c r="BQ36" s="2">
        <v>6</v>
      </c>
      <c r="BR36" s="2">
        <v>0</v>
      </c>
      <c r="BS36" s="2">
        <v>1</v>
      </c>
      <c r="BT36" s="2">
        <v>1</v>
      </c>
      <c r="BU36" s="2">
        <v>1</v>
      </c>
      <c r="BV36" s="2">
        <v>1</v>
      </c>
      <c r="BW36" s="2">
        <v>1</v>
      </c>
      <c r="BX36" s="2">
        <v>1</v>
      </c>
      <c r="BY36" s="2" t="s">
        <v>3</v>
      </c>
      <c r="BZ36" s="2">
        <v>92</v>
      </c>
      <c r="CA36" s="2">
        <v>44</v>
      </c>
      <c r="CB36" s="2" t="s">
        <v>3</v>
      </c>
      <c r="CC36" s="2"/>
      <c r="CD36" s="2"/>
      <c r="CE36" s="2">
        <v>0</v>
      </c>
      <c r="CF36" s="2">
        <v>0</v>
      </c>
      <c r="CG36" s="2">
        <v>0</v>
      </c>
      <c r="CH36" s="2"/>
      <c r="CI36" s="2"/>
      <c r="CJ36" s="2"/>
      <c r="CK36" s="2"/>
      <c r="CL36" s="2"/>
      <c r="CM36" s="2">
        <v>0</v>
      </c>
      <c r="CN36" s="2" t="s">
        <v>3</v>
      </c>
      <c r="CO36" s="2">
        <v>0</v>
      </c>
      <c r="CP36" s="2">
        <f t="shared" si="22"/>
        <v>2468.7600000000002</v>
      </c>
      <c r="CQ36" s="2">
        <f>SUMIF(SmtRes!AQ30:'SmtRes'!AQ33,"=1",SmtRes!AA30:'SmtRes'!AA33)</f>
        <v>54.64</v>
      </c>
      <c r="CR36" s="2">
        <f>SUMIF(SmtRes!AQ30:'SmtRes'!AQ33,"=1",SmtRes!AB30:'SmtRes'!AB33)</f>
        <v>30.54</v>
      </c>
      <c r="CS36" s="2">
        <f>SUMIF(SmtRes!AQ30:'SmtRes'!AQ33,"=1",SmtRes!AC30:'SmtRes'!AC33)</f>
        <v>0</v>
      </c>
      <c r="CT36" s="2">
        <f>SUMIF(SmtRes!AQ30:'SmtRes'!AQ33,"=1",SmtRes!AD30:'SmtRes'!AD33)</f>
        <v>840.19</v>
      </c>
      <c r="CU36" s="2">
        <f t="shared" si="23"/>
        <v>0</v>
      </c>
      <c r="CV36" s="2">
        <f>SUMIF(SmtRes!AQ30:'SmtRes'!AQ33,"=1",SmtRes!BU30:'SmtRes'!BU33)</f>
        <v>5.8</v>
      </c>
      <c r="CW36" s="2">
        <f>SUMIF(SmtRes!AQ30:'SmtRes'!AQ33,"=1",SmtRes!BV30:'SmtRes'!BV33)</f>
        <v>0</v>
      </c>
      <c r="CX36" s="2">
        <f t="shared" si="24"/>
        <v>0</v>
      </c>
      <c r="CY36" s="2">
        <f t="shared" si="25"/>
        <v>2241.6260000000002</v>
      </c>
      <c r="CZ36" s="2">
        <f t="shared" si="26"/>
        <v>1072.0820000000001</v>
      </c>
      <c r="DA36" s="2"/>
      <c r="DB36" s="2"/>
      <c r="DC36" s="2" t="s">
        <v>3</v>
      </c>
      <c r="DD36" s="2" t="s">
        <v>3</v>
      </c>
      <c r="DE36" s="2" t="s">
        <v>3</v>
      </c>
      <c r="DF36" s="2" t="s">
        <v>3</v>
      </c>
      <c r="DG36" s="2" t="s">
        <v>3</v>
      </c>
      <c r="DH36" s="2" t="s">
        <v>3</v>
      </c>
      <c r="DI36" s="2" t="s">
        <v>3</v>
      </c>
      <c r="DJ36" s="2" t="s">
        <v>3</v>
      </c>
      <c r="DK36" s="2" t="s">
        <v>3</v>
      </c>
      <c r="DL36" s="2" t="s">
        <v>3</v>
      </c>
      <c r="DM36" s="2" t="s">
        <v>3</v>
      </c>
      <c r="DN36" s="2">
        <v>0</v>
      </c>
      <c r="DO36" s="2">
        <v>0</v>
      </c>
      <c r="DP36" s="2">
        <v>1</v>
      </c>
      <c r="DQ36" s="2">
        <v>1</v>
      </c>
      <c r="DR36" s="2"/>
      <c r="DS36" s="2"/>
      <c r="DT36" s="2"/>
      <c r="DU36" s="2">
        <v>1003</v>
      </c>
      <c r="DV36" s="2" t="s">
        <v>72</v>
      </c>
      <c r="DW36" s="2" t="s">
        <v>72</v>
      </c>
      <c r="DX36" s="2">
        <v>1</v>
      </c>
      <c r="DY36" s="2"/>
      <c r="DZ36" s="2" t="s">
        <v>3</v>
      </c>
      <c r="EA36" s="2" t="s">
        <v>3</v>
      </c>
      <c r="EB36" s="2" t="s">
        <v>3</v>
      </c>
      <c r="EC36" s="2" t="s">
        <v>3</v>
      </c>
      <c r="ED36" s="2"/>
      <c r="EE36" s="2">
        <v>80781987</v>
      </c>
      <c r="EF36" s="2">
        <v>6</v>
      </c>
      <c r="EG36" s="2" t="s">
        <v>20</v>
      </c>
      <c r="EH36" s="2">
        <v>103</v>
      </c>
      <c r="EI36" s="2" t="s">
        <v>53</v>
      </c>
      <c r="EJ36" s="2">
        <v>1</v>
      </c>
      <c r="EK36" s="2">
        <v>69001</v>
      </c>
      <c r="EL36" s="2" t="s">
        <v>53</v>
      </c>
      <c r="EM36" s="2" t="s">
        <v>54</v>
      </c>
      <c r="EN36" s="2"/>
      <c r="EO36" s="2" t="s">
        <v>3</v>
      </c>
      <c r="EP36" s="2"/>
      <c r="EQ36" s="2">
        <v>1024</v>
      </c>
      <c r="ER36" s="2">
        <v>0</v>
      </c>
      <c r="ES36" s="2">
        <v>0</v>
      </c>
      <c r="ET36" s="2">
        <v>0</v>
      </c>
      <c r="EU36" s="2">
        <v>0</v>
      </c>
      <c r="EV36" s="2">
        <v>0</v>
      </c>
      <c r="EW36" s="2">
        <v>5.8</v>
      </c>
      <c r="EX36" s="2">
        <v>0</v>
      </c>
      <c r="EY36" s="2">
        <v>0</v>
      </c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>
        <v>0</v>
      </c>
      <c r="FR36" s="2">
        <v>0</v>
      </c>
      <c r="FS36" s="2">
        <v>0</v>
      </c>
      <c r="FT36" s="2"/>
      <c r="FU36" s="2"/>
      <c r="FV36" s="2"/>
      <c r="FW36" s="2"/>
      <c r="FX36" s="2">
        <v>92</v>
      </c>
      <c r="FY36" s="2">
        <v>44</v>
      </c>
      <c r="FZ36" s="2"/>
      <c r="GA36" s="2" t="s">
        <v>3</v>
      </c>
      <c r="GB36" s="2"/>
      <c r="GC36" s="2"/>
      <c r="GD36" s="2">
        <v>1</v>
      </c>
      <c r="GE36" s="2"/>
      <c r="GF36" s="2">
        <v>-533085520</v>
      </c>
      <c r="GG36" s="2">
        <v>2</v>
      </c>
      <c r="GH36" s="2">
        <v>1</v>
      </c>
      <c r="GI36" s="2">
        <v>-2</v>
      </c>
      <c r="GJ36" s="2">
        <v>0</v>
      </c>
      <c r="GK36" s="2">
        <v>0</v>
      </c>
      <c r="GL36" s="2">
        <f t="shared" si="27"/>
        <v>0</v>
      </c>
      <c r="GM36" s="2">
        <f t="shared" si="28"/>
        <v>5782.47</v>
      </c>
      <c r="GN36" s="2">
        <f t="shared" si="29"/>
        <v>5782.47</v>
      </c>
      <c r="GO36" s="2">
        <f t="shared" si="30"/>
        <v>0</v>
      </c>
      <c r="GP36" s="2">
        <f t="shared" si="31"/>
        <v>0</v>
      </c>
      <c r="GQ36" s="2"/>
      <c r="GR36" s="2">
        <v>0</v>
      </c>
      <c r="GS36" s="2">
        <v>3</v>
      </c>
      <c r="GT36" s="2">
        <v>0</v>
      </c>
      <c r="GU36" s="2" t="s">
        <v>3</v>
      </c>
      <c r="GV36" s="2">
        <f t="shared" si="35"/>
        <v>0</v>
      </c>
      <c r="GW36" s="2">
        <v>1</v>
      </c>
      <c r="GX36" s="2">
        <f t="shared" si="33"/>
        <v>0</v>
      </c>
      <c r="GY36" s="2"/>
      <c r="GZ36" s="2"/>
      <c r="HA36" s="2">
        <v>0</v>
      </c>
      <c r="HB36" s="2">
        <v>0</v>
      </c>
      <c r="HC36" s="2">
        <f t="shared" si="34"/>
        <v>0</v>
      </c>
      <c r="HD36" s="2"/>
      <c r="HE36" s="2" t="s">
        <v>3</v>
      </c>
      <c r="HF36" s="2" t="s">
        <v>3</v>
      </c>
      <c r="HG36" s="2"/>
      <c r="HH36" s="2"/>
      <c r="HI36" s="2"/>
      <c r="HJ36" s="2"/>
      <c r="HK36" s="2"/>
      <c r="HL36" s="2"/>
      <c r="HM36" s="2" t="s">
        <v>3</v>
      </c>
      <c r="HN36" s="2" t="s">
        <v>55</v>
      </c>
      <c r="HO36" s="2" t="s">
        <v>56</v>
      </c>
      <c r="HP36" s="2" t="s">
        <v>53</v>
      </c>
      <c r="HQ36" s="2" t="s">
        <v>53</v>
      </c>
      <c r="HR36" s="2"/>
      <c r="HS36" s="2">
        <v>0</v>
      </c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>
        <v>0</v>
      </c>
      <c r="IL36" s="2"/>
      <c r="IM36" s="2"/>
      <c r="IN36" s="2"/>
      <c r="IO36" s="2"/>
      <c r="IP36" s="2"/>
      <c r="IQ36" s="2"/>
      <c r="IR36" s="2"/>
      <c r="IS36" s="2"/>
      <c r="IT36" s="2"/>
      <c r="IU36" s="2"/>
    </row>
    <row r="37" spans="1:255" x14ac:dyDescent="0.2">
      <c r="A37" s="2">
        <v>18</v>
      </c>
      <c r="B37" s="2">
        <v>1</v>
      </c>
      <c r="C37" s="2">
        <v>33</v>
      </c>
      <c r="D37" s="2"/>
      <c r="E37" s="2" t="s">
        <v>3</v>
      </c>
      <c r="F37" s="2" t="s">
        <v>74</v>
      </c>
      <c r="G37" s="2" t="s">
        <v>75</v>
      </c>
      <c r="H37" s="2" t="s">
        <v>30</v>
      </c>
      <c r="I37" s="2">
        <f>I36*J37</f>
        <v>3.15E-2</v>
      </c>
      <c r="J37" s="2">
        <v>6.3E-2</v>
      </c>
      <c r="K37" s="2">
        <v>6.3E-2</v>
      </c>
      <c r="L37" s="2"/>
      <c r="M37" s="2"/>
      <c r="N37" s="2"/>
      <c r="O37" s="2">
        <f t="shared" si="14"/>
        <v>0</v>
      </c>
      <c r="P37" s="2">
        <f>ROUND(CQ37*I37,2)</f>
        <v>0</v>
      </c>
      <c r="Q37" s="2">
        <f>ROUND(CR37*I37,2)</f>
        <v>0</v>
      </c>
      <c r="R37" s="2">
        <f>ROUND(CS37*I37,2)</f>
        <v>0</v>
      </c>
      <c r="S37" s="2">
        <f>ROUND(CT37*I37,2)</f>
        <v>0</v>
      </c>
      <c r="T37" s="2">
        <f t="shared" si="15"/>
        <v>0</v>
      </c>
      <c r="U37" s="2">
        <f>ROUND(CV37*I37,7)</f>
        <v>0</v>
      </c>
      <c r="V37" s="2">
        <f>ROUND(CW37*I37,7)</f>
        <v>0</v>
      </c>
      <c r="W37" s="2">
        <f t="shared" si="16"/>
        <v>0</v>
      </c>
      <c r="X37" s="2">
        <f t="shared" si="17"/>
        <v>0</v>
      </c>
      <c r="Y37" s="2">
        <f t="shared" si="18"/>
        <v>0</v>
      </c>
      <c r="Z37" s="2"/>
      <c r="AA37" s="2">
        <v>-1</v>
      </c>
      <c r="AB37" s="2">
        <f t="shared" si="19"/>
        <v>0</v>
      </c>
      <c r="AC37" s="2">
        <f>ROUND((ES37),6)</f>
        <v>0</v>
      </c>
      <c r="AD37" s="2">
        <f>ROUND((((ET37)-(EU37))+AE37),6)</f>
        <v>0</v>
      </c>
      <c r="AE37" s="2">
        <f>ROUND((EU37),6)</f>
        <v>0</v>
      </c>
      <c r="AF37" s="2">
        <f>ROUND((EV37),6)</f>
        <v>0</v>
      </c>
      <c r="AG37" s="2">
        <f t="shared" si="20"/>
        <v>0</v>
      </c>
      <c r="AH37" s="2">
        <f>(EW37)</f>
        <v>0</v>
      </c>
      <c r="AI37" s="2">
        <f>(EX37)</f>
        <v>0</v>
      </c>
      <c r="AJ37" s="2">
        <f t="shared" si="21"/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92</v>
      </c>
      <c r="AU37" s="2">
        <v>44</v>
      </c>
      <c r="AV37" s="2">
        <v>1</v>
      </c>
      <c r="AW37" s="2">
        <v>1</v>
      </c>
      <c r="AX37" s="2"/>
      <c r="AY37" s="2"/>
      <c r="AZ37" s="2">
        <v>1</v>
      </c>
      <c r="BA37" s="2">
        <v>1</v>
      </c>
      <c r="BB37" s="2">
        <v>1</v>
      </c>
      <c r="BC37" s="2">
        <v>1</v>
      </c>
      <c r="BD37" s="2" t="s">
        <v>3</v>
      </c>
      <c r="BE37" s="2" t="s">
        <v>3</v>
      </c>
      <c r="BF37" s="2" t="s">
        <v>3</v>
      </c>
      <c r="BG37" s="2" t="s">
        <v>3</v>
      </c>
      <c r="BH37" s="2">
        <v>3</v>
      </c>
      <c r="BI37" s="2">
        <v>1</v>
      </c>
      <c r="BJ37" s="2" t="s">
        <v>3</v>
      </c>
      <c r="BK37" s="2"/>
      <c r="BL37" s="2"/>
      <c r="BM37" s="2">
        <v>69001</v>
      </c>
      <c r="BN37" s="2">
        <v>0</v>
      </c>
      <c r="BO37" s="2" t="s">
        <v>3</v>
      </c>
      <c r="BP37" s="2">
        <v>0</v>
      </c>
      <c r="BQ37" s="2">
        <v>6</v>
      </c>
      <c r="BR37" s="2">
        <v>0</v>
      </c>
      <c r="BS37" s="2">
        <v>1</v>
      </c>
      <c r="BT37" s="2">
        <v>1</v>
      </c>
      <c r="BU37" s="2">
        <v>1</v>
      </c>
      <c r="BV37" s="2">
        <v>1</v>
      </c>
      <c r="BW37" s="2">
        <v>1</v>
      </c>
      <c r="BX37" s="2">
        <v>1</v>
      </c>
      <c r="BY37" s="2" t="s">
        <v>3</v>
      </c>
      <c r="BZ37" s="2">
        <v>92</v>
      </c>
      <c r="CA37" s="2">
        <v>44</v>
      </c>
      <c r="CB37" s="2" t="s">
        <v>3</v>
      </c>
      <c r="CC37" s="2"/>
      <c r="CD37" s="2"/>
      <c r="CE37" s="2">
        <v>0</v>
      </c>
      <c r="CF37" s="2">
        <v>0</v>
      </c>
      <c r="CG37" s="2">
        <v>0</v>
      </c>
      <c r="CH37" s="2"/>
      <c r="CI37" s="2"/>
      <c r="CJ37" s="2"/>
      <c r="CK37" s="2"/>
      <c r="CL37" s="2"/>
      <c r="CM37" s="2">
        <v>0</v>
      </c>
      <c r="CN37" s="2" t="s">
        <v>3</v>
      </c>
      <c r="CO37" s="2">
        <v>0</v>
      </c>
      <c r="CP37" s="2">
        <f t="shared" si="22"/>
        <v>0</v>
      </c>
      <c r="CQ37" s="2">
        <f>ROUND(AL37*BC37,2)</f>
        <v>0</v>
      </c>
      <c r="CR37" s="2">
        <f>ROUND(AM37*BB37,2)</f>
        <v>0</v>
      </c>
      <c r="CS37" s="2">
        <f>ROUND(AN37*BS37,2)</f>
        <v>0</v>
      </c>
      <c r="CT37" s="2">
        <f>ROUND(AO37*BA37,2)</f>
        <v>0</v>
      </c>
      <c r="CU37" s="2">
        <f t="shared" si="23"/>
        <v>0</v>
      </c>
      <c r="CV37" s="2">
        <f>AH37</f>
        <v>0</v>
      </c>
      <c r="CW37" s="2">
        <f>AI37</f>
        <v>0</v>
      </c>
      <c r="CX37" s="2">
        <f t="shared" si="24"/>
        <v>0</v>
      </c>
      <c r="CY37" s="2">
        <f t="shared" si="25"/>
        <v>0</v>
      </c>
      <c r="CZ37" s="2">
        <f t="shared" si="26"/>
        <v>0</v>
      </c>
      <c r="DA37" s="2"/>
      <c r="DB37" s="2"/>
      <c r="DC37" s="2" t="s">
        <v>3</v>
      </c>
      <c r="DD37" s="2" t="s">
        <v>3</v>
      </c>
      <c r="DE37" s="2" t="s">
        <v>3</v>
      </c>
      <c r="DF37" s="2" t="s">
        <v>3</v>
      </c>
      <c r="DG37" s="2" t="s">
        <v>3</v>
      </c>
      <c r="DH37" s="2" t="s">
        <v>3</v>
      </c>
      <c r="DI37" s="2" t="s">
        <v>3</v>
      </c>
      <c r="DJ37" s="2" t="s">
        <v>3</v>
      </c>
      <c r="DK37" s="2" t="s">
        <v>3</v>
      </c>
      <c r="DL37" s="2" t="s">
        <v>3</v>
      </c>
      <c r="DM37" s="2" t="s">
        <v>3</v>
      </c>
      <c r="DN37" s="2">
        <v>0</v>
      </c>
      <c r="DO37" s="2">
        <v>0</v>
      </c>
      <c r="DP37" s="2">
        <v>1</v>
      </c>
      <c r="DQ37" s="2">
        <v>1</v>
      </c>
      <c r="DR37" s="2"/>
      <c r="DS37" s="2"/>
      <c r="DT37" s="2"/>
      <c r="DU37" s="2">
        <v>1013</v>
      </c>
      <c r="DV37" s="2" t="s">
        <v>30</v>
      </c>
      <c r="DW37" s="2" t="s">
        <v>30</v>
      </c>
      <c r="DX37" s="2">
        <v>1</v>
      </c>
      <c r="DY37" s="2"/>
      <c r="DZ37" s="2" t="s">
        <v>3</v>
      </c>
      <c r="EA37" s="2" t="s">
        <v>3</v>
      </c>
      <c r="EB37" s="2" t="s">
        <v>3</v>
      </c>
      <c r="EC37" s="2" t="s">
        <v>3</v>
      </c>
      <c r="ED37" s="2"/>
      <c r="EE37" s="2">
        <v>80781987</v>
      </c>
      <c r="EF37" s="2">
        <v>6</v>
      </c>
      <c r="EG37" s="2" t="s">
        <v>20</v>
      </c>
      <c r="EH37" s="2">
        <v>103</v>
      </c>
      <c r="EI37" s="2" t="s">
        <v>53</v>
      </c>
      <c r="EJ37" s="2">
        <v>1</v>
      </c>
      <c r="EK37" s="2">
        <v>69001</v>
      </c>
      <c r="EL37" s="2" t="s">
        <v>53</v>
      </c>
      <c r="EM37" s="2" t="s">
        <v>54</v>
      </c>
      <c r="EN37" s="2"/>
      <c r="EO37" s="2" t="s">
        <v>3</v>
      </c>
      <c r="EP37" s="2"/>
      <c r="EQ37" s="2">
        <v>1024</v>
      </c>
      <c r="ER37" s="2">
        <v>0</v>
      </c>
      <c r="ES37" s="2">
        <v>0</v>
      </c>
      <c r="ET37" s="2">
        <v>0</v>
      </c>
      <c r="EU37" s="2">
        <v>0</v>
      </c>
      <c r="EV37" s="2">
        <v>0</v>
      </c>
      <c r="EW37" s="2">
        <v>0</v>
      </c>
      <c r="EX37" s="2">
        <v>0</v>
      </c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>
        <v>0</v>
      </c>
      <c r="FR37" s="2">
        <v>0</v>
      </c>
      <c r="FS37" s="2">
        <v>0</v>
      </c>
      <c r="FT37" s="2"/>
      <c r="FU37" s="2"/>
      <c r="FV37" s="2"/>
      <c r="FW37" s="2"/>
      <c r="FX37" s="2">
        <v>92</v>
      </c>
      <c r="FY37" s="2">
        <v>44</v>
      </c>
      <c r="FZ37" s="2"/>
      <c r="GA37" s="2" t="s">
        <v>3</v>
      </c>
      <c r="GB37" s="2"/>
      <c r="GC37" s="2"/>
      <c r="GD37" s="2">
        <v>1</v>
      </c>
      <c r="GE37" s="2"/>
      <c r="GF37" s="2">
        <v>-529615532</v>
      </c>
      <c r="GG37" s="2">
        <v>2</v>
      </c>
      <c r="GH37" s="2">
        <v>1</v>
      </c>
      <c r="GI37" s="2">
        <v>-2</v>
      </c>
      <c r="GJ37" s="2">
        <v>0</v>
      </c>
      <c r="GK37" s="2">
        <v>0</v>
      </c>
      <c r="GL37" s="2">
        <f t="shared" si="27"/>
        <v>0</v>
      </c>
      <c r="GM37" s="2">
        <f t="shared" si="28"/>
        <v>0</v>
      </c>
      <c r="GN37" s="2">
        <f t="shared" si="29"/>
        <v>0</v>
      </c>
      <c r="GO37" s="2">
        <f t="shared" si="30"/>
        <v>0</v>
      </c>
      <c r="GP37" s="2">
        <f t="shared" si="31"/>
        <v>0</v>
      </c>
      <c r="GQ37" s="2"/>
      <c r="GR37" s="2">
        <v>0</v>
      </c>
      <c r="GS37" s="2">
        <v>3</v>
      </c>
      <c r="GT37" s="2">
        <v>0</v>
      </c>
      <c r="GU37" s="2" t="s">
        <v>3</v>
      </c>
      <c r="GV37" s="2">
        <f t="shared" si="35"/>
        <v>0</v>
      </c>
      <c r="GW37" s="2">
        <v>1</v>
      </c>
      <c r="GX37" s="2">
        <f t="shared" si="33"/>
        <v>0</v>
      </c>
      <c r="GY37" s="2"/>
      <c r="GZ37" s="2"/>
      <c r="HA37" s="2">
        <v>0</v>
      </c>
      <c r="HB37" s="2">
        <v>0</v>
      </c>
      <c r="HC37" s="2">
        <f t="shared" si="34"/>
        <v>0</v>
      </c>
      <c r="HD37" s="2"/>
      <c r="HE37" s="2" t="s">
        <v>3</v>
      </c>
      <c r="HF37" s="2" t="s">
        <v>3</v>
      </c>
      <c r="HG37" s="2"/>
      <c r="HH37" s="2"/>
      <c r="HI37" s="2"/>
      <c r="HJ37" s="2"/>
      <c r="HK37" s="2"/>
      <c r="HL37" s="2"/>
      <c r="HM37" s="2" t="s">
        <v>3</v>
      </c>
      <c r="HN37" s="2" t="s">
        <v>55</v>
      </c>
      <c r="HO37" s="2" t="s">
        <v>56</v>
      </c>
      <c r="HP37" s="2" t="s">
        <v>53</v>
      </c>
      <c r="HQ37" s="2" t="s">
        <v>53</v>
      </c>
      <c r="HR37" s="2"/>
      <c r="HS37" s="2">
        <v>0</v>
      </c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>
        <v>0</v>
      </c>
      <c r="IL37" s="2"/>
      <c r="IM37" s="2"/>
      <c r="IN37" s="2"/>
      <c r="IO37" s="2"/>
      <c r="IP37" s="2"/>
      <c r="IQ37" s="2"/>
      <c r="IR37" s="2"/>
      <c r="IS37" s="2"/>
      <c r="IT37" s="2"/>
      <c r="IU37" s="2"/>
    </row>
    <row r="38" spans="1:255" ht="409.5" x14ac:dyDescent="0.2">
      <c r="A38" s="2">
        <v>17</v>
      </c>
      <c r="B38" s="2">
        <v>1</v>
      </c>
      <c r="C38" s="2">
        <f>ROW(SmtRes!A37)</f>
        <v>37</v>
      </c>
      <c r="D38" s="2">
        <f>ROW(EtalonRes!A37)</f>
        <v>37</v>
      </c>
      <c r="E38" s="2" t="s">
        <v>76</v>
      </c>
      <c r="F38" s="2" t="s">
        <v>77</v>
      </c>
      <c r="G38" s="2" t="s">
        <v>78</v>
      </c>
      <c r="H38" s="2" t="s">
        <v>72</v>
      </c>
      <c r="I38" s="2">
        <v>1</v>
      </c>
      <c r="J38" s="2">
        <v>0</v>
      </c>
      <c r="K38" s="2">
        <v>1</v>
      </c>
      <c r="L38" s="2"/>
      <c r="M38" s="2"/>
      <c r="N38" s="2"/>
      <c r="O38" s="2">
        <f t="shared" si="14"/>
        <v>6778.43</v>
      </c>
      <c r="P38" s="2">
        <f>SUMIF(SmtRes!AQ34:'SmtRes'!AQ37,"=1",SmtRes!DF34:'SmtRes'!DF37)</f>
        <v>7.98</v>
      </c>
      <c r="Q38" s="2">
        <f>SUMIF(SmtRes!AQ34:'SmtRes'!AQ37,"=1",SmtRes!DG34:'SmtRes'!DG37)</f>
        <v>78.34</v>
      </c>
      <c r="R38" s="2">
        <f>SUMIF(SmtRes!AQ34:'SmtRes'!AQ37,"=1",SmtRes!DH34:'SmtRes'!DH37)</f>
        <v>0</v>
      </c>
      <c r="S38" s="2">
        <f>SUMIF(SmtRes!AQ34:'SmtRes'!AQ37,"=1",SmtRes!DI34:'SmtRes'!DI37)</f>
        <v>6692.11</v>
      </c>
      <c r="T38" s="2">
        <f t="shared" si="15"/>
        <v>0</v>
      </c>
      <c r="U38" s="2">
        <f>SUMIF(SmtRes!AQ34:'SmtRes'!AQ37,"=1",SmtRes!CV34:'SmtRes'!CV37)</f>
        <v>7.9649999999999999</v>
      </c>
      <c r="V38" s="2">
        <f>SUMIF(SmtRes!AQ34:'SmtRes'!AQ37,"=1",SmtRes!CW34:'SmtRes'!CW37)</f>
        <v>0</v>
      </c>
      <c r="W38" s="2">
        <f t="shared" si="16"/>
        <v>0</v>
      </c>
      <c r="X38" s="2">
        <f t="shared" si="17"/>
        <v>6156.74</v>
      </c>
      <c r="Y38" s="2">
        <f t="shared" si="18"/>
        <v>2944.53</v>
      </c>
      <c r="Z38" s="2"/>
      <c r="AA38" s="2">
        <v>82813384</v>
      </c>
      <c r="AB38" s="2">
        <f t="shared" si="19"/>
        <v>6764.27351</v>
      </c>
      <c r="AC38" s="2">
        <f>ROUND((SUM(SmtRes!BQ34:'SmtRes'!BQ37)),6)</f>
        <v>5.21366</v>
      </c>
      <c r="AD38" s="2">
        <f>ROUND((((SUM(SmtRes!BR34:'SmtRes'!BR37))-(0))+AE38),6)</f>
        <v>66.9465</v>
      </c>
      <c r="AE38" s="2">
        <f>ROUND((0),6)</f>
        <v>0</v>
      </c>
      <c r="AF38" s="2">
        <f>ROUND((SUM(SmtRes!BT34:'SmtRes'!BT37)),6)</f>
        <v>6692.1133499999996</v>
      </c>
      <c r="AG38" s="2">
        <f t="shared" si="20"/>
        <v>0</v>
      </c>
      <c r="AH38" s="2">
        <f>(SUM(SmtRes!BU34:'SmtRes'!BU37))</f>
        <v>7.9650000000000007</v>
      </c>
      <c r="AI38" s="2">
        <f>(0)</f>
        <v>0</v>
      </c>
      <c r="AJ38" s="2">
        <f t="shared" si="21"/>
        <v>0</v>
      </c>
      <c r="AK38" s="2">
        <v>5011.9246600000006</v>
      </c>
      <c r="AL38" s="2">
        <v>5.21366</v>
      </c>
      <c r="AM38" s="2">
        <v>49.59</v>
      </c>
      <c r="AN38" s="2">
        <v>0</v>
      </c>
      <c r="AO38" s="2">
        <v>4957.121000000001</v>
      </c>
      <c r="AP38" s="2">
        <v>0</v>
      </c>
      <c r="AQ38" s="2">
        <v>5.9</v>
      </c>
      <c r="AR38" s="2">
        <v>0</v>
      </c>
      <c r="AS38" s="2">
        <v>0</v>
      </c>
      <c r="AT38" s="2">
        <v>92</v>
      </c>
      <c r="AU38" s="2">
        <v>44</v>
      </c>
      <c r="AV38" s="2">
        <v>1</v>
      </c>
      <c r="AW38" s="2">
        <v>1</v>
      </c>
      <c r="AX38" s="2"/>
      <c r="AY38" s="2"/>
      <c r="AZ38" s="2">
        <v>1</v>
      </c>
      <c r="BA38" s="2">
        <v>1</v>
      </c>
      <c r="BB38" s="2">
        <v>1</v>
      </c>
      <c r="BC38" s="2">
        <v>1</v>
      </c>
      <c r="BD38" s="2" t="s">
        <v>3</v>
      </c>
      <c r="BE38" s="2" t="s">
        <v>3</v>
      </c>
      <c r="BF38" s="2" t="s">
        <v>3</v>
      </c>
      <c r="BG38" s="2" t="s">
        <v>3</v>
      </c>
      <c r="BH38" s="2">
        <v>0</v>
      </c>
      <c r="BI38" s="2">
        <v>1</v>
      </c>
      <c r="BJ38" s="2" t="s">
        <v>79</v>
      </c>
      <c r="BK38" s="2"/>
      <c r="BL38" s="2"/>
      <c r="BM38" s="2">
        <v>69001</v>
      </c>
      <c r="BN38" s="2">
        <v>0</v>
      </c>
      <c r="BO38" s="2" t="s">
        <v>3</v>
      </c>
      <c r="BP38" s="2">
        <v>0</v>
      </c>
      <c r="BQ38" s="2">
        <v>6</v>
      </c>
      <c r="BR38" s="2">
        <v>0</v>
      </c>
      <c r="BS38" s="2">
        <v>1</v>
      </c>
      <c r="BT38" s="2">
        <v>1</v>
      </c>
      <c r="BU38" s="2">
        <v>1</v>
      </c>
      <c r="BV38" s="2">
        <v>1</v>
      </c>
      <c r="BW38" s="2">
        <v>1</v>
      </c>
      <c r="BX38" s="2">
        <v>1</v>
      </c>
      <c r="BY38" s="2" t="s">
        <v>3</v>
      </c>
      <c r="BZ38" s="2">
        <v>92</v>
      </c>
      <c r="CA38" s="2">
        <v>44</v>
      </c>
      <c r="CB38" s="2" t="s">
        <v>3</v>
      </c>
      <c r="CC38" s="2"/>
      <c r="CD38" s="2"/>
      <c r="CE38" s="2">
        <v>0</v>
      </c>
      <c r="CF38" s="2">
        <v>0</v>
      </c>
      <c r="CG38" s="2">
        <v>0</v>
      </c>
      <c r="CH38" s="2"/>
      <c r="CI38" s="2"/>
      <c r="CJ38" s="2"/>
      <c r="CK38" s="2"/>
      <c r="CL38" s="2"/>
      <c r="CM38" s="2">
        <v>0</v>
      </c>
      <c r="CN38" s="7" t="s">
        <v>425</v>
      </c>
      <c r="CO38" s="2">
        <v>0</v>
      </c>
      <c r="CP38" s="2">
        <f t="shared" si="22"/>
        <v>6778.4299999999994</v>
      </c>
      <c r="CQ38" s="2">
        <f>SUMIF(SmtRes!AQ34:'SmtRes'!AQ37,"=1",SmtRes!AA34:'SmtRes'!AA37)</f>
        <v>54.64</v>
      </c>
      <c r="CR38" s="2">
        <f>SUMIF(SmtRes!AQ34:'SmtRes'!AQ37,"=1",SmtRes!AB34:'SmtRes'!AB37)</f>
        <v>30.54</v>
      </c>
      <c r="CS38" s="2">
        <f>SUMIF(SmtRes!AQ34:'SmtRes'!AQ37,"=1",SmtRes!AC34:'SmtRes'!AC37)</f>
        <v>0</v>
      </c>
      <c r="CT38" s="2">
        <f>SUMIF(SmtRes!AQ34:'SmtRes'!AQ37,"=1",SmtRes!AD34:'SmtRes'!AD37)</f>
        <v>840.19</v>
      </c>
      <c r="CU38" s="2">
        <f t="shared" si="23"/>
        <v>0</v>
      </c>
      <c r="CV38" s="2">
        <f>SUMIF(SmtRes!AQ34:'SmtRes'!AQ37,"=1",SmtRes!BU34:'SmtRes'!BU37)</f>
        <v>7.9650000000000007</v>
      </c>
      <c r="CW38" s="2">
        <f>SUMIF(SmtRes!AQ34:'SmtRes'!AQ37,"=1",SmtRes!BV34:'SmtRes'!BV37)</f>
        <v>0</v>
      </c>
      <c r="CX38" s="2">
        <f t="shared" si="24"/>
        <v>0</v>
      </c>
      <c r="CY38" s="2">
        <f t="shared" si="25"/>
        <v>6156.7412000000004</v>
      </c>
      <c r="CZ38" s="2">
        <f t="shared" si="26"/>
        <v>2944.5283999999997</v>
      </c>
      <c r="DA38" s="2"/>
      <c r="DB38" s="2">
        <v>4</v>
      </c>
      <c r="DC38" s="2" t="s">
        <v>3</v>
      </c>
      <c r="DD38" s="2" t="s">
        <v>3</v>
      </c>
      <c r="DE38" s="2" t="s">
        <v>19</v>
      </c>
      <c r="DF38" s="2" t="s">
        <v>19</v>
      </c>
      <c r="DG38" s="2" t="s">
        <v>19</v>
      </c>
      <c r="DH38" s="2" t="s">
        <v>3</v>
      </c>
      <c r="DI38" s="2" t="s">
        <v>19</v>
      </c>
      <c r="DJ38" s="2" t="s">
        <v>19</v>
      </c>
      <c r="DK38" s="2" t="s">
        <v>3</v>
      </c>
      <c r="DL38" s="2" t="s">
        <v>3</v>
      </c>
      <c r="DM38" s="2" t="s">
        <v>3</v>
      </c>
      <c r="DN38" s="2">
        <v>0</v>
      </c>
      <c r="DO38" s="2">
        <v>0</v>
      </c>
      <c r="DP38" s="2">
        <v>1</v>
      </c>
      <c r="DQ38" s="2">
        <v>1</v>
      </c>
      <c r="DR38" s="2"/>
      <c r="DS38" s="2"/>
      <c r="DT38" s="2"/>
      <c r="DU38" s="2">
        <v>1003</v>
      </c>
      <c r="DV38" s="2" t="s">
        <v>72</v>
      </c>
      <c r="DW38" s="2" t="s">
        <v>72</v>
      </c>
      <c r="DX38" s="2">
        <v>1</v>
      </c>
      <c r="DY38" s="2"/>
      <c r="DZ38" s="2" t="s">
        <v>3</v>
      </c>
      <c r="EA38" s="2" t="s">
        <v>3</v>
      </c>
      <c r="EB38" s="2" t="s">
        <v>3</v>
      </c>
      <c r="EC38" s="2" t="s">
        <v>3</v>
      </c>
      <c r="ED38" s="2"/>
      <c r="EE38" s="2">
        <v>80781987</v>
      </c>
      <c r="EF38" s="2">
        <v>6</v>
      </c>
      <c r="EG38" s="2" t="s">
        <v>20</v>
      </c>
      <c r="EH38" s="2">
        <v>103</v>
      </c>
      <c r="EI38" s="2" t="s">
        <v>53</v>
      </c>
      <c r="EJ38" s="2">
        <v>1</v>
      </c>
      <c r="EK38" s="2">
        <v>69001</v>
      </c>
      <c r="EL38" s="2" t="s">
        <v>53</v>
      </c>
      <c r="EM38" s="2" t="s">
        <v>54</v>
      </c>
      <c r="EN38" s="2"/>
      <c r="EO38" s="2" t="s">
        <v>24</v>
      </c>
      <c r="EP38" s="2"/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5.9</v>
      </c>
      <c r="EX38" s="2">
        <v>0</v>
      </c>
      <c r="EY38" s="2">
        <v>0</v>
      </c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>
        <v>0</v>
      </c>
      <c r="FR38" s="2">
        <v>0</v>
      </c>
      <c r="FS38" s="2">
        <v>0</v>
      </c>
      <c r="FT38" s="2"/>
      <c r="FU38" s="2"/>
      <c r="FV38" s="2"/>
      <c r="FW38" s="2"/>
      <c r="FX38" s="2">
        <v>92</v>
      </c>
      <c r="FY38" s="2">
        <v>44</v>
      </c>
      <c r="FZ38" s="2"/>
      <c r="GA38" s="2" t="s">
        <v>3</v>
      </c>
      <c r="GB38" s="2"/>
      <c r="GC38" s="2"/>
      <c r="GD38" s="2">
        <v>1</v>
      </c>
      <c r="GE38" s="2"/>
      <c r="GF38" s="2">
        <v>1494738051</v>
      </c>
      <c r="GG38" s="2">
        <v>2</v>
      </c>
      <c r="GH38" s="2">
        <v>1</v>
      </c>
      <c r="GI38" s="2">
        <v>-2</v>
      </c>
      <c r="GJ38" s="2">
        <v>0</v>
      </c>
      <c r="GK38" s="2">
        <v>0</v>
      </c>
      <c r="GL38" s="2">
        <f t="shared" si="27"/>
        <v>0</v>
      </c>
      <c r="GM38" s="2">
        <f t="shared" si="28"/>
        <v>15879.7</v>
      </c>
      <c r="GN38" s="2">
        <f t="shared" si="29"/>
        <v>15879.7</v>
      </c>
      <c r="GO38" s="2">
        <f t="shared" si="30"/>
        <v>0</v>
      </c>
      <c r="GP38" s="2">
        <f t="shared" si="31"/>
        <v>0</v>
      </c>
      <c r="GQ38" s="2"/>
      <c r="GR38" s="2">
        <v>0</v>
      </c>
      <c r="GS38" s="2">
        <v>3</v>
      </c>
      <c r="GT38" s="2">
        <v>0</v>
      </c>
      <c r="GU38" s="2" t="s">
        <v>3</v>
      </c>
      <c r="GV38" s="2">
        <f t="shared" si="35"/>
        <v>0</v>
      </c>
      <c r="GW38" s="2">
        <v>1</v>
      </c>
      <c r="GX38" s="2">
        <f t="shared" si="33"/>
        <v>0</v>
      </c>
      <c r="GY38" s="2"/>
      <c r="GZ38" s="2"/>
      <c r="HA38" s="2">
        <v>0</v>
      </c>
      <c r="HB38" s="2">
        <v>0</v>
      </c>
      <c r="HC38" s="2">
        <f t="shared" si="34"/>
        <v>0</v>
      </c>
      <c r="HD38" s="2"/>
      <c r="HE38" s="2" t="s">
        <v>3</v>
      </c>
      <c r="HF38" s="2" t="s">
        <v>3</v>
      </c>
      <c r="HG38" s="2"/>
      <c r="HH38" s="2"/>
      <c r="HI38" s="2"/>
      <c r="HJ38" s="2"/>
      <c r="HK38" s="2"/>
      <c r="HL38" s="2"/>
      <c r="HM38" s="2" t="s">
        <v>3</v>
      </c>
      <c r="HN38" s="2" t="s">
        <v>55</v>
      </c>
      <c r="HO38" s="2" t="s">
        <v>56</v>
      </c>
      <c r="HP38" s="2" t="s">
        <v>53</v>
      </c>
      <c r="HQ38" s="2" t="s">
        <v>53</v>
      </c>
      <c r="HR38" s="2"/>
      <c r="HS38" s="2">
        <v>0</v>
      </c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>
        <v>0</v>
      </c>
      <c r="IL38" s="2"/>
      <c r="IM38" s="2"/>
      <c r="IN38" s="2"/>
      <c r="IO38" s="2"/>
      <c r="IP38" s="2"/>
      <c r="IQ38" s="2"/>
      <c r="IR38" s="2"/>
      <c r="IS38" s="2"/>
      <c r="IT38" s="2"/>
      <c r="IU38" s="2"/>
    </row>
    <row r="39" spans="1:255" x14ac:dyDescent="0.2">
      <c r="A39" s="2">
        <v>18</v>
      </c>
      <c r="B39" s="2">
        <v>1</v>
      </c>
      <c r="C39" s="2">
        <v>37</v>
      </c>
      <c r="D39" s="2"/>
      <c r="E39" s="2" t="s">
        <v>80</v>
      </c>
      <c r="F39" s="2" t="s">
        <v>81</v>
      </c>
      <c r="G39" s="2" t="s">
        <v>82</v>
      </c>
      <c r="H39" s="2" t="s">
        <v>30</v>
      </c>
      <c r="I39" s="2">
        <f>I38*J39</f>
        <v>6.5000000000000002E-2</v>
      </c>
      <c r="J39" s="2">
        <v>6.5000000000000002E-2</v>
      </c>
      <c r="K39" s="2">
        <v>6.5000000000000002E-2</v>
      </c>
      <c r="L39" s="2"/>
      <c r="M39" s="2"/>
      <c r="N39" s="2"/>
      <c r="O39" s="2">
        <f t="shared" si="14"/>
        <v>75.73</v>
      </c>
      <c r="P39" s="2">
        <f>ROUND(CQ39*I39,2)</f>
        <v>75.73</v>
      </c>
      <c r="Q39" s="2">
        <f>ROUND(CR39*I39,2)</f>
        <v>0</v>
      </c>
      <c r="R39" s="2">
        <f>ROUND(CS39*I39,2)</f>
        <v>0</v>
      </c>
      <c r="S39" s="2">
        <f>ROUND(CT39*I39,2)</f>
        <v>0</v>
      </c>
      <c r="T39" s="2">
        <f t="shared" si="15"/>
        <v>0</v>
      </c>
      <c r="U39" s="2">
        <f>ROUND(CV39*I39,7)</f>
        <v>0</v>
      </c>
      <c r="V39" s="2">
        <f>ROUND(CW39*I39,7)</f>
        <v>0</v>
      </c>
      <c r="W39" s="2">
        <f t="shared" si="16"/>
        <v>0</v>
      </c>
      <c r="X39" s="2">
        <f t="shared" si="17"/>
        <v>0</v>
      </c>
      <c r="Y39" s="2">
        <f t="shared" si="18"/>
        <v>0</v>
      </c>
      <c r="Z39" s="2"/>
      <c r="AA39" s="2">
        <v>82813384</v>
      </c>
      <c r="AB39" s="2">
        <f t="shared" si="19"/>
        <v>954.97</v>
      </c>
      <c r="AC39" s="2">
        <f>ROUND((ES39),6)</f>
        <v>954.97</v>
      </c>
      <c r="AD39" s="2">
        <f>ROUND((((ET39)-(EU39))+AE39),6)</f>
        <v>0</v>
      </c>
      <c r="AE39" s="2">
        <f>ROUND((EU39),6)</f>
        <v>0</v>
      </c>
      <c r="AF39" s="2">
        <f>ROUND((EV39),6)</f>
        <v>0</v>
      </c>
      <c r="AG39" s="2">
        <f t="shared" si="20"/>
        <v>0</v>
      </c>
      <c r="AH39" s="2">
        <f>(EW39)</f>
        <v>0</v>
      </c>
      <c r="AI39" s="2">
        <f>(EX39)</f>
        <v>0</v>
      </c>
      <c r="AJ39" s="2">
        <f t="shared" si="21"/>
        <v>0</v>
      </c>
      <c r="AK39" s="2">
        <v>954.97</v>
      </c>
      <c r="AL39" s="2">
        <v>954.97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92</v>
      </c>
      <c r="AU39" s="2">
        <v>44</v>
      </c>
      <c r="AV39" s="2">
        <v>1</v>
      </c>
      <c r="AW39" s="2">
        <v>1</v>
      </c>
      <c r="AX39" s="2"/>
      <c r="AY39" s="2"/>
      <c r="AZ39" s="2">
        <v>1</v>
      </c>
      <c r="BA39" s="2">
        <v>1</v>
      </c>
      <c r="BB39" s="2">
        <v>1</v>
      </c>
      <c r="BC39" s="2">
        <v>1.22</v>
      </c>
      <c r="BD39" s="2" t="s">
        <v>3</v>
      </c>
      <c r="BE39" s="2" t="s">
        <v>3</v>
      </c>
      <c r="BF39" s="2" t="s">
        <v>3</v>
      </c>
      <c r="BG39" s="2" t="s">
        <v>3</v>
      </c>
      <c r="BH39" s="2">
        <v>3</v>
      </c>
      <c r="BI39" s="2">
        <v>1</v>
      </c>
      <c r="BJ39" s="2" t="s">
        <v>83</v>
      </c>
      <c r="BK39" s="2"/>
      <c r="BL39" s="2"/>
      <c r="BM39" s="2">
        <v>69001</v>
      </c>
      <c r="BN39" s="2">
        <v>0</v>
      </c>
      <c r="BO39" s="2" t="s">
        <v>81</v>
      </c>
      <c r="BP39" s="2">
        <v>1</v>
      </c>
      <c r="BQ39" s="2">
        <v>6</v>
      </c>
      <c r="BR39" s="2">
        <v>0</v>
      </c>
      <c r="BS39" s="2">
        <v>1</v>
      </c>
      <c r="BT39" s="2">
        <v>1</v>
      </c>
      <c r="BU39" s="2">
        <v>1</v>
      </c>
      <c r="BV39" s="2">
        <v>1</v>
      </c>
      <c r="BW39" s="2">
        <v>1</v>
      </c>
      <c r="BX39" s="2">
        <v>1</v>
      </c>
      <c r="BY39" s="2" t="s">
        <v>3</v>
      </c>
      <c r="BZ39" s="2">
        <v>92</v>
      </c>
      <c r="CA39" s="2">
        <v>44</v>
      </c>
      <c r="CB39" s="2" t="s">
        <v>3</v>
      </c>
      <c r="CC39" s="2"/>
      <c r="CD39" s="2"/>
      <c r="CE39" s="2">
        <v>0</v>
      </c>
      <c r="CF39" s="2">
        <v>0</v>
      </c>
      <c r="CG39" s="2">
        <v>0</v>
      </c>
      <c r="CH39" s="2"/>
      <c r="CI39" s="2"/>
      <c r="CJ39" s="2"/>
      <c r="CK39" s="2"/>
      <c r="CL39" s="2"/>
      <c r="CM39" s="2">
        <v>0</v>
      </c>
      <c r="CN39" s="2" t="s">
        <v>3</v>
      </c>
      <c r="CO39" s="2">
        <v>0</v>
      </c>
      <c r="CP39" s="2">
        <f t="shared" si="22"/>
        <v>75.73</v>
      </c>
      <c r="CQ39" s="2">
        <f>ROUND(AL39*BC39,2)</f>
        <v>1165.06</v>
      </c>
      <c r="CR39" s="2">
        <f>ROUND(AM39*BB39,2)</f>
        <v>0</v>
      </c>
      <c r="CS39" s="2">
        <f>ROUND(AN39*BS39,2)</f>
        <v>0</v>
      </c>
      <c r="CT39" s="2">
        <f>ROUND(AO39*BA39,2)</f>
        <v>0</v>
      </c>
      <c r="CU39" s="2">
        <f t="shared" si="23"/>
        <v>0</v>
      </c>
      <c r="CV39" s="2">
        <f>AH39</f>
        <v>0</v>
      </c>
      <c r="CW39" s="2">
        <f>AI39</f>
        <v>0</v>
      </c>
      <c r="CX39" s="2">
        <f t="shared" si="24"/>
        <v>0</v>
      </c>
      <c r="CY39" s="2">
        <f t="shared" si="25"/>
        <v>0</v>
      </c>
      <c r="CZ39" s="2">
        <f t="shared" si="26"/>
        <v>0</v>
      </c>
      <c r="DA39" s="2"/>
      <c r="DB39" s="2"/>
      <c r="DC39" s="2" t="s">
        <v>3</v>
      </c>
      <c r="DD39" s="2" t="s">
        <v>3</v>
      </c>
      <c r="DE39" s="2" t="s">
        <v>3</v>
      </c>
      <c r="DF39" s="2" t="s">
        <v>3</v>
      </c>
      <c r="DG39" s="2" t="s">
        <v>3</v>
      </c>
      <c r="DH39" s="2" t="s">
        <v>3</v>
      </c>
      <c r="DI39" s="2" t="s">
        <v>3</v>
      </c>
      <c r="DJ39" s="2" t="s">
        <v>3</v>
      </c>
      <c r="DK39" s="2" t="s">
        <v>3</v>
      </c>
      <c r="DL39" s="2" t="s">
        <v>3</v>
      </c>
      <c r="DM39" s="2" t="s">
        <v>3</v>
      </c>
      <c r="DN39" s="2">
        <v>0</v>
      </c>
      <c r="DO39" s="2">
        <v>0</v>
      </c>
      <c r="DP39" s="2">
        <v>1</v>
      </c>
      <c r="DQ39" s="2">
        <v>1</v>
      </c>
      <c r="DR39" s="2"/>
      <c r="DS39" s="2"/>
      <c r="DT39" s="2"/>
      <c r="DU39" s="2">
        <v>1013</v>
      </c>
      <c r="DV39" s="2" t="s">
        <v>30</v>
      </c>
      <c r="DW39" s="2" t="s">
        <v>30</v>
      </c>
      <c r="DX39" s="2">
        <v>1</v>
      </c>
      <c r="DY39" s="2"/>
      <c r="DZ39" s="2" t="s">
        <v>3</v>
      </c>
      <c r="EA39" s="2" t="s">
        <v>3</v>
      </c>
      <c r="EB39" s="2" t="s">
        <v>3</v>
      </c>
      <c r="EC39" s="2" t="s">
        <v>3</v>
      </c>
      <c r="ED39" s="2"/>
      <c r="EE39" s="2">
        <v>80781987</v>
      </c>
      <c r="EF39" s="2">
        <v>6</v>
      </c>
      <c r="EG39" s="2" t="s">
        <v>20</v>
      </c>
      <c r="EH39" s="2">
        <v>103</v>
      </c>
      <c r="EI39" s="2" t="s">
        <v>53</v>
      </c>
      <c r="EJ39" s="2">
        <v>1</v>
      </c>
      <c r="EK39" s="2">
        <v>69001</v>
      </c>
      <c r="EL39" s="2" t="s">
        <v>53</v>
      </c>
      <c r="EM39" s="2" t="s">
        <v>54</v>
      </c>
      <c r="EN39" s="2"/>
      <c r="EO39" s="2" t="s">
        <v>3</v>
      </c>
      <c r="EP39" s="2"/>
      <c r="EQ39" s="2">
        <v>0</v>
      </c>
      <c r="ER39" s="2">
        <v>954.97</v>
      </c>
      <c r="ES39" s="2">
        <v>954.97</v>
      </c>
      <c r="ET39" s="2">
        <v>0</v>
      </c>
      <c r="EU39" s="2">
        <v>0</v>
      </c>
      <c r="EV39" s="2">
        <v>0</v>
      </c>
      <c r="EW39" s="2">
        <v>0</v>
      </c>
      <c r="EX39" s="2">
        <v>0</v>
      </c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>
        <v>0</v>
      </c>
      <c r="FR39" s="2">
        <v>0</v>
      </c>
      <c r="FS39" s="2">
        <v>0</v>
      </c>
      <c r="FT39" s="2"/>
      <c r="FU39" s="2"/>
      <c r="FV39" s="2"/>
      <c r="FW39" s="2"/>
      <c r="FX39" s="2">
        <v>92</v>
      </c>
      <c r="FY39" s="2">
        <v>44</v>
      </c>
      <c r="FZ39" s="2"/>
      <c r="GA39" s="2" t="s">
        <v>3</v>
      </c>
      <c r="GB39" s="2"/>
      <c r="GC39" s="2"/>
      <c r="GD39" s="2">
        <v>1</v>
      </c>
      <c r="GE39" s="2"/>
      <c r="GF39" s="2">
        <v>46660561</v>
      </c>
      <c r="GG39" s="2">
        <v>2</v>
      </c>
      <c r="GH39" s="2">
        <v>1</v>
      </c>
      <c r="GI39" s="2">
        <v>2</v>
      </c>
      <c r="GJ39" s="2">
        <v>0</v>
      </c>
      <c r="GK39" s="2">
        <v>0</v>
      </c>
      <c r="GL39" s="2">
        <f t="shared" si="27"/>
        <v>0</v>
      </c>
      <c r="GM39" s="2">
        <f t="shared" si="28"/>
        <v>75.73</v>
      </c>
      <c r="GN39" s="2">
        <f t="shared" si="29"/>
        <v>75.73</v>
      </c>
      <c r="GO39" s="2">
        <f t="shared" si="30"/>
        <v>0</v>
      </c>
      <c r="GP39" s="2">
        <f t="shared" si="31"/>
        <v>0</v>
      </c>
      <c r="GQ39" s="2"/>
      <c r="GR39" s="2">
        <v>0</v>
      </c>
      <c r="GS39" s="2">
        <v>3</v>
      </c>
      <c r="GT39" s="2">
        <v>0</v>
      </c>
      <c r="GU39" s="2" t="s">
        <v>3</v>
      </c>
      <c r="GV39" s="2">
        <f t="shared" si="35"/>
        <v>0</v>
      </c>
      <c r="GW39" s="2">
        <v>1</v>
      </c>
      <c r="GX39" s="2">
        <f t="shared" si="33"/>
        <v>0</v>
      </c>
      <c r="GY39" s="2"/>
      <c r="GZ39" s="2"/>
      <c r="HA39" s="2">
        <v>0</v>
      </c>
      <c r="HB39" s="2">
        <v>0</v>
      </c>
      <c r="HC39" s="2">
        <f t="shared" si="34"/>
        <v>0</v>
      </c>
      <c r="HD39" s="2"/>
      <c r="HE39" s="2" t="s">
        <v>3</v>
      </c>
      <c r="HF39" s="2" t="s">
        <v>3</v>
      </c>
      <c r="HG39" s="2"/>
      <c r="HH39" s="2"/>
      <c r="HI39" s="2"/>
      <c r="HJ39" s="2"/>
      <c r="HK39" s="2"/>
      <c r="HL39" s="2"/>
      <c r="HM39" s="2" t="s">
        <v>3</v>
      </c>
      <c r="HN39" s="2" t="s">
        <v>55</v>
      </c>
      <c r="HO39" s="2" t="s">
        <v>56</v>
      </c>
      <c r="HP39" s="2" t="s">
        <v>53</v>
      </c>
      <c r="HQ39" s="2" t="s">
        <v>53</v>
      </c>
      <c r="HR39" s="2"/>
      <c r="HS39" s="2">
        <v>0</v>
      </c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>
        <v>0</v>
      </c>
      <c r="IL39" s="2"/>
      <c r="IM39" s="2"/>
      <c r="IN39" s="2"/>
      <c r="IO39" s="2"/>
      <c r="IP39" s="2"/>
      <c r="IQ39" s="2"/>
      <c r="IR39" s="2"/>
      <c r="IS39" s="2"/>
      <c r="IT39" s="2"/>
      <c r="IU39" s="2"/>
    </row>
    <row r="40" spans="1:255" x14ac:dyDescent="0.2">
      <c r="A40" s="2">
        <v>17</v>
      </c>
      <c r="B40" s="2">
        <v>1</v>
      </c>
      <c r="C40" s="2">
        <f>ROW(SmtRes!A54)</f>
        <v>54</v>
      </c>
      <c r="D40" s="2">
        <f>ROW(EtalonRes!A54)</f>
        <v>54</v>
      </c>
      <c r="E40" s="2" t="s">
        <v>3</v>
      </c>
      <c r="F40" s="2" t="s">
        <v>84</v>
      </c>
      <c r="G40" s="2" t="s">
        <v>85</v>
      </c>
      <c r="H40" s="2" t="s">
        <v>17</v>
      </c>
      <c r="I40" s="2">
        <f>ROUND(15/100,7)</f>
        <v>0.15</v>
      </c>
      <c r="J40" s="2">
        <v>0</v>
      </c>
      <c r="K40" s="2">
        <f>ROUND(15/100,7)</f>
        <v>0.15</v>
      </c>
      <c r="L40" s="2"/>
      <c r="M40" s="2"/>
      <c r="N40" s="2"/>
      <c r="O40" s="2">
        <f t="shared" si="14"/>
        <v>5059.54</v>
      </c>
      <c r="P40" s="2">
        <f>SUMIF(SmtRes!AQ38:'SmtRes'!AQ54,"=1",SmtRes!DF38:'SmtRes'!DF54)</f>
        <v>93.109999999999971</v>
      </c>
      <c r="Q40" s="2">
        <f>SUMIF(SmtRes!AQ38:'SmtRes'!AQ54,"=1",SmtRes!DG38:'SmtRes'!DG54)</f>
        <v>101.97999999999999</v>
      </c>
      <c r="R40" s="2">
        <f>SUMIF(SmtRes!AQ38:'SmtRes'!AQ54,"=1",SmtRes!DH38:'SmtRes'!DH54)</f>
        <v>116.09</v>
      </c>
      <c r="S40" s="2">
        <f>SUMIF(SmtRes!AQ38:'SmtRes'!AQ54,"=1",SmtRes!DI38:'SmtRes'!DI54)</f>
        <v>4748.3599999999997</v>
      </c>
      <c r="T40" s="2">
        <f t="shared" si="15"/>
        <v>0</v>
      </c>
      <c r="U40" s="2">
        <f>SUMIF(SmtRes!AQ38:'SmtRes'!AQ54,"=1",SmtRes!CV38:'SmtRes'!CV54)</f>
        <v>6.4950000000000001</v>
      </c>
      <c r="V40" s="2">
        <f>SUMIF(SmtRes!AQ38:'SmtRes'!AQ54,"=1",SmtRes!CW38:'SmtRes'!CW54)</f>
        <v>0.14849999999999999</v>
      </c>
      <c r="W40" s="2">
        <f t="shared" si="16"/>
        <v>0</v>
      </c>
      <c r="X40" s="2">
        <f t="shared" si="17"/>
        <v>5885.98</v>
      </c>
      <c r="Y40" s="2">
        <f t="shared" si="18"/>
        <v>3502.4</v>
      </c>
      <c r="Z40" s="2"/>
      <c r="AA40" s="2">
        <v>-1</v>
      </c>
      <c r="AB40" s="2">
        <f t="shared" si="19"/>
        <v>32787.111948999998</v>
      </c>
      <c r="AC40" s="2">
        <f>ROUND((SUM(SmtRes!BQ38:'SmtRes'!BQ54)),6)</f>
        <v>453.20164899999997</v>
      </c>
      <c r="AD40" s="2">
        <f>ROUND((((SUM(SmtRes!BR38:'SmtRes'!BR54))-(SUM(SmtRes!BS38:'SmtRes'!BS54)))+AE40),6)</f>
        <v>678.1463</v>
      </c>
      <c r="AE40" s="2">
        <f>ROUND((SUM(SmtRes!BS38:'SmtRes'!BS54)),6)</f>
        <v>773.96119999999996</v>
      </c>
      <c r="AF40" s="2">
        <f>ROUND((SUM(SmtRes!BT38:'SmtRes'!BT54)),6)</f>
        <v>31655.763999999999</v>
      </c>
      <c r="AG40" s="2">
        <f t="shared" si="20"/>
        <v>0</v>
      </c>
      <c r="AH40" s="2">
        <f>(SUM(SmtRes!BU38:'SmtRes'!BU54))</f>
        <v>43.3</v>
      </c>
      <c r="AI40" s="2">
        <f>(SUM(SmtRes!BV38:'SmtRes'!BV54))</f>
        <v>0.99</v>
      </c>
      <c r="AJ40" s="2">
        <f t="shared" si="21"/>
        <v>0</v>
      </c>
      <c r="AK40" s="2">
        <v>33561.073149199998</v>
      </c>
      <c r="AL40" s="2">
        <v>453.20164920000002</v>
      </c>
      <c r="AM40" s="2">
        <v>678.14629999999988</v>
      </c>
      <c r="AN40" s="2">
        <v>773.96120000000008</v>
      </c>
      <c r="AO40" s="2">
        <v>31655.763999999999</v>
      </c>
      <c r="AP40" s="2">
        <v>0</v>
      </c>
      <c r="AQ40" s="2">
        <v>43.3</v>
      </c>
      <c r="AR40" s="2">
        <v>0.99</v>
      </c>
      <c r="AS40" s="2">
        <v>0</v>
      </c>
      <c r="AT40" s="2">
        <v>121</v>
      </c>
      <c r="AU40" s="2">
        <v>72</v>
      </c>
      <c r="AV40" s="2">
        <v>1</v>
      </c>
      <c r="AW40" s="2">
        <v>1</v>
      </c>
      <c r="AX40" s="2"/>
      <c r="AY40" s="2"/>
      <c r="AZ40" s="2">
        <v>1</v>
      </c>
      <c r="BA40" s="2">
        <v>1</v>
      </c>
      <c r="BB40" s="2">
        <v>1</v>
      </c>
      <c r="BC40" s="2">
        <v>1</v>
      </c>
      <c r="BD40" s="2" t="s">
        <v>3</v>
      </c>
      <c r="BE40" s="2" t="s">
        <v>3</v>
      </c>
      <c r="BF40" s="2" t="s">
        <v>3</v>
      </c>
      <c r="BG40" s="2" t="s">
        <v>3</v>
      </c>
      <c r="BH40" s="2">
        <v>0</v>
      </c>
      <c r="BI40" s="2">
        <v>1</v>
      </c>
      <c r="BJ40" s="2" t="s">
        <v>86</v>
      </c>
      <c r="BK40" s="2"/>
      <c r="BL40" s="2"/>
      <c r="BM40" s="2">
        <v>16001</v>
      </c>
      <c r="BN40" s="2">
        <v>0</v>
      </c>
      <c r="BO40" s="2" t="s">
        <v>3</v>
      </c>
      <c r="BP40" s="2">
        <v>0</v>
      </c>
      <c r="BQ40" s="2">
        <v>2</v>
      </c>
      <c r="BR40" s="2">
        <v>0</v>
      </c>
      <c r="BS40" s="2">
        <v>1</v>
      </c>
      <c r="BT40" s="2">
        <v>1</v>
      </c>
      <c r="BU40" s="2">
        <v>1</v>
      </c>
      <c r="BV40" s="2">
        <v>1</v>
      </c>
      <c r="BW40" s="2">
        <v>1</v>
      </c>
      <c r="BX40" s="2">
        <v>1</v>
      </c>
      <c r="BY40" s="2" t="s">
        <v>3</v>
      </c>
      <c r="BZ40" s="2">
        <v>121</v>
      </c>
      <c r="CA40" s="2">
        <v>72</v>
      </c>
      <c r="CB40" s="2" t="s">
        <v>3</v>
      </c>
      <c r="CC40" s="2"/>
      <c r="CD40" s="2"/>
      <c r="CE40" s="2">
        <v>0</v>
      </c>
      <c r="CF40" s="2">
        <v>0</v>
      </c>
      <c r="CG40" s="2">
        <v>0</v>
      </c>
      <c r="CH40" s="2"/>
      <c r="CI40" s="2"/>
      <c r="CJ40" s="2"/>
      <c r="CK40" s="2"/>
      <c r="CL40" s="2"/>
      <c r="CM40" s="2">
        <v>0</v>
      </c>
      <c r="CN40" s="2" t="s">
        <v>3</v>
      </c>
      <c r="CO40" s="2">
        <v>0</v>
      </c>
      <c r="CP40" s="2">
        <f t="shared" si="22"/>
        <v>5059.54</v>
      </c>
      <c r="CQ40" s="2">
        <f>SUMIF(SmtRes!AQ38:'SmtRes'!AQ54,"=1",SmtRes!AA38:'SmtRes'!AA54)</f>
        <v>850209.94</v>
      </c>
      <c r="CR40" s="2">
        <f>SUMIF(SmtRes!AQ38:'SmtRes'!AQ54,"=1",SmtRes!AB38:'SmtRes'!AB54)</f>
        <v>3172.79</v>
      </c>
      <c r="CS40" s="2">
        <f>SUMIF(SmtRes!AQ38:'SmtRes'!AQ54,"=1",SmtRes!AC38:'SmtRes'!AC54)</f>
        <v>2695.16</v>
      </c>
      <c r="CT40" s="2">
        <f>SUMIF(SmtRes!AQ38:'SmtRes'!AQ54,"=1",SmtRes!AD38:'SmtRes'!AD54)</f>
        <v>731.08</v>
      </c>
      <c r="CU40" s="2">
        <f t="shared" si="23"/>
        <v>0</v>
      </c>
      <c r="CV40" s="2">
        <f>SUMIF(SmtRes!AQ38:'SmtRes'!AQ54,"=1",SmtRes!BU38:'SmtRes'!BU54)</f>
        <v>43.3</v>
      </c>
      <c r="CW40" s="2">
        <f>SUMIF(SmtRes!AQ38:'SmtRes'!AQ54,"=1",SmtRes!BV38:'SmtRes'!BV54)</f>
        <v>0.99</v>
      </c>
      <c r="CX40" s="2">
        <f t="shared" si="24"/>
        <v>0</v>
      </c>
      <c r="CY40" s="2">
        <f t="shared" si="25"/>
        <v>5885.9844999999996</v>
      </c>
      <c r="CZ40" s="2">
        <f t="shared" si="26"/>
        <v>3502.4039999999995</v>
      </c>
      <c r="DA40" s="2"/>
      <c r="DB40" s="2"/>
      <c r="DC40" s="2" t="s">
        <v>3</v>
      </c>
      <c r="DD40" s="2" t="s">
        <v>3</v>
      </c>
      <c r="DE40" s="2" t="s">
        <v>3</v>
      </c>
      <c r="DF40" s="2" t="s">
        <v>3</v>
      </c>
      <c r="DG40" s="2" t="s">
        <v>3</v>
      </c>
      <c r="DH40" s="2" t="s">
        <v>3</v>
      </c>
      <c r="DI40" s="2" t="s">
        <v>3</v>
      </c>
      <c r="DJ40" s="2" t="s">
        <v>3</v>
      </c>
      <c r="DK40" s="2" t="s">
        <v>3</v>
      </c>
      <c r="DL40" s="2" t="s">
        <v>3</v>
      </c>
      <c r="DM40" s="2" t="s">
        <v>3</v>
      </c>
      <c r="DN40" s="2">
        <v>0</v>
      </c>
      <c r="DO40" s="2">
        <v>0</v>
      </c>
      <c r="DP40" s="2">
        <v>1</v>
      </c>
      <c r="DQ40" s="2">
        <v>1</v>
      </c>
      <c r="DR40" s="2"/>
      <c r="DS40" s="2"/>
      <c r="DT40" s="2"/>
      <c r="DU40" s="2">
        <v>1003</v>
      </c>
      <c r="DV40" s="2" t="s">
        <v>17</v>
      </c>
      <c r="DW40" s="2" t="s">
        <v>17</v>
      </c>
      <c r="DX40" s="2">
        <v>100</v>
      </c>
      <c r="DY40" s="2"/>
      <c r="DZ40" s="2" t="s">
        <v>3</v>
      </c>
      <c r="EA40" s="2" t="s">
        <v>3</v>
      </c>
      <c r="EB40" s="2" t="s">
        <v>3</v>
      </c>
      <c r="EC40" s="2" t="s">
        <v>3</v>
      </c>
      <c r="ED40" s="2"/>
      <c r="EE40" s="2">
        <v>80781888</v>
      </c>
      <c r="EF40" s="2">
        <v>2</v>
      </c>
      <c r="EG40" s="2" t="s">
        <v>36</v>
      </c>
      <c r="EH40" s="2">
        <v>16</v>
      </c>
      <c r="EI40" s="2" t="s">
        <v>37</v>
      </c>
      <c r="EJ40" s="2">
        <v>1</v>
      </c>
      <c r="EK40" s="2">
        <v>16001</v>
      </c>
      <c r="EL40" s="2" t="s">
        <v>38</v>
      </c>
      <c r="EM40" s="2" t="s">
        <v>39</v>
      </c>
      <c r="EN40" s="2"/>
      <c r="EO40" s="2" t="s">
        <v>3</v>
      </c>
      <c r="EP40" s="2"/>
      <c r="EQ40" s="2">
        <v>1024</v>
      </c>
      <c r="ER40" s="2">
        <v>0</v>
      </c>
      <c r="ES40" s="2">
        <v>0</v>
      </c>
      <c r="ET40" s="2">
        <v>0</v>
      </c>
      <c r="EU40" s="2">
        <v>0</v>
      </c>
      <c r="EV40" s="2">
        <v>0</v>
      </c>
      <c r="EW40" s="2">
        <v>43.3</v>
      </c>
      <c r="EX40" s="2">
        <v>0.99</v>
      </c>
      <c r="EY40" s="2">
        <v>0</v>
      </c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>
        <v>0</v>
      </c>
      <c r="FR40" s="2">
        <v>0</v>
      </c>
      <c r="FS40" s="2">
        <v>0</v>
      </c>
      <c r="FT40" s="2"/>
      <c r="FU40" s="2"/>
      <c r="FV40" s="2"/>
      <c r="FW40" s="2"/>
      <c r="FX40" s="2">
        <v>121</v>
      </c>
      <c r="FY40" s="2">
        <v>72</v>
      </c>
      <c r="FZ40" s="2"/>
      <c r="GA40" s="2" t="s">
        <v>3</v>
      </c>
      <c r="GB40" s="2"/>
      <c r="GC40" s="2"/>
      <c r="GD40" s="2">
        <v>1</v>
      </c>
      <c r="GE40" s="2"/>
      <c r="GF40" s="2">
        <v>-2143977618</v>
      </c>
      <c r="GG40" s="2">
        <v>2</v>
      </c>
      <c r="GH40" s="2">
        <v>1</v>
      </c>
      <c r="GI40" s="2">
        <v>-2</v>
      </c>
      <c r="GJ40" s="2">
        <v>0</v>
      </c>
      <c r="GK40" s="2">
        <v>0</v>
      </c>
      <c r="GL40" s="2">
        <f t="shared" si="27"/>
        <v>0</v>
      </c>
      <c r="GM40" s="2">
        <f t="shared" si="28"/>
        <v>14447.92</v>
      </c>
      <c r="GN40" s="2">
        <f t="shared" si="29"/>
        <v>14447.92</v>
      </c>
      <c r="GO40" s="2">
        <f t="shared" si="30"/>
        <v>0</v>
      </c>
      <c r="GP40" s="2">
        <f t="shared" si="31"/>
        <v>0</v>
      </c>
      <c r="GQ40" s="2"/>
      <c r="GR40" s="2">
        <v>0</v>
      </c>
      <c r="GS40" s="2">
        <v>3</v>
      </c>
      <c r="GT40" s="2">
        <v>0</v>
      </c>
      <c r="GU40" s="2" t="s">
        <v>3</v>
      </c>
      <c r="GV40" s="2">
        <f t="shared" si="35"/>
        <v>0</v>
      </c>
      <c r="GW40" s="2">
        <v>1</v>
      </c>
      <c r="GX40" s="2">
        <f t="shared" si="33"/>
        <v>0</v>
      </c>
      <c r="GY40" s="2"/>
      <c r="GZ40" s="2"/>
      <c r="HA40" s="2">
        <v>0</v>
      </c>
      <c r="HB40" s="2">
        <v>0</v>
      </c>
      <c r="HC40" s="2">
        <f t="shared" si="34"/>
        <v>0</v>
      </c>
      <c r="HD40" s="2"/>
      <c r="HE40" s="2" t="s">
        <v>3</v>
      </c>
      <c r="HF40" s="2" t="s">
        <v>3</v>
      </c>
      <c r="HG40" s="2"/>
      <c r="HH40" s="2"/>
      <c r="HI40" s="2"/>
      <c r="HJ40" s="2"/>
      <c r="HK40" s="2"/>
      <c r="HL40" s="2"/>
      <c r="HM40" s="2" t="s">
        <v>3</v>
      </c>
      <c r="HN40" s="2" t="s">
        <v>41</v>
      </c>
      <c r="HO40" s="2" t="s">
        <v>42</v>
      </c>
      <c r="HP40" s="2" t="s">
        <v>37</v>
      </c>
      <c r="HQ40" s="2" t="s">
        <v>37</v>
      </c>
      <c r="HR40" s="2"/>
      <c r="HS40" s="2">
        <v>0</v>
      </c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>
        <v>0</v>
      </c>
      <c r="IL40" s="2"/>
      <c r="IM40" s="2"/>
      <c r="IN40" s="2"/>
      <c r="IO40" s="2"/>
      <c r="IP40" s="2"/>
      <c r="IQ40" s="2"/>
      <c r="IR40" s="2"/>
      <c r="IS40" s="2"/>
      <c r="IT40" s="2"/>
      <c r="IU40" s="2"/>
    </row>
    <row r="41" spans="1:255" x14ac:dyDescent="0.2">
      <c r="A41" s="2">
        <v>18</v>
      </c>
      <c r="B41" s="2">
        <v>1</v>
      </c>
      <c r="C41" s="2">
        <v>52</v>
      </c>
      <c r="D41" s="2"/>
      <c r="E41" s="2" t="s">
        <v>3</v>
      </c>
      <c r="F41" s="2" t="s">
        <v>87</v>
      </c>
      <c r="G41" s="2" t="s">
        <v>88</v>
      </c>
      <c r="H41" s="2" t="s">
        <v>30</v>
      </c>
      <c r="I41" s="2">
        <f>I40*J41</f>
        <v>0</v>
      </c>
      <c r="J41" s="2">
        <v>0</v>
      </c>
      <c r="K41" s="2">
        <v>0</v>
      </c>
      <c r="L41" s="2"/>
      <c r="M41" s="2"/>
      <c r="N41" s="2"/>
      <c r="O41" s="2">
        <f t="shared" si="14"/>
        <v>0</v>
      </c>
      <c r="P41" s="2">
        <f>ROUND(CQ41*I41,2)</f>
        <v>0</v>
      </c>
      <c r="Q41" s="2">
        <f>ROUND(CR41*I41,2)</f>
        <v>0</v>
      </c>
      <c r="R41" s="2">
        <f>ROUND(CS41*I41,2)</f>
        <v>0</v>
      </c>
      <c r="S41" s="2">
        <f>ROUND(CT41*I41,2)</f>
        <v>0</v>
      </c>
      <c r="T41" s="2">
        <f t="shared" si="15"/>
        <v>0</v>
      </c>
      <c r="U41" s="2">
        <f>ROUND(CV41*I41,7)</f>
        <v>0</v>
      </c>
      <c r="V41" s="2">
        <f>ROUND(CW41*I41,7)</f>
        <v>0</v>
      </c>
      <c r="W41" s="2">
        <f t="shared" si="16"/>
        <v>0</v>
      </c>
      <c r="X41" s="2">
        <f t="shared" si="17"/>
        <v>0</v>
      </c>
      <c r="Y41" s="2">
        <f t="shared" si="18"/>
        <v>0</v>
      </c>
      <c r="Z41" s="2"/>
      <c r="AA41" s="2">
        <v>-1</v>
      </c>
      <c r="AB41" s="2">
        <f t="shared" si="19"/>
        <v>0</v>
      </c>
      <c r="AC41" s="2">
        <f>ROUND((ES41),6)</f>
        <v>0</v>
      </c>
      <c r="AD41" s="2">
        <f>ROUND((((ET41)-(EU41))+AE41),6)</f>
        <v>0</v>
      </c>
      <c r="AE41" s="2">
        <f t="shared" ref="AE41:AF43" si="36">ROUND((EU41),6)</f>
        <v>0</v>
      </c>
      <c r="AF41" s="2">
        <f t="shared" si="36"/>
        <v>0</v>
      </c>
      <c r="AG41" s="2">
        <f t="shared" si="20"/>
        <v>0</v>
      </c>
      <c r="AH41" s="2">
        <f t="shared" ref="AH41:AI43" si="37">(EW41)</f>
        <v>0</v>
      </c>
      <c r="AI41" s="2">
        <f t="shared" si="37"/>
        <v>0</v>
      </c>
      <c r="AJ41" s="2">
        <f t="shared" si="21"/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121</v>
      </c>
      <c r="AU41" s="2">
        <v>72</v>
      </c>
      <c r="AV41" s="2">
        <v>1</v>
      </c>
      <c r="AW41" s="2">
        <v>1</v>
      </c>
      <c r="AX41" s="2"/>
      <c r="AY41" s="2"/>
      <c r="AZ41" s="2">
        <v>1</v>
      </c>
      <c r="BA41" s="2">
        <v>1</v>
      </c>
      <c r="BB41" s="2">
        <v>1</v>
      </c>
      <c r="BC41" s="2">
        <v>1</v>
      </c>
      <c r="BD41" s="2" t="s">
        <v>3</v>
      </c>
      <c r="BE41" s="2" t="s">
        <v>3</v>
      </c>
      <c r="BF41" s="2" t="s">
        <v>3</v>
      </c>
      <c r="BG41" s="2" t="s">
        <v>3</v>
      </c>
      <c r="BH41" s="2">
        <v>3</v>
      </c>
      <c r="BI41" s="2">
        <v>1</v>
      </c>
      <c r="BJ41" s="2" t="s">
        <v>3</v>
      </c>
      <c r="BK41" s="2"/>
      <c r="BL41" s="2"/>
      <c r="BM41" s="2">
        <v>16001</v>
      </c>
      <c r="BN41" s="2">
        <v>0</v>
      </c>
      <c r="BO41" s="2" t="s">
        <v>3</v>
      </c>
      <c r="BP41" s="2">
        <v>0</v>
      </c>
      <c r="BQ41" s="2">
        <v>2</v>
      </c>
      <c r="BR41" s="2">
        <v>0</v>
      </c>
      <c r="BS41" s="2">
        <v>1</v>
      </c>
      <c r="BT41" s="2">
        <v>1</v>
      </c>
      <c r="BU41" s="2">
        <v>1</v>
      </c>
      <c r="BV41" s="2">
        <v>1</v>
      </c>
      <c r="BW41" s="2">
        <v>1</v>
      </c>
      <c r="BX41" s="2">
        <v>1</v>
      </c>
      <c r="BY41" s="2" t="s">
        <v>3</v>
      </c>
      <c r="BZ41" s="2">
        <v>121</v>
      </c>
      <c r="CA41" s="2">
        <v>72</v>
      </c>
      <c r="CB41" s="2" t="s">
        <v>3</v>
      </c>
      <c r="CC41" s="2"/>
      <c r="CD41" s="2"/>
      <c r="CE41" s="2">
        <v>0</v>
      </c>
      <c r="CF41" s="2">
        <v>0</v>
      </c>
      <c r="CG41" s="2">
        <v>0</v>
      </c>
      <c r="CH41" s="2"/>
      <c r="CI41" s="2"/>
      <c r="CJ41" s="2"/>
      <c r="CK41" s="2"/>
      <c r="CL41" s="2"/>
      <c r="CM41" s="2">
        <v>0</v>
      </c>
      <c r="CN41" s="2" t="s">
        <v>3</v>
      </c>
      <c r="CO41" s="2">
        <v>0</v>
      </c>
      <c r="CP41" s="2">
        <f t="shared" si="22"/>
        <v>0</v>
      </c>
      <c r="CQ41" s="2">
        <f>ROUND(AL41*BC41,2)</f>
        <v>0</v>
      </c>
      <c r="CR41" s="2">
        <f>ROUND(AM41*BB41,2)</f>
        <v>0</v>
      </c>
      <c r="CS41" s="2">
        <f>ROUND(AN41*BS41,2)</f>
        <v>0</v>
      </c>
      <c r="CT41" s="2">
        <f>ROUND(AO41*BA41,2)</f>
        <v>0</v>
      </c>
      <c r="CU41" s="2">
        <f t="shared" si="23"/>
        <v>0</v>
      </c>
      <c r="CV41" s="2">
        <f t="shared" ref="CV41:CW43" si="38">AH41</f>
        <v>0</v>
      </c>
      <c r="CW41" s="2">
        <f t="shared" si="38"/>
        <v>0</v>
      </c>
      <c r="CX41" s="2">
        <f t="shared" si="24"/>
        <v>0</v>
      </c>
      <c r="CY41" s="2">
        <f t="shared" si="25"/>
        <v>0</v>
      </c>
      <c r="CZ41" s="2">
        <f t="shared" si="26"/>
        <v>0</v>
      </c>
      <c r="DA41" s="2"/>
      <c r="DB41" s="2"/>
      <c r="DC41" s="2" t="s">
        <v>3</v>
      </c>
      <c r="DD41" s="2" t="s">
        <v>3</v>
      </c>
      <c r="DE41" s="2" t="s">
        <v>3</v>
      </c>
      <c r="DF41" s="2" t="s">
        <v>3</v>
      </c>
      <c r="DG41" s="2" t="s">
        <v>3</v>
      </c>
      <c r="DH41" s="2" t="s">
        <v>3</v>
      </c>
      <c r="DI41" s="2" t="s">
        <v>3</v>
      </c>
      <c r="DJ41" s="2" t="s">
        <v>3</v>
      </c>
      <c r="DK41" s="2" t="s">
        <v>3</v>
      </c>
      <c r="DL41" s="2" t="s">
        <v>3</v>
      </c>
      <c r="DM41" s="2" t="s">
        <v>3</v>
      </c>
      <c r="DN41" s="2">
        <v>0</v>
      </c>
      <c r="DO41" s="2">
        <v>0</v>
      </c>
      <c r="DP41" s="2">
        <v>1</v>
      </c>
      <c r="DQ41" s="2">
        <v>1</v>
      </c>
      <c r="DR41" s="2"/>
      <c r="DS41" s="2"/>
      <c r="DT41" s="2"/>
      <c r="DU41" s="2">
        <v>1013</v>
      </c>
      <c r="DV41" s="2" t="s">
        <v>30</v>
      </c>
      <c r="DW41" s="2" t="s">
        <v>30</v>
      </c>
      <c r="DX41" s="2">
        <v>1</v>
      </c>
      <c r="DY41" s="2"/>
      <c r="DZ41" s="2" t="s">
        <v>3</v>
      </c>
      <c r="EA41" s="2" t="s">
        <v>3</v>
      </c>
      <c r="EB41" s="2" t="s">
        <v>3</v>
      </c>
      <c r="EC41" s="2" t="s">
        <v>3</v>
      </c>
      <c r="ED41" s="2"/>
      <c r="EE41" s="2">
        <v>80781888</v>
      </c>
      <c r="EF41" s="2">
        <v>2</v>
      </c>
      <c r="EG41" s="2" t="s">
        <v>36</v>
      </c>
      <c r="EH41" s="2">
        <v>16</v>
      </c>
      <c r="EI41" s="2" t="s">
        <v>37</v>
      </c>
      <c r="EJ41" s="2">
        <v>1</v>
      </c>
      <c r="EK41" s="2">
        <v>16001</v>
      </c>
      <c r="EL41" s="2" t="s">
        <v>38</v>
      </c>
      <c r="EM41" s="2" t="s">
        <v>39</v>
      </c>
      <c r="EN41" s="2"/>
      <c r="EO41" s="2" t="s">
        <v>3</v>
      </c>
      <c r="EP41" s="2"/>
      <c r="EQ41" s="2">
        <v>1024</v>
      </c>
      <c r="ER41" s="2">
        <v>0</v>
      </c>
      <c r="ES41" s="2">
        <v>0</v>
      </c>
      <c r="ET41" s="2">
        <v>0</v>
      </c>
      <c r="EU41" s="2">
        <v>0</v>
      </c>
      <c r="EV41" s="2">
        <v>0</v>
      </c>
      <c r="EW41" s="2">
        <v>0</v>
      </c>
      <c r="EX41" s="2">
        <v>0</v>
      </c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>
        <v>0</v>
      </c>
      <c r="FR41" s="2">
        <v>0</v>
      </c>
      <c r="FS41" s="2">
        <v>0</v>
      </c>
      <c r="FT41" s="2"/>
      <c r="FU41" s="2"/>
      <c r="FV41" s="2"/>
      <c r="FW41" s="2"/>
      <c r="FX41" s="2">
        <v>121</v>
      </c>
      <c r="FY41" s="2">
        <v>72</v>
      </c>
      <c r="FZ41" s="2"/>
      <c r="GA41" s="2" t="s">
        <v>3</v>
      </c>
      <c r="GB41" s="2"/>
      <c r="GC41" s="2"/>
      <c r="GD41" s="2">
        <v>1</v>
      </c>
      <c r="GE41" s="2"/>
      <c r="GF41" s="2">
        <v>-194554667</v>
      </c>
      <c r="GG41" s="2">
        <v>2</v>
      </c>
      <c r="GH41" s="2">
        <v>1</v>
      </c>
      <c r="GI41" s="2">
        <v>-2</v>
      </c>
      <c r="GJ41" s="2">
        <v>0</v>
      </c>
      <c r="GK41" s="2">
        <v>0</v>
      </c>
      <c r="GL41" s="2">
        <f t="shared" si="27"/>
        <v>0</v>
      </c>
      <c r="GM41" s="2">
        <f t="shared" si="28"/>
        <v>0</v>
      </c>
      <c r="GN41" s="2">
        <f t="shared" si="29"/>
        <v>0</v>
      </c>
      <c r="GO41" s="2">
        <f t="shared" si="30"/>
        <v>0</v>
      </c>
      <c r="GP41" s="2">
        <f t="shared" si="31"/>
        <v>0</v>
      </c>
      <c r="GQ41" s="2"/>
      <c r="GR41" s="2">
        <v>0</v>
      </c>
      <c r="GS41" s="2">
        <v>3</v>
      </c>
      <c r="GT41" s="2">
        <v>0</v>
      </c>
      <c r="GU41" s="2" t="s">
        <v>3</v>
      </c>
      <c r="GV41" s="2">
        <f t="shared" si="35"/>
        <v>0</v>
      </c>
      <c r="GW41" s="2">
        <v>1</v>
      </c>
      <c r="GX41" s="2">
        <f t="shared" si="33"/>
        <v>0</v>
      </c>
      <c r="GY41" s="2"/>
      <c r="GZ41" s="2"/>
      <c r="HA41" s="2">
        <v>0</v>
      </c>
      <c r="HB41" s="2">
        <v>0</v>
      </c>
      <c r="HC41" s="2">
        <f t="shared" si="34"/>
        <v>0</v>
      </c>
      <c r="HD41" s="2"/>
      <c r="HE41" s="2" t="s">
        <v>3</v>
      </c>
      <c r="HF41" s="2" t="s">
        <v>3</v>
      </c>
      <c r="HG41" s="2"/>
      <c r="HH41" s="2"/>
      <c r="HI41" s="2"/>
      <c r="HJ41" s="2"/>
      <c r="HK41" s="2"/>
      <c r="HL41" s="2"/>
      <c r="HM41" s="2" t="s">
        <v>3</v>
      </c>
      <c r="HN41" s="2" t="s">
        <v>41</v>
      </c>
      <c r="HO41" s="2" t="s">
        <v>42</v>
      </c>
      <c r="HP41" s="2" t="s">
        <v>37</v>
      </c>
      <c r="HQ41" s="2" t="s">
        <v>37</v>
      </c>
      <c r="HR41" s="2"/>
      <c r="HS41" s="2">
        <v>0</v>
      </c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>
        <v>0</v>
      </c>
      <c r="IL41" s="2"/>
      <c r="IM41" s="2"/>
      <c r="IN41" s="2"/>
      <c r="IO41" s="2"/>
      <c r="IP41" s="2"/>
      <c r="IQ41" s="2"/>
      <c r="IR41" s="2"/>
      <c r="IS41" s="2"/>
      <c r="IT41" s="2"/>
      <c r="IU41" s="2"/>
    </row>
    <row r="42" spans="1:255" x14ac:dyDescent="0.2">
      <c r="A42" s="2">
        <v>18</v>
      </c>
      <c r="B42" s="2">
        <v>1</v>
      </c>
      <c r="C42" s="2">
        <v>53</v>
      </c>
      <c r="D42" s="2"/>
      <c r="E42" s="2" t="s">
        <v>3</v>
      </c>
      <c r="F42" s="2" t="s">
        <v>89</v>
      </c>
      <c r="G42" s="2" t="s">
        <v>90</v>
      </c>
      <c r="H42" s="2" t="s">
        <v>72</v>
      </c>
      <c r="I42" s="2">
        <f>I40*J42</f>
        <v>15</v>
      </c>
      <c r="J42" s="2">
        <v>100</v>
      </c>
      <c r="K42" s="2">
        <v>100</v>
      </c>
      <c r="L42" s="2"/>
      <c r="M42" s="2"/>
      <c r="N42" s="2"/>
      <c r="O42" s="2">
        <f t="shared" si="14"/>
        <v>0</v>
      </c>
      <c r="P42" s="2">
        <f>ROUND(CQ42*I42,2)</f>
        <v>0</v>
      </c>
      <c r="Q42" s="2">
        <f>ROUND(CR42*I42,2)</f>
        <v>0</v>
      </c>
      <c r="R42" s="2">
        <f>ROUND(CS42*I42,2)</f>
        <v>0</v>
      </c>
      <c r="S42" s="2">
        <f>ROUND(CT42*I42,2)</f>
        <v>0</v>
      </c>
      <c r="T42" s="2">
        <f t="shared" si="15"/>
        <v>0</v>
      </c>
      <c r="U42" s="2">
        <f>ROUND(CV42*I42,7)</f>
        <v>0</v>
      </c>
      <c r="V42" s="2">
        <f>ROUND(CW42*I42,7)</f>
        <v>0</v>
      </c>
      <c r="W42" s="2">
        <f t="shared" si="16"/>
        <v>0</v>
      </c>
      <c r="X42" s="2">
        <f t="shared" si="17"/>
        <v>0</v>
      </c>
      <c r="Y42" s="2">
        <f t="shared" si="18"/>
        <v>0</v>
      </c>
      <c r="Z42" s="2"/>
      <c r="AA42" s="2">
        <v>-1</v>
      </c>
      <c r="AB42" s="2">
        <f t="shared" si="19"/>
        <v>0</v>
      </c>
      <c r="AC42" s="2">
        <f>ROUND((ES42),6)</f>
        <v>0</v>
      </c>
      <c r="AD42" s="2">
        <f>ROUND((((ET42)-(EU42))+AE42),6)</f>
        <v>0</v>
      </c>
      <c r="AE42" s="2">
        <f t="shared" si="36"/>
        <v>0</v>
      </c>
      <c r="AF42" s="2">
        <f t="shared" si="36"/>
        <v>0</v>
      </c>
      <c r="AG42" s="2">
        <f t="shared" si="20"/>
        <v>0</v>
      </c>
      <c r="AH42" s="2">
        <f t="shared" si="37"/>
        <v>0</v>
      </c>
      <c r="AI42" s="2">
        <f t="shared" si="37"/>
        <v>0</v>
      </c>
      <c r="AJ42" s="2">
        <f t="shared" si="21"/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121</v>
      </c>
      <c r="AU42" s="2">
        <v>72</v>
      </c>
      <c r="AV42" s="2">
        <v>1</v>
      </c>
      <c r="AW42" s="2">
        <v>1</v>
      </c>
      <c r="AX42" s="2"/>
      <c r="AY42" s="2"/>
      <c r="AZ42" s="2">
        <v>1</v>
      </c>
      <c r="BA42" s="2">
        <v>1</v>
      </c>
      <c r="BB42" s="2">
        <v>1</v>
      </c>
      <c r="BC42" s="2">
        <v>1</v>
      </c>
      <c r="BD42" s="2" t="s">
        <v>3</v>
      </c>
      <c r="BE42" s="2" t="s">
        <v>3</v>
      </c>
      <c r="BF42" s="2" t="s">
        <v>3</v>
      </c>
      <c r="BG42" s="2" t="s">
        <v>3</v>
      </c>
      <c r="BH42" s="2">
        <v>3</v>
      </c>
      <c r="BI42" s="2">
        <v>1</v>
      </c>
      <c r="BJ42" s="2" t="s">
        <v>3</v>
      </c>
      <c r="BK42" s="2"/>
      <c r="BL42" s="2"/>
      <c r="BM42" s="2">
        <v>16001</v>
      </c>
      <c r="BN42" s="2">
        <v>0</v>
      </c>
      <c r="BO42" s="2" t="s">
        <v>3</v>
      </c>
      <c r="BP42" s="2">
        <v>0</v>
      </c>
      <c r="BQ42" s="2">
        <v>2</v>
      </c>
      <c r="BR42" s="2">
        <v>0</v>
      </c>
      <c r="BS42" s="2">
        <v>1</v>
      </c>
      <c r="BT42" s="2">
        <v>1</v>
      </c>
      <c r="BU42" s="2">
        <v>1</v>
      </c>
      <c r="BV42" s="2">
        <v>1</v>
      </c>
      <c r="BW42" s="2">
        <v>1</v>
      </c>
      <c r="BX42" s="2">
        <v>1</v>
      </c>
      <c r="BY42" s="2" t="s">
        <v>3</v>
      </c>
      <c r="BZ42" s="2">
        <v>121</v>
      </c>
      <c r="CA42" s="2">
        <v>72</v>
      </c>
      <c r="CB42" s="2" t="s">
        <v>3</v>
      </c>
      <c r="CC42" s="2"/>
      <c r="CD42" s="2"/>
      <c r="CE42" s="2">
        <v>0</v>
      </c>
      <c r="CF42" s="2">
        <v>0</v>
      </c>
      <c r="CG42" s="2">
        <v>0</v>
      </c>
      <c r="CH42" s="2"/>
      <c r="CI42" s="2"/>
      <c r="CJ42" s="2"/>
      <c r="CK42" s="2"/>
      <c r="CL42" s="2"/>
      <c r="CM42" s="2">
        <v>0</v>
      </c>
      <c r="CN42" s="2" t="s">
        <v>3</v>
      </c>
      <c r="CO42" s="2">
        <v>0</v>
      </c>
      <c r="CP42" s="2">
        <f t="shared" si="22"/>
        <v>0</v>
      </c>
      <c r="CQ42" s="2">
        <f>ROUND(AL42*BC42,2)</f>
        <v>0</v>
      </c>
      <c r="CR42" s="2">
        <f>ROUND(AM42*BB42,2)</f>
        <v>0</v>
      </c>
      <c r="CS42" s="2">
        <f>ROUND(AN42*BS42,2)</f>
        <v>0</v>
      </c>
      <c r="CT42" s="2">
        <f>ROUND(AO42*BA42,2)</f>
        <v>0</v>
      </c>
      <c r="CU42" s="2">
        <f t="shared" si="23"/>
        <v>0</v>
      </c>
      <c r="CV42" s="2">
        <f t="shared" si="38"/>
        <v>0</v>
      </c>
      <c r="CW42" s="2">
        <f t="shared" si="38"/>
        <v>0</v>
      </c>
      <c r="CX42" s="2">
        <f t="shared" si="24"/>
        <v>0</v>
      </c>
      <c r="CY42" s="2">
        <f t="shared" si="25"/>
        <v>0</v>
      </c>
      <c r="CZ42" s="2">
        <f t="shared" si="26"/>
        <v>0</v>
      </c>
      <c r="DA42" s="2"/>
      <c r="DB42" s="2"/>
      <c r="DC42" s="2" t="s">
        <v>3</v>
      </c>
      <c r="DD42" s="2" t="s">
        <v>3</v>
      </c>
      <c r="DE42" s="2" t="s">
        <v>3</v>
      </c>
      <c r="DF42" s="2" t="s">
        <v>3</v>
      </c>
      <c r="DG42" s="2" t="s">
        <v>3</v>
      </c>
      <c r="DH42" s="2" t="s">
        <v>3</v>
      </c>
      <c r="DI42" s="2" t="s">
        <v>3</v>
      </c>
      <c r="DJ42" s="2" t="s">
        <v>3</v>
      </c>
      <c r="DK42" s="2" t="s">
        <v>3</v>
      </c>
      <c r="DL42" s="2" t="s">
        <v>3</v>
      </c>
      <c r="DM42" s="2" t="s">
        <v>3</v>
      </c>
      <c r="DN42" s="2">
        <v>0</v>
      </c>
      <c r="DO42" s="2">
        <v>0</v>
      </c>
      <c r="DP42" s="2">
        <v>1</v>
      </c>
      <c r="DQ42" s="2">
        <v>1</v>
      </c>
      <c r="DR42" s="2"/>
      <c r="DS42" s="2"/>
      <c r="DT42" s="2"/>
      <c r="DU42" s="2">
        <v>1003</v>
      </c>
      <c r="DV42" s="2" t="s">
        <v>72</v>
      </c>
      <c r="DW42" s="2" t="s">
        <v>72</v>
      </c>
      <c r="DX42" s="2">
        <v>1</v>
      </c>
      <c r="DY42" s="2"/>
      <c r="DZ42" s="2" t="s">
        <v>3</v>
      </c>
      <c r="EA42" s="2" t="s">
        <v>3</v>
      </c>
      <c r="EB42" s="2" t="s">
        <v>3</v>
      </c>
      <c r="EC42" s="2" t="s">
        <v>3</v>
      </c>
      <c r="ED42" s="2"/>
      <c r="EE42" s="2">
        <v>80781888</v>
      </c>
      <c r="EF42" s="2">
        <v>2</v>
      </c>
      <c r="EG42" s="2" t="s">
        <v>36</v>
      </c>
      <c r="EH42" s="2">
        <v>16</v>
      </c>
      <c r="EI42" s="2" t="s">
        <v>37</v>
      </c>
      <c r="EJ42" s="2">
        <v>1</v>
      </c>
      <c r="EK42" s="2">
        <v>16001</v>
      </c>
      <c r="EL42" s="2" t="s">
        <v>38</v>
      </c>
      <c r="EM42" s="2" t="s">
        <v>39</v>
      </c>
      <c r="EN42" s="2"/>
      <c r="EO42" s="2" t="s">
        <v>3</v>
      </c>
      <c r="EP42" s="2"/>
      <c r="EQ42" s="2">
        <v>1024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>
        <v>0</v>
      </c>
      <c r="FR42" s="2">
        <v>0</v>
      </c>
      <c r="FS42" s="2">
        <v>0</v>
      </c>
      <c r="FT42" s="2"/>
      <c r="FU42" s="2"/>
      <c r="FV42" s="2"/>
      <c r="FW42" s="2"/>
      <c r="FX42" s="2">
        <v>121</v>
      </c>
      <c r="FY42" s="2">
        <v>72</v>
      </c>
      <c r="FZ42" s="2"/>
      <c r="GA42" s="2" t="s">
        <v>3</v>
      </c>
      <c r="GB42" s="2"/>
      <c r="GC42" s="2"/>
      <c r="GD42" s="2">
        <v>1</v>
      </c>
      <c r="GE42" s="2"/>
      <c r="GF42" s="2">
        <v>-507910143</v>
      </c>
      <c r="GG42" s="2">
        <v>2</v>
      </c>
      <c r="GH42" s="2">
        <v>1</v>
      </c>
      <c r="GI42" s="2">
        <v>-2</v>
      </c>
      <c r="GJ42" s="2">
        <v>0</v>
      </c>
      <c r="GK42" s="2">
        <v>0</v>
      </c>
      <c r="GL42" s="2">
        <f t="shared" si="27"/>
        <v>0</v>
      </c>
      <c r="GM42" s="2">
        <f t="shared" si="28"/>
        <v>0</v>
      </c>
      <c r="GN42" s="2">
        <f t="shared" si="29"/>
        <v>0</v>
      </c>
      <c r="GO42" s="2">
        <f t="shared" si="30"/>
        <v>0</v>
      </c>
      <c r="GP42" s="2">
        <f t="shared" si="31"/>
        <v>0</v>
      </c>
      <c r="GQ42" s="2"/>
      <c r="GR42" s="2">
        <v>0</v>
      </c>
      <c r="GS42" s="2">
        <v>3</v>
      </c>
      <c r="GT42" s="2">
        <v>0</v>
      </c>
      <c r="GU42" s="2" t="s">
        <v>3</v>
      </c>
      <c r="GV42" s="2">
        <f t="shared" si="35"/>
        <v>0</v>
      </c>
      <c r="GW42" s="2">
        <v>1</v>
      </c>
      <c r="GX42" s="2">
        <f t="shared" si="33"/>
        <v>0</v>
      </c>
      <c r="GY42" s="2"/>
      <c r="GZ42" s="2"/>
      <c r="HA42" s="2">
        <v>0</v>
      </c>
      <c r="HB42" s="2">
        <v>0</v>
      </c>
      <c r="HC42" s="2">
        <f t="shared" si="34"/>
        <v>0</v>
      </c>
      <c r="HD42" s="2"/>
      <c r="HE42" s="2" t="s">
        <v>3</v>
      </c>
      <c r="HF42" s="2" t="s">
        <v>3</v>
      </c>
      <c r="HG42" s="2"/>
      <c r="HH42" s="2"/>
      <c r="HI42" s="2"/>
      <c r="HJ42" s="2"/>
      <c r="HK42" s="2"/>
      <c r="HL42" s="2"/>
      <c r="HM42" s="2" t="s">
        <v>3</v>
      </c>
      <c r="HN42" s="2" t="s">
        <v>41</v>
      </c>
      <c r="HO42" s="2" t="s">
        <v>42</v>
      </c>
      <c r="HP42" s="2" t="s">
        <v>37</v>
      </c>
      <c r="HQ42" s="2" t="s">
        <v>37</v>
      </c>
      <c r="HR42" s="2"/>
      <c r="HS42" s="2">
        <v>0</v>
      </c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>
        <v>0</v>
      </c>
      <c r="IL42" s="2"/>
      <c r="IM42" s="2"/>
      <c r="IN42" s="2"/>
      <c r="IO42" s="2"/>
      <c r="IP42" s="2"/>
      <c r="IQ42" s="2"/>
      <c r="IR42" s="2"/>
      <c r="IS42" s="2"/>
      <c r="IT42" s="2"/>
      <c r="IU42" s="2"/>
    </row>
    <row r="43" spans="1:255" x14ac:dyDescent="0.2">
      <c r="A43" s="2">
        <v>18</v>
      </c>
      <c r="B43" s="2">
        <v>1</v>
      </c>
      <c r="C43" s="2">
        <v>54</v>
      </c>
      <c r="D43" s="2"/>
      <c r="E43" s="2" t="s">
        <v>3</v>
      </c>
      <c r="F43" s="2" t="s">
        <v>91</v>
      </c>
      <c r="G43" s="2" t="s">
        <v>92</v>
      </c>
      <c r="H43" s="2" t="s">
        <v>93</v>
      </c>
      <c r="I43" s="2">
        <f>I40*J43</f>
        <v>0</v>
      </c>
      <c r="J43" s="2">
        <v>0</v>
      </c>
      <c r="K43" s="2">
        <v>0</v>
      </c>
      <c r="L43" s="2"/>
      <c r="M43" s="2"/>
      <c r="N43" s="2"/>
      <c r="O43" s="2">
        <f t="shared" si="14"/>
        <v>0</v>
      </c>
      <c r="P43" s="2">
        <f>ROUND(CQ43*I43,2)</f>
        <v>0</v>
      </c>
      <c r="Q43" s="2">
        <f>ROUND(CR43*I43,2)</f>
        <v>0</v>
      </c>
      <c r="R43" s="2">
        <f>ROUND(CS43*I43,2)</f>
        <v>0</v>
      </c>
      <c r="S43" s="2">
        <f>ROUND(CT43*I43,2)</f>
        <v>0</v>
      </c>
      <c r="T43" s="2">
        <f t="shared" si="15"/>
        <v>0</v>
      </c>
      <c r="U43" s="2">
        <f>ROUND(CV43*I43,7)</f>
        <v>0</v>
      </c>
      <c r="V43" s="2">
        <f>ROUND(CW43*I43,7)</f>
        <v>0</v>
      </c>
      <c r="W43" s="2">
        <f t="shared" si="16"/>
        <v>0</v>
      </c>
      <c r="X43" s="2">
        <f t="shared" si="17"/>
        <v>0</v>
      </c>
      <c r="Y43" s="2">
        <f t="shared" si="18"/>
        <v>0</v>
      </c>
      <c r="Z43" s="2"/>
      <c r="AA43" s="2">
        <v>-1</v>
      </c>
      <c r="AB43" s="2">
        <f t="shared" si="19"/>
        <v>0</v>
      </c>
      <c r="AC43" s="2">
        <f>ROUND((ES43),6)</f>
        <v>0</v>
      </c>
      <c r="AD43" s="2">
        <f>ROUND((((ET43)-(EU43))+AE43),6)</f>
        <v>0</v>
      </c>
      <c r="AE43" s="2">
        <f t="shared" si="36"/>
        <v>0</v>
      </c>
      <c r="AF43" s="2">
        <f t="shared" si="36"/>
        <v>0</v>
      </c>
      <c r="AG43" s="2">
        <f t="shared" si="20"/>
        <v>0</v>
      </c>
      <c r="AH43" s="2">
        <f t="shared" si="37"/>
        <v>0</v>
      </c>
      <c r="AI43" s="2">
        <f t="shared" si="37"/>
        <v>0</v>
      </c>
      <c r="AJ43" s="2">
        <f t="shared" si="21"/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121</v>
      </c>
      <c r="AU43" s="2">
        <v>72</v>
      </c>
      <c r="AV43" s="2">
        <v>1</v>
      </c>
      <c r="AW43" s="2">
        <v>1</v>
      </c>
      <c r="AX43" s="2"/>
      <c r="AY43" s="2"/>
      <c r="AZ43" s="2">
        <v>1</v>
      </c>
      <c r="BA43" s="2">
        <v>1</v>
      </c>
      <c r="BB43" s="2">
        <v>1</v>
      </c>
      <c r="BC43" s="2">
        <v>1</v>
      </c>
      <c r="BD43" s="2" t="s">
        <v>3</v>
      </c>
      <c r="BE43" s="2" t="s">
        <v>3</v>
      </c>
      <c r="BF43" s="2" t="s">
        <v>3</v>
      </c>
      <c r="BG43" s="2" t="s">
        <v>3</v>
      </c>
      <c r="BH43" s="2">
        <v>3</v>
      </c>
      <c r="BI43" s="2">
        <v>1</v>
      </c>
      <c r="BJ43" s="2" t="s">
        <v>3</v>
      </c>
      <c r="BK43" s="2"/>
      <c r="BL43" s="2"/>
      <c r="BM43" s="2">
        <v>16001</v>
      </c>
      <c r="BN43" s="2">
        <v>0</v>
      </c>
      <c r="BO43" s="2" t="s">
        <v>3</v>
      </c>
      <c r="BP43" s="2">
        <v>0</v>
      </c>
      <c r="BQ43" s="2">
        <v>2</v>
      </c>
      <c r="BR43" s="2">
        <v>0</v>
      </c>
      <c r="BS43" s="2">
        <v>1</v>
      </c>
      <c r="BT43" s="2">
        <v>1</v>
      </c>
      <c r="BU43" s="2">
        <v>1</v>
      </c>
      <c r="BV43" s="2">
        <v>1</v>
      </c>
      <c r="BW43" s="2">
        <v>1</v>
      </c>
      <c r="BX43" s="2">
        <v>1</v>
      </c>
      <c r="BY43" s="2" t="s">
        <v>3</v>
      </c>
      <c r="BZ43" s="2">
        <v>121</v>
      </c>
      <c r="CA43" s="2">
        <v>72</v>
      </c>
      <c r="CB43" s="2" t="s">
        <v>3</v>
      </c>
      <c r="CC43" s="2"/>
      <c r="CD43" s="2"/>
      <c r="CE43" s="2">
        <v>0</v>
      </c>
      <c r="CF43" s="2">
        <v>0</v>
      </c>
      <c r="CG43" s="2">
        <v>0</v>
      </c>
      <c r="CH43" s="2"/>
      <c r="CI43" s="2"/>
      <c r="CJ43" s="2"/>
      <c r="CK43" s="2"/>
      <c r="CL43" s="2"/>
      <c r="CM43" s="2">
        <v>0</v>
      </c>
      <c r="CN43" s="2" t="s">
        <v>3</v>
      </c>
      <c r="CO43" s="2">
        <v>0</v>
      </c>
      <c r="CP43" s="2">
        <f t="shared" si="22"/>
        <v>0</v>
      </c>
      <c r="CQ43" s="2">
        <f>ROUND(AL43*BC43,2)</f>
        <v>0</v>
      </c>
      <c r="CR43" s="2">
        <f>ROUND(AM43*BB43,2)</f>
        <v>0</v>
      </c>
      <c r="CS43" s="2">
        <f>ROUND(AN43*BS43,2)</f>
        <v>0</v>
      </c>
      <c r="CT43" s="2">
        <f>ROUND(AO43*BA43,2)</f>
        <v>0</v>
      </c>
      <c r="CU43" s="2">
        <f t="shared" si="23"/>
        <v>0</v>
      </c>
      <c r="CV43" s="2">
        <f t="shared" si="38"/>
        <v>0</v>
      </c>
      <c r="CW43" s="2">
        <f t="shared" si="38"/>
        <v>0</v>
      </c>
      <c r="CX43" s="2">
        <f t="shared" si="24"/>
        <v>0</v>
      </c>
      <c r="CY43" s="2">
        <f t="shared" si="25"/>
        <v>0</v>
      </c>
      <c r="CZ43" s="2">
        <f t="shared" si="26"/>
        <v>0</v>
      </c>
      <c r="DA43" s="2"/>
      <c r="DB43" s="2"/>
      <c r="DC43" s="2" t="s">
        <v>3</v>
      </c>
      <c r="DD43" s="2" t="s">
        <v>3</v>
      </c>
      <c r="DE43" s="2" t="s">
        <v>3</v>
      </c>
      <c r="DF43" s="2" t="s">
        <v>3</v>
      </c>
      <c r="DG43" s="2" t="s">
        <v>3</v>
      </c>
      <c r="DH43" s="2" t="s">
        <v>3</v>
      </c>
      <c r="DI43" s="2" t="s">
        <v>3</v>
      </c>
      <c r="DJ43" s="2" t="s">
        <v>3</v>
      </c>
      <c r="DK43" s="2" t="s">
        <v>3</v>
      </c>
      <c r="DL43" s="2" t="s">
        <v>3</v>
      </c>
      <c r="DM43" s="2" t="s">
        <v>3</v>
      </c>
      <c r="DN43" s="2">
        <v>0</v>
      </c>
      <c r="DO43" s="2">
        <v>0</v>
      </c>
      <c r="DP43" s="2">
        <v>1</v>
      </c>
      <c r="DQ43" s="2">
        <v>1</v>
      </c>
      <c r="DR43" s="2"/>
      <c r="DS43" s="2"/>
      <c r="DT43" s="2"/>
      <c r="DU43" s="2">
        <v>1009</v>
      </c>
      <c r="DV43" s="2" t="s">
        <v>93</v>
      </c>
      <c r="DW43" s="2" t="s">
        <v>93</v>
      </c>
      <c r="DX43" s="2">
        <v>1</v>
      </c>
      <c r="DY43" s="2"/>
      <c r="DZ43" s="2" t="s">
        <v>3</v>
      </c>
      <c r="EA43" s="2" t="s">
        <v>3</v>
      </c>
      <c r="EB43" s="2" t="s">
        <v>3</v>
      </c>
      <c r="EC43" s="2" t="s">
        <v>3</v>
      </c>
      <c r="ED43" s="2"/>
      <c r="EE43" s="2">
        <v>80781888</v>
      </c>
      <c r="EF43" s="2">
        <v>2</v>
      </c>
      <c r="EG43" s="2" t="s">
        <v>36</v>
      </c>
      <c r="EH43" s="2">
        <v>16</v>
      </c>
      <c r="EI43" s="2" t="s">
        <v>37</v>
      </c>
      <c r="EJ43" s="2">
        <v>1</v>
      </c>
      <c r="EK43" s="2">
        <v>16001</v>
      </c>
      <c r="EL43" s="2" t="s">
        <v>38</v>
      </c>
      <c r="EM43" s="2" t="s">
        <v>39</v>
      </c>
      <c r="EN43" s="2"/>
      <c r="EO43" s="2" t="s">
        <v>3</v>
      </c>
      <c r="EP43" s="2"/>
      <c r="EQ43" s="2">
        <v>1024</v>
      </c>
      <c r="ER43" s="2">
        <v>0</v>
      </c>
      <c r="ES43" s="2">
        <v>0</v>
      </c>
      <c r="ET43" s="2">
        <v>0</v>
      </c>
      <c r="EU43" s="2">
        <v>0</v>
      </c>
      <c r="EV43" s="2">
        <v>0</v>
      </c>
      <c r="EW43" s="2">
        <v>0</v>
      </c>
      <c r="EX43" s="2">
        <v>0</v>
      </c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>
        <v>0</v>
      </c>
      <c r="FR43" s="2">
        <v>0</v>
      </c>
      <c r="FS43" s="2">
        <v>0</v>
      </c>
      <c r="FT43" s="2"/>
      <c r="FU43" s="2"/>
      <c r="FV43" s="2"/>
      <c r="FW43" s="2"/>
      <c r="FX43" s="2">
        <v>121</v>
      </c>
      <c r="FY43" s="2">
        <v>72</v>
      </c>
      <c r="FZ43" s="2"/>
      <c r="GA43" s="2" t="s">
        <v>3</v>
      </c>
      <c r="GB43" s="2"/>
      <c r="GC43" s="2"/>
      <c r="GD43" s="2">
        <v>1</v>
      </c>
      <c r="GE43" s="2"/>
      <c r="GF43" s="2">
        <v>1447119578</v>
      </c>
      <c r="GG43" s="2">
        <v>2</v>
      </c>
      <c r="GH43" s="2">
        <v>1</v>
      </c>
      <c r="GI43" s="2">
        <v>-2</v>
      </c>
      <c r="GJ43" s="2">
        <v>0</v>
      </c>
      <c r="GK43" s="2">
        <v>0</v>
      </c>
      <c r="GL43" s="2">
        <f t="shared" si="27"/>
        <v>0</v>
      </c>
      <c r="GM43" s="2">
        <f t="shared" si="28"/>
        <v>0</v>
      </c>
      <c r="GN43" s="2">
        <f t="shared" si="29"/>
        <v>0</v>
      </c>
      <c r="GO43" s="2">
        <f t="shared" si="30"/>
        <v>0</v>
      </c>
      <c r="GP43" s="2">
        <f t="shared" si="31"/>
        <v>0</v>
      </c>
      <c r="GQ43" s="2"/>
      <c r="GR43" s="2">
        <v>0</v>
      </c>
      <c r="GS43" s="2">
        <v>3</v>
      </c>
      <c r="GT43" s="2">
        <v>0</v>
      </c>
      <c r="GU43" s="2" t="s">
        <v>3</v>
      </c>
      <c r="GV43" s="2">
        <f t="shared" si="35"/>
        <v>0</v>
      </c>
      <c r="GW43" s="2">
        <v>1</v>
      </c>
      <c r="GX43" s="2">
        <f t="shared" si="33"/>
        <v>0</v>
      </c>
      <c r="GY43" s="2"/>
      <c r="GZ43" s="2"/>
      <c r="HA43" s="2">
        <v>0</v>
      </c>
      <c r="HB43" s="2">
        <v>0</v>
      </c>
      <c r="HC43" s="2">
        <f t="shared" si="34"/>
        <v>0</v>
      </c>
      <c r="HD43" s="2"/>
      <c r="HE43" s="2" t="s">
        <v>3</v>
      </c>
      <c r="HF43" s="2" t="s">
        <v>3</v>
      </c>
      <c r="HG43" s="2"/>
      <c r="HH43" s="2"/>
      <c r="HI43" s="2"/>
      <c r="HJ43" s="2"/>
      <c r="HK43" s="2"/>
      <c r="HL43" s="2"/>
      <c r="HM43" s="2" t="s">
        <v>3</v>
      </c>
      <c r="HN43" s="2" t="s">
        <v>41</v>
      </c>
      <c r="HO43" s="2" t="s">
        <v>42</v>
      </c>
      <c r="HP43" s="2" t="s">
        <v>37</v>
      </c>
      <c r="HQ43" s="2" t="s">
        <v>37</v>
      </c>
      <c r="HR43" s="2"/>
      <c r="HS43" s="2">
        <v>0</v>
      </c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>
        <v>0</v>
      </c>
      <c r="IL43" s="2"/>
      <c r="IM43" s="2"/>
      <c r="IN43" s="2"/>
      <c r="IO43" s="2"/>
      <c r="IP43" s="2"/>
      <c r="IQ43" s="2"/>
      <c r="IR43" s="2"/>
      <c r="IS43" s="2"/>
      <c r="IT43" s="2"/>
      <c r="IU43" s="2"/>
    </row>
    <row r="44" spans="1:255" ht="409.5" x14ac:dyDescent="0.2">
      <c r="A44" s="2">
        <v>17</v>
      </c>
      <c r="B44" s="2">
        <v>1</v>
      </c>
      <c r="C44" s="2">
        <f>ROW(SmtRes!A71)</f>
        <v>71</v>
      </c>
      <c r="D44" s="2">
        <f>ROW(EtalonRes!A68)</f>
        <v>68</v>
      </c>
      <c r="E44" s="2" t="s">
        <v>94</v>
      </c>
      <c r="F44" s="2" t="s">
        <v>95</v>
      </c>
      <c r="G44" s="2" t="s">
        <v>96</v>
      </c>
      <c r="H44" s="2" t="s">
        <v>17</v>
      </c>
      <c r="I44" s="2">
        <f>ROUND(15/100,7)</f>
        <v>0.15</v>
      </c>
      <c r="J44" s="2">
        <v>0</v>
      </c>
      <c r="K44" s="2">
        <f>ROUND(15/100,7)</f>
        <v>0.15</v>
      </c>
      <c r="L44" s="2"/>
      <c r="M44" s="2"/>
      <c r="N44" s="2"/>
      <c r="O44" s="2">
        <f t="shared" si="14"/>
        <v>10032.200000000001</v>
      </c>
      <c r="P44" s="2">
        <f>SUMIF(SmtRes!AQ55:'SmtRes'!AQ71,"=1",SmtRes!DF55:'SmtRes'!DF71)</f>
        <v>64.069999999999993</v>
      </c>
      <c r="Q44" s="2">
        <f>SUMIF(SmtRes!AQ55:'SmtRes'!AQ71,"=1",SmtRes!DG55:'SmtRes'!DG71)</f>
        <v>204.56</v>
      </c>
      <c r="R44" s="2">
        <f>SUMIF(SmtRes!AQ55:'SmtRes'!AQ71,"=1",SmtRes!DH55:'SmtRes'!DH71)</f>
        <v>208.23</v>
      </c>
      <c r="S44" s="2">
        <f>SUMIF(SmtRes!AQ55:'SmtRes'!AQ71,"=1",SmtRes!DI55:'SmtRes'!DI71)</f>
        <v>9555.34</v>
      </c>
      <c r="T44" s="2">
        <f t="shared" si="15"/>
        <v>0</v>
      </c>
      <c r="U44" s="2">
        <f>SUMIF(SmtRes!AQ55:'SmtRes'!AQ71,"=1",SmtRes!CV55:'SmtRes'!CV71)</f>
        <v>12.8779875</v>
      </c>
      <c r="V44" s="2">
        <f>SUMIF(SmtRes!AQ55:'SmtRes'!AQ71,"=1",SmtRes!CW55:'SmtRes'!CW71)</f>
        <v>0.26831260000000001</v>
      </c>
      <c r="W44" s="2">
        <f t="shared" si="16"/>
        <v>0</v>
      </c>
      <c r="X44" s="2">
        <f t="shared" si="17"/>
        <v>10632.53</v>
      </c>
      <c r="Y44" s="2">
        <f t="shared" si="18"/>
        <v>5975.3</v>
      </c>
      <c r="Z44" s="2"/>
      <c r="AA44" s="2">
        <v>82813384</v>
      </c>
      <c r="AB44" s="2">
        <f t="shared" si="19"/>
        <v>65334.474838000002</v>
      </c>
      <c r="AC44" s="2">
        <f>ROUND((SUM(SmtRes!BQ55:'SmtRes'!BQ71)),6)</f>
        <v>299.571395</v>
      </c>
      <c r="AD44" s="2">
        <f>ROUND((((SUM(SmtRes!BR55:'SmtRes'!BR71))-(SUM(SmtRes!BS55:'SmtRes'!BS71)))+AE44),6)</f>
        <v>1332.6504749999999</v>
      </c>
      <c r="AE44" s="2">
        <f>ROUND((SUM(SmtRes!BS55:'SmtRes'!BS71)),6)</f>
        <v>1388.1833999999999</v>
      </c>
      <c r="AF44" s="2">
        <f>ROUND((SUM(SmtRes!BT55:'SmtRes'!BT71)),6)</f>
        <v>63702.252968000001</v>
      </c>
      <c r="AG44" s="2">
        <f t="shared" si="20"/>
        <v>0</v>
      </c>
      <c r="AH44" s="2">
        <f>(SUM(SmtRes!BU55:'SmtRes'!BU71))</f>
        <v>85.853249999999989</v>
      </c>
      <c r="AI44" s="2">
        <f>(SUM(SmtRes!BV55:'SmtRes'!BV71))</f>
        <v>1.7887500000000003</v>
      </c>
      <c r="AJ44" s="2">
        <f t="shared" si="21"/>
        <v>0</v>
      </c>
      <c r="AK44" s="2">
        <v>42943.964395000003</v>
      </c>
      <c r="AL44" s="2">
        <v>299.571395</v>
      </c>
      <c r="AM44" s="2">
        <v>789.71879999999987</v>
      </c>
      <c r="AN44" s="2">
        <v>822.62720000000013</v>
      </c>
      <c r="AO44" s="2">
        <v>41032.046999999999</v>
      </c>
      <c r="AP44" s="2">
        <v>0</v>
      </c>
      <c r="AQ44" s="2">
        <v>55.3</v>
      </c>
      <c r="AR44" s="2">
        <v>1.06</v>
      </c>
      <c r="AS44" s="2">
        <v>0</v>
      </c>
      <c r="AT44" s="2">
        <v>108.9</v>
      </c>
      <c r="AU44" s="2">
        <v>61.2</v>
      </c>
      <c r="AV44" s="2">
        <v>1</v>
      </c>
      <c r="AW44" s="2">
        <v>1</v>
      </c>
      <c r="AX44" s="2"/>
      <c r="AY44" s="2"/>
      <c r="AZ44" s="2">
        <v>1</v>
      </c>
      <c r="BA44" s="2">
        <v>1</v>
      </c>
      <c r="BB44" s="2">
        <v>1</v>
      </c>
      <c r="BC44" s="2">
        <v>1</v>
      </c>
      <c r="BD44" s="2" t="s">
        <v>3</v>
      </c>
      <c r="BE44" s="2" t="s">
        <v>3</v>
      </c>
      <c r="BF44" s="2" t="s">
        <v>3</v>
      </c>
      <c r="BG44" s="2" t="s">
        <v>3</v>
      </c>
      <c r="BH44" s="2">
        <v>0</v>
      </c>
      <c r="BI44" s="2">
        <v>1</v>
      </c>
      <c r="BJ44" s="2" t="s">
        <v>97</v>
      </c>
      <c r="BK44" s="2"/>
      <c r="BL44" s="2"/>
      <c r="BM44" s="2">
        <v>16001</v>
      </c>
      <c r="BN44" s="2">
        <v>0</v>
      </c>
      <c r="BO44" s="2" t="s">
        <v>3</v>
      </c>
      <c r="BP44" s="2">
        <v>0</v>
      </c>
      <c r="BQ44" s="2">
        <v>2</v>
      </c>
      <c r="BR44" s="2">
        <v>0</v>
      </c>
      <c r="BS44" s="2">
        <v>1</v>
      </c>
      <c r="BT44" s="2">
        <v>1</v>
      </c>
      <c r="BU44" s="2">
        <v>1</v>
      </c>
      <c r="BV44" s="2">
        <v>1</v>
      </c>
      <c r="BW44" s="2">
        <v>1</v>
      </c>
      <c r="BX44" s="2">
        <v>1</v>
      </c>
      <c r="BY44" s="2" t="s">
        <v>3</v>
      </c>
      <c r="BZ44" s="2">
        <v>121</v>
      </c>
      <c r="CA44" s="2">
        <v>72</v>
      </c>
      <c r="CB44" s="2" t="s">
        <v>3</v>
      </c>
      <c r="CC44" s="2"/>
      <c r="CD44" s="2"/>
      <c r="CE44" s="2">
        <v>0</v>
      </c>
      <c r="CF44" s="2">
        <v>0</v>
      </c>
      <c r="CG44" s="2">
        <v>0</v>
      </c>
      <c r="CH44" s="2"/>
      <c r="CI44" s="2"/>
      <c r="CJ44" s="2"/>
      <c r="CK44" s="2"/>
      <c r="CL44" s="2"/>
      <c r="CM44" s="2">
        <v>0</v>
      </c>
      <c r="CN44" s="7" t="s">
        <v>427</v>
      </c>
      <c r="CO44" s="2">
        <v>0</v>
      </c>
      <c r="CP44" s="2">
        <f t="shared" si="22"/>
        <v>10032.199999999999</v>
      </c>
      <c r="CQ44" s="2">
        <f>SUMIF(SmtRes!AQ55:'SmtRes'!AQ71,"=1",SmtRes!AA55:'SmtRes'!AA71)</f>
        <v>116362.53999999998</v>
      </c>
      <c r="CR44" s="2">
        <f>SUMIF(SmtRes!AQ55:'SmtRes'!AQ71,"=1",SmtRes!AB55:'SmtRes'!AB71)</f>
        <v>3172.79</v>
      </c>
      <c r="CS44" s="2">
        <f>SUMIF(SmtRes!AQ55:'SmtRes'!AQ71,"=1",SmtRes!AC55:'SmtRes'!AC71)</f>
        <v>2695.16</v>
      </c>
      <c r="CT44" s="2">
        <f>SUMIF(SmtRes!AQ55:'SmtRes'!AQ71,"=1",SmtRes!AD55:'SmtRes'!AD71)</f>
        <v>741.99</v>
      </c>
      <c r="CU44" s="2">
        <f t="shared" si="23"/>
        <v>0</v>
      </c>
      <c r="CV44" s="2">
        <f>SUMIF(SmtRes!AQ55:'SmtRes'!AQ71,"=1",SmtRes!BU55:'SmtRes'!BU71)</f>
        <v>85.853249999999989</v>
      </c>
      <c r="CW44" s="2">
        <f>SUMIF(SmtRes!AQ55:'SmtRes'!AQ71,"=1",SmtRes!BV55:'SmtRes'!BV71)</f>
        <v>1.7887500000000003</v>
      </c>
      <c r="CX44" s="2">
        <f t="shared" si="24"/>
        <v>0</v>
      </c>
      <c r="CY44" s="2">
        <f t="shared" si="25"/>
        <v>10632.52773</v>
      </c>
      <c r="CZ44" s="2">
        <f t="shared" si="26"/>
        <v>5975.3048400000007</v>
      </c>
      <c r="DA44" s="2"/>
      <c r="DB44" s="2">
        <v>5</v>
      </c>
      <c r="DC44" s="2" t="s">
        <v>3</v>
      </c>
      <c r="DD44" s="2" t="s">
        <v>3</v>
      </c>
      <c r="DE44" s="2" t="s">
        <v>32</v>
      </c>
      <c r="DF44" s="2" t="s">
        <v>32</v>
      </c>
      <c r="DG44" s="2" t="s">
        <v>33</v>
      </c>
      <c r="DH44" s="2" t="s">
        <v>3</v>
      </c>
      <c r="DI44" s="2" t="s">
        <v>33</v>
      </c>
      <c r="DJ44" s="2" t="s">
        <v>32</v>
      </c>
      <c r="DK44" s="2" t="s">
        <v>3</v>
      </c>
      <c r="DL44" s="2" t="s">
        <v>34</v>
      </c>
      <c r="DM44" s="2" t="s">
        <v>35</v>
      </c>
      <c r="DN44" s="2">
        <v>0</v>
      </c>
      <c r="DO44" s="2">
        <v>0</v>
      </c>
      <c r="DP44" s="2">
        <v>1</v>
      </c>
      <c r="DQ44" s="2">
        <v>1</v>
      </c>
      <c r="DR44" s="2"/>
      <c r="DS44" s="2"/>
      <c r="DT44" s="2"/>
      <c r="DU44" s="2">
        <v>1003</v>
      </c>
      <c r="DV44" s="2" t="s">
        <v>17</v>
      </c>
      <c r="DW44" s="2" t="s">
        <v>17</v>
      </c>
      <c r="DX44" s="2">
        <v>100</v>
      </c>
      <c r="DY44" s="2"/>
      <c r="DZ44" s="2" t="s">
        <v>3</v>
      </c>
      <c r="EA44" s="2" t="s">
        <v>3</v>
      </c>
      <c r="EB44" s="2" t="s">
        <v>3</v>
      </c>
      <c r="EC44" s="2" t="s">
        <v>3</v>
      </c>
      <c r="ED44" s="2"/>
      <c r="EE44" s="2">
        <v>80781888</v>
      </c>
      <c r="EF44" s="2">
        <v>2</v>
      </c>
      <c r="EG44" s="2" t="s">
        <v>36</v>
      </c>
      <c r="EH44" s="2">
        <v>16</v>
      </c>
      <c r="EI44" s="2" t="s">
        <v>37</v>
      </c>
      <c r="EJ44" s="2">
        <v>1</v>
      </c>
      <c r="EK44" s="2">
        <v>16001</v>
      </c>
      <c r="EL44" s="2" t="s">
        <v>38</v>
      </c>
      <c r="EM44" s="2" t="s">
        <v>39</v>
      </c>
      <c r="EN44" s="2"/>
      <c r="EO44" s="2" t="s">
        <v>40</v>
      </c>
      <c r="EP44" s="2"/>
      <c r="EQ44" s="2">
        <v>0</v>
      </c>
      <c r="ER44" s="2">
        <v>0</v>
      </c>
      <c r="ES44" s="2">
        <v>0</v>
      </c>
      <c r="ET44" s="2">
        <v>0</v>
      </c>
      <c r="EU44" s="2">
        <v>0</v>
      </c>
      <c r="EV44" s="2">
        <v>0</v>
      </c>
      <c r="EW44" s="2">
        <v>55.3</v>
      </c>
      <c r="EX44" s="2">
        <v>1.06</v>
      </c>
      <c r="EY44" s="2">
        <v>0</v>
      </c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>
        <v>0</v>
      </c>
      <c r="FR44" s="2">
        <v>0</v>
      </c>
      <c r="FS44" s="2">
        <v>0</v>
      </c>
      <c r="FT44" s="2"/>
      <c r="FU44" s="2"/>
      <c r="FV44" s="2"/>
      <c r="FW44" s="2"/>
      <c r="FX44" s="2">
        <v>108.9</v>
      </c>
      <c r="FY44" s="2">
        <v>61.199999999999996</v>
      </c>
      <c r="FZ44" s="2"/>
      <c r="GA44" s="2" t="s">
        <v>3</v>
      </c>
      <c r="GB44" s="2"/>
      <c r="GC44" s="2"/>
      <c r="GD44" s="2">
        <v>1</v>
      </c>
      <c r="GE44" s="2"/>
      <c r="GF44" s="2">
        <v>-868227189</v>
      </c>
      <c r="GG44" s="2">
        <v>2</v>
      </c>
      <c r="GH44" s="2">
        <v>1</v>
      </c>
      <c r="GI44" s="2">
        <v>-2</v>
      </c>
      <c r="GJ44" s="2">
        <v>0</v>
      </c>
      <c r="GK44" s="2">
        <v>0</v>
      </c>
      <c r="GL44" s="2">
        <f t="shared" si="27"/>
        <v>0</v>
      </c>
      <c r="GM44" s="2">
        <f t="shared" si="28"/>
        <v>26640.03</v>
      </c>
      <c r="GN44" s="2">
        <f t="shared" si="29"/>
        <v>26640.03</v>
      </c>
      <c r="GO44" s="2">
        <f t="shared" si="30"/>
        <v>0</v>
      </c>
      <c r="GP44" s="2">
        <f t="shared" si="31"/>
        <v>0</v>
      </c>
      <c r="GQ44" s="2"/>
      <c r="GR44" s="2">
        <v>0</v>
      </c>
      <c r="GS44" s="2">
        <v>3</v>
      </c>
      <c r="GT44" s="2">
        <v>0</v>
      </c>
      <c r="GU44" s="2" t="s">
        <v>3</v>
      </c>
      <c r="GV44" s="2">
        <f t="shared" si="35"/>
        <v>0</v>
      </c>
      <c r="GW44" s="2">
        <v>1</v>
      </c>
      <c r="GX44" s="2">
        <f t="shared" si="33"/>
        <v>0</v>
      </c>
      <c r="GY44" s="2"/>
      <c r="GZ44" s="2"/>
      <c r="HA44" s="2">
        <v>0</v>
      </c>
      <c r="HB44" s="2">
        <v>0</v>
      </c>
      <c r="HC44" s="2">
        <f t="shared" si="34"/>
        <v>0</v>
      </c>
      <c r="HD44" s="2"/>
      <c r="HE44" s="2" t="s">
        <v>3</v>
      </c>
      <c r="HF44" s="2" t="s">
        <v>3</v>
      </c>
      <c r="HG44" s="2"/>
      <c r="HH44" s="2"/>
      <c r="HI44" s="2"/>
      <c r="HJ44" s="2"/>
      <c r="HK44" s="2"/>
      <c r="HL44" s="2"/>
      <c r="HM44" s="2" t="s">
        <v>3</v>
      </c>
      <c r="HN44" s="2" t="s">
        <v>41</v>
      </c>
      <c r="HO44" s="2" t="s">
        <v>42</v>
      </c>
      <c r="HP44" s="2" t="s">
        <v>37</v>
      </c>
      <c r="HQ44" s="2" t="s">
        <v>37</v>
      </c>
      <c r="HR44" s="2"/>
      <c r="HS44" s="2">
        <v>0</v>
      </c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>
        <v>0</v>
      </c>
      <c r="IL44" s="2"/>
      <c r="IM44" s="2"/>
      <c r="IN44" s="2"/>
      <c r="IO44" s="2"/>
      <c r="IP44" s="2"/>
      <c r="IQ44" s="2"/>
      <c r="IR44" s="2"/>
      <c r="IS44" s="2"/>
      <c r="IT44" s="2"/>
      <c r="IU44" s="2"/>
    </row>
    <row r="45" spans="1:255" x14ac:dyDescent="0.2">
      <c r="A45" s="2">
        <v>18</v>
      </c>
      <c r="B45" s="2">
        <v>1</v>
      </c>
      <c r="C45" s="2">
        <v>69</v>
      </c>
      <c r="D45" s="2"/>
      <c r="E45" s="2" t="s">
        <v>98</v>
      </c>
      <c r="F45" s="2" t="s">
        <v>99</v>
      </c>
      <c r="G45" s="2" t="s">
        <v>100</v>
      </c>
      <c r="H45" s="2" t="s">
        <v>72</v>
      </c>
      <c r="I45" s="2">
        <f>I44*J45</f>
        <v>15</v>
      </c>
      <c r="J45" s="2">
        <v>100</v>
      </c>
      <c r="K45" s="2">
        <v>100</v>
      </c>
      <c r="L45" s="2"/>
      <c r="M45" s="2"/>
      <c r="N45" s="2"/>
      <c r="O45" s="2">
        <f t="shared" si="14"/>
        <v>5219.1000000000004</v>
      </c>
      <c r="P45" s="2">
        <f>ROUND(CQ45*I45,2)</f>
        <v>5219.1000000000004</v>
      </c>
      <c r="Q45" s="2">
        <f>ROUND(CR45*I45,2)</f>
        <v>0</v>
      </c>
      <c r="R45" s="2">
        <f>ROUND(CS45*I45,2)</f>
        <v>0</v>
      </c>
      <c r="S45" s="2">
        <f>ROUND(CT45*I45,2)</f>
        <v>0</v>
      </c>
      <c r="T45" s="2">
        <f t="shared" si="15"/>
        <v>0</v>
      </c>
      <c r="U45" s="2">
        <f>ROUND(CV45*I45,7)</f>
        <v>0</v>
      </c>
      <c r="V45" s="2">
        <f>ROUND(CW45*I45,7)</f>
        <v>0</v>
      </c>
      <c r="W45" s="2">
        <f t="shared" si="16"/>
        <v>0</v>
      </c>
      <c r="X45" s="2">
        <f t="shared" si="17"/>
        <v>0</v>
      </c>
      <c r="Y45" s="2">
        <f t="shared" si="18"/>
        <v>0</v>
      </c>
      <c r="Z45" s="2"/>
      <c r="AA45" s="2">
        <v>82813384</v>
      </c>
      <c r="AB45" s="2">
        <f t="shared" si="19"/>
        <v>470.19</v>
      </c>
      <c r="AC45" s="2">
        <f>ROUND((ES45),6)</f>
        <v>470.19</v>
      </c>
      <c r="AD45" s="2">
        <f>ROUND((((ET45)-(EU45))+AE45),6)</f>
        <v>0</v>
      </c>
      <c r="AE45" s="2">
        <f t="shared" ref="AE45:AF49" si="39">ROUND((EU45),6)</f>
        <v>0</v>
      </c>
      <c r="AF45" s="2">
        <f t="shared" si="39"/>
        <v>0</v>
      </c>
      <c r="AG45" s="2">
        <f t="shared" si="20"/>
        <v>0</v>
      </c>
      <c r="AH45" s="2">
        <f t="shared" ref="AH45:AI49" si="40">(EW45)</f>
        <v>0</v>
      </c>
      <c r="AI45" s="2">
        <f t="shared" si="40"/>
        <v>0</v>
      </c>
      <c r="AJ45" s="2">
        <f t="shared" si="21"/>
        <v>0</v>
      </c>
      <c r="AK45" s="2">
        <v>470.19</v>
      </c>
      <c r="AL45" s="2">
        <v>470.19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121</v>
      </c>
      <c r="AU45" s="2">
        <v>72</v>
      </c>
      <c r="AV45" s="2">
        <v>1</v>
      </c>
      <c r="AW45" s="2">
        <v>1</v>
      </c>
      <c r="AX45" s="2"/>
      <c r="AY45" s="2"/>
      <c r="AZ45" s="2">
        <v>1</v>
      </c>
      <c r="BA45" s="2">
        <v>1</v>
      </c>
      <c r="BB45" s="2">
        <v>1</v>
      </c>
      <c r="BC45" s="2">
        <v>0.74</v>
      </c>
      <c r="BD45" s="2" t="s">
        <v>3</v>
      </c>
      <c r="BE45" s="2" t="s">
        <v>3</v>
      </c>
      <c r="BF45" s="2" t="s">
        <v>3</v>
      </c>
      <c r="BG45" s="2" t="s">
        <v>3</v>
      </c>
      <c r="BH45" s="2">
        <v>3</v>
      </c>
      <c r="BI45" s="2">
        <v>1</v>
      </c>
      <c r="BJ45" s="2" t="s">
        <v>101</v>
      </c>
      <c r="BK45" s="2"/>
      <c r="BL45" s="2"/>
      <c r="BM45" s="2">
        <v>16001</v>
      </c>
      <c r="BN45" s="2">
        <v>0</v>
      </c>
      <c r="BO45" s="2" t="s">
        <v>99</v>
      </c>
      <c r="BP45" s="2">
        <v>1</v>
      </c>
      <c r="BQ45" s="2">
        <v>2</v>
      </c>
      <c r="BR45" s="2">
        <v>0</v>
      </c>
      <c r="BS45" s="2">
        <v>1</v>
      </c>
      <c r="BT45" s="2">
        <v>1</v>
      </c>
      <c r="BU45" s="2">
        <v>1</v>
      </c>
      <c r="BV45" s="2">
        <v>1</v>
      </c>
      <c r="BW45" s="2">
        <v>1</v>
      </c>
      <c r="BX45" s="2">
        <v>1</v>
      </c>
      <c r="BY45" s="2" t="s">
        <v>3</v>
      </c>
      <c r="BZ45" s="2">
        <v>121</v>
      </c>
      <c r="CA45" s="2">
        <v>72</v>
      </c>
      <c r="CB45" s="2" t="s">
        <v>3</v>
      </c>
      <c r="CC45" s="2"/>
      <c r="CD45" s="2"/>
      <c r="CE45" s="2">
        <v>0</v>
      </c>
      <c r="CF45" s="2">
        <v>0</v>
      </c>
      <c r="CG45" s="2">
        <v>0</v>
      </c>
      <c r="CH45" s="2"/>
      <c r="CI45" s="2"/>
      <c r="CJ45" s="2"/>
      <c r="CK45" s="2"/>
      <c r="CL45" s="2"/>
      <c r="CM45" s="2">
        <v>0</v>
      </c>
      <c r="CN45" s="2" t="s">
        <v>3</v>
      </c>
      <c r="CO45" s="2">
        <v>0</v>
      </c>
      <c r="CP45" s="2">
        <f t="shared" si="22"/>
        <v>5219.1000000000004</v>
      </c>
      <c r="CQ45" s="2">
        <f>ROUND(AL45*BC45,2)</f>
        <v>347.94</v>
      </c>
      <c r="CR45" s="2">
        <f>ROUND(AM45*BB45,2)</f>
        <v>0</v>
      </c>
      <c r="CS45" s="2">
        <f>ROUND(AN45*BS45,2)</f>
        <v>0</v>
      </c>
      <c r="CT45" s="2">
        <f>ROUND(AO45*BA45,2)</f>
        <v>0</v>
      </c>
      <c r="CU45" s="2">
        <f t="shared" si="23"/>
        <v>0</v>
      </c>
      <c r="CV45" s="2">
        <f t="shared" ref="CV45:CW49" si="41">AH45</f>
        <v>0</v>
      </c>
      <c r="CW45" s="2">
        <f t="shared" si="41"/>
        <v>0</v>
      </c>
      <c r="CX45" s="2">
        <f t="shared" si="24"/>
        <v>0</v>
      </c>
      <c r="CY45" s="2">
        <f t="shared" si="25"/>
        <v>0</v>
      </c>
      <c r="CZ45" s="2">
        <f t="shared" si="26"/>
        <v>0</v>
      </c>
      <c r="DA45" s="2"/>
      <c r="DB45" s="2"/>
      <c r="DC45" s="2" t="s">
        <v>3</v>
      </c>
      <c r="DD45" s="2" t="s">
        <v>3</v>
      </c>
      <c r="DE45" s="2" t="s">
        <v>3</v>
      </c>
      <c r="DF45" s="2" t="s">
        <v>3</v>
      </c>
      <c r="DG45" s="2" t="s">
        <v>3</v>
      </c>
      <c r="DH45" s="2" t="s">
        <v>3</v>
      </c>
      <c r="DI45" s="2" t="s">
        <v>3</v>
      </c>
      <c r="DJ45" s="2" t="s">
        <v>3</v>
      </c>
      <c r="DK45" s="2" t="s">
        <v>3</v>
      </c>
      <c r="DL45" s="2" t="s">
        <v>3</v>
      </c>
      <c r="DM45" s="2" t="s">
        <v>3</v>
      </c>
      <c r="DN45" s="2">
        <v>0</v>
      </c>
      <c r="DO45" s="2">
        <v>0</v>
      </c>
      <c r="DP45" s="2">
        <v>1</v>
      </c>
      <c r="DQ45" s="2">
        <v>1</v>
      </c>
      <c r="DR45" s="2"/>
      <c r="DS45" s="2"/>
      <c r="DT45" s="2"/>
      <c r="DU45" s="2">
        <v>1003</v>
      </c>
      <c r="DV45" s="2" t="s">
        <v>72</v>
      </c>
      <c r="DW45" s="2" t="s">
        <v>72</v>
      </c>
      <c r="DX45" s="2">
        <v>1</v>
      </c>
      <c r="DY45" s="2"/>
      <c r="DZ45" s="2" t="s">
        <v>3</v>
      </c>
      <c r="EA45" s="2" t="s">
        <v>3</v>
      </c>
      <c r="EB45" s="2" t="s">
        <v>3</v>
      </c>
      <c r="EC45" s="2" t="s">
        <v>3</v>
      </c>
      <c r="ED45" s="2"/>
      <c r="EE45" s="2">
        <v>80781888</v>
      </c>
      <c r="EF45" s="2">
        <v>2</v>
      </c>
      <c r="EG45" s="2" t="s">
        <v>36</v>
      </c>
      <c r="EH45" s="2">
        <v>16</v>
      </c>
      <c r="EI45" s="2" t="s">
        <v>37</v>
      </c>
      <c r="EJ45" s="2">
        <v>1</v>
      </c>
      <c r="EK45" s="2">
        <v>16001</v>
      </c>
      <c r="EL45" s="2" t="s">
        <v>38</v>
      </c>
      <c r="EM45" s="2" t="s">
        <v>39</v>
      </c>
      <c r="EN45" s="2"/>
      <c r="EO45" s="2" t="s">
        <v>3</v>
      </c>
      <c r="EP45" s="2"/>
      <c r="EQ45" s="2">
        <v>0</v>
      </c>
      <c r="ER45" s="2">
        <v>470.19</v>
      </c>
      <c r="ES45" s="2">
        <v>470.19</v>
      </c>
      <c r="ET45" s="2">
        <v>0</v>
      </c>
      <c r="EU45" s="2">
        <v>0</v>
      </c>
      <c r="EV45" s="2">
        <v>0</v>
      </c>
      <c r="EW45" s="2">
        <v>0</v>
      </c>
      <c r="EX45" s="2">
        <v>0</v>
      </c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>
        <v>0</v>
      </c>
      <c r="FR45" s="2">
        <v>0</v>
      </c>
      <c r="FS45" s="2">
        <v>0</v>
      </c>
      <c r="FT45" s="2"/>
      <c r="FU45" s="2"/>
      <c r="FV45" s="2"/>
      <c r="FW45" s="2"/>
      <c r="FX45" s="2">
        <v>121</v>
      </c>
      <c r="FY45" s="2">
        <v>72</v>
      </c>
      <c r="FZ45" s="2"/>
      <c r="GA45" s="2" t="s">
        <v>3</v>
      </c>
      <c r="GB45" s="2"/>
      <c r="GC45" s="2"/>
      <c r="GD45" s="2">
        <v>1</v>
      </c>
      <c r="GE45" s="2"/>
      <c r="GF45" s="2">
        <v>437674143</v>
      </c>
      <c r="GG45" s="2">
        <v>2</v>
      </c>
      <c r="GH45" s="2">
        <v>1</v>
      </c>
      <c r="GI45" s="2">
        <v>2</v>
      </c>
      <c r="GJ45" s="2">
        <v>0</v>
      </c>
      <c r="GK45" s="2">
        <v>0</v>
      </c>
      <c r="GL45" s="2">
        <f t="shared" si="27"/>
        <v>0</v>
      </c>
      <c r="GM45" s="2">
        <f t="shared" si="28"/>
        <v>5219.1000000000004</v>
      </c>
      <c r="GN45" s="2">
        <f t="shared" si="29"/>
        <v>5219.1000000000004</v>
      </c>
      <c r="GO45" s="2">
        <f t="shared" si="30"/>
        <v>0</v>
      </c>
      <c r="GP45" s="2">
        <f t="shared" si="31"/>
        <v>0</v>
      </c>
      <c r="GQ45" s="2"/>
      <c r="GR45" s="2">
        <v>0</v>
      </c>
      <c r="GS45" s="2">
        <v>3</v>
      </c>
      <c r="GT45" s="2">
        <v>0</v>
      </c>
      <c r="GU45" s="2" t="s">
        <v>3</v>
      </c>
      <c r="GV45" s="2">
        <f t="shared" si="35"/>
        <v>0</v>
      </c>
      <c r="GW45" s="2">
        <v>1</v>
      </c>
      <c r="GX45" s="2">
        <f t="shared" si="33"/>
        <v>0</v>
      </c>
      <c r="GY45" s="2"/>
      <c r="GZ45" s="2"/>
      <c r="HA45" s="2">
        <v>0</v>
      </c>
      <c r="HB45" s="2">
        <v>0</v>
      </c>
      <c r="HC45" s="2">
        <f t="shared" si="34"/>
        <v>0</v>
      </c>
      <c r="HD45" s="2"/>
      <c r="HE45" s="2" t="s">
        <v>3</v>
      </c>
      <c r="HF45" s="2" t="s">
        <v>3</v>
      </c>
      <c r="HG45" s="2"/>
      <c r="HH45" s="2"/>
      <c r="HI45" s="2"/>
      <c r="HJ45" s="2"/>
      <c r="HK45" s="2"/>
      <c r="HL45" s="2"/>
      <c r="HM45" s="2" t="s">
        <v>3</v>
      </c>
      <c r="HN45" s="2" t="s">
        <v>41</v>
      </c>
      <c r="HO45" s="2" t="s">
        <v>42</v>
      </c>
      <c r="HP45" s="2" t="s">
        <v>37</v>
      </c>
      <c r="HQ45" s="2" t="s">
        <v>37</v>
      </c>
      <c r="HR45" s="2"/>
      <c r="HS45" s="2">
        <v>0</v>
      </c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>
        <v>0</v>
      </c>
      <c r="IL45" s="2"/>
      <c r="IM45" s="2"/>
      <c r="IN45" s="2"/>
      <c r="IO45" s="2"/>
      <c r="IP45" s="2"/>
      <c r="IQ45" s="2"/>
      <c r="IR45" s="2"/>
      <c r="IS45" s="2"/>
      <c r="IT45" s="2"/>
      <c r="IU45" s="2"/>
    </row>
    <row r="46" spans="1:255" x14ac:dyDescent="0.2">
      <c r="A46" s="2">
        <v>18</v>
      </c>
      <c r="B46" s="2">
        <v>1</v>
      </c>
      <c r="C46" s="2">
        <v>71</v>
      </c>
      <c r="D46" s="2"/>
      <c r="E46" s="2" t="s">
        <v>102</v>
      </c>
      <c r="F46" s="2" t="s">
        <v>103</v>
      </c>
      <c r="G46" s="2" t="s">
        <v>104</v>
      </c>
      <c r="H46" s="2" t="s">
        <v>30</v>
      </c>
      <c r="I46" s="2">
        <f>I44*J46</f>
        <v>10</v>
      </c>
      <c r="J46" s="2">
        <v>66.666666666666671</v>
      </c>
      <c r="K46" s="2">
        <v>66.666666699999993</v>
      </c>
      <c r="L46" s="2"/>
      <c r="M46" s="2"/>
      <c r="N46" s="2"/>
      <c r="O46" s="2">
        <f t="shared" si="14"/>
        <v>850.2</v>
      </c>
      <c r="P46" s="2">
        <f>ROUND(CQ46*I46,2)</f>
        <v>850.2</v>
      </c>
      <c r="Q46" s="2">
        <f>ROUND(CR46*I46,2)</f>
        <v>0</v>
      </c>
      <c r="R46" s="2">
        <f>ROUND(CS46*I46,2)</f>
        <v>0</v>
      </c>
      <c r="S46" s="2">
        <f>ROUND(CT46*I46,2)</f>
        <v>0</v>
      </c>
      <c r="T46" s="2">
        <f t="shared" si="15"/>
        <v>0</v>
      </c>
      <c r="U46" s="2">
        <f>ROUND(CV46*I46,7)</f>
        <v>0</v>
      </c>
      <c r="V46" s="2">
        <f>ROUND(CW46*I46,7)</f>
        <v>0</v>
      </c>
      <c r="W46" s="2">
        <f t="shared" si="16"/>
        <v>0</v>
      </c>
      <c r="X46" s="2">
        <f t="shared" si="17"/>
        <v>0</v>
      </c>
      <c r="Y46" s="2">
        <f t="shared" si="18"/>
        <v>0</v>
      </c>
      <c r="Z46" s="2"/>
      <c r="AA46" s="2">
        <v>82813384</v>
      </c>
      <c r="AB46" s="2">
        <f t="shared" si="19"/>
        <v>75.239999999999995</v>
      </c>
      <c r="AC46" s="2">
        <f>ROUND((ES46),6)</f>
        <v>75.239999999999995</v>
      </c>
      <c r="AD46" s="2">
        <f>ROUND((((ET46)-(EU46))+AE46),6)</f>
        <v>0</v>
      </c>
      <c r="AE46" s="2">
        <f t="shared" si="39"/>
        <v>0</v>
      </c>
      <c r="AF46" s="2">
        <f t="shared" si="39"/>
        <v>0</v>
      </c>
      <c r="AG46" s="2">
        <f t="shared" si="20"/>
        <v>0</v>
      </c>
      <c r="AH46" s="2">
        <f t="shared" si="40"/>
        <v>0</v>
      </c>
      <c r="AI46" s="2">
        <f t="shared" si="40"/>
        <v>0</v>
      </c>
      <c r="AJ46" s="2">
        <f t="shared" si="21"/>
        <v>0</v>
      </c>
      <c r="AK46" s="2">
        <v>75.239999999999995</v>
      </c>
      <c r="AL46" s="2">
        <v>75.239999999999995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121</v>
      </c>
      <c r="AU46" s="2">
        <v>72</v>
      </c>
      <c r="AV46" s="2">
        <v>1</v>
      </c>
      <c r="AW46" s="2">
        <v>1</v>
      </c>
      <c r="AX46" s="2"/>
      <c r="AY46" s="2"/>
      <c r="AZ46" s="2">
        <v>1</v>
      </c>
      <c r="BA46" s="2">
        <v>1</v>
      </c>
      <c r="BB46" s="2">
        <v>1</v>
      </c>
      <c r="BC46" s="2">
        <v>1.1299999999999999</v>
      </c>
      <c r="BD46" s="2" t="s">
        <v>3</v>
      </c>
      <c r="BE46" s="2" t="s">
        <v>3</v>
      </c>
      <c r="BF46" s="2" t="s">
        <v>3</v>
      </c>
      <c r="BG46" s="2" t="s">
        <v>3</v>
      </c>
      <c r="BH46" s="2">
        <v>3</v>
      </c>
      <c r="BI46" s="2">
        <v>1</v>
      </c>
      <c r="BJ46" s="2" t="s">
        <v>105</v>
      </c>
      <c r="BK46" s="2"/>
      <c r="BL46" s="2"/>
      <c r="BM46" s="2">
        <v>16001</v>
      </c>
      <c r="BN46" s="2">
        <v>0</v>
      </c>
      <c r="BO46" s="2" t="s">
        <v>103</v>
      </c>
      <c r="BP46" s="2">
        <v>1</v>
      </c>
      <c r="BQ46" s="2">
        <v>2</v>
      </c>
      <c r="BR46" s="2">
        <v>0</v>
      </c>
      <c r="BS46" s="2">
        <v>1</v>
      </c>
      <c r="BT46" s="2">
        <v>1</v>
      </c>
      <c r="BU46" s="2">
        <v>1</v>
      </c>
      <c r="BV46" s="2">
        <v>1</v>
      </c>
      <c r="BW46" s="2">
        <v>1</v>
      </c>
      <c r="BX46" s="2">
        <v>1</v>
      </c>
      <c r="BY46" s="2" t="s">
        <v>3</v>
      </c>
      <c r="BZ46" s="2">
        <v>121</v>
      </c>
      <c r="CA46" s="2">
        <v>72</v>
      </c>
      <c r="CB46" s="2" t="s">
        <v>3</v>
      </c>
      <c r="CC46" s="2"/>
      <c r="CD46" s="2"/>
      <c r="CE46" s="2">
        <v>0</v>
      </c>
      <c r="CF46" s="2">
        <v>0</v>
      </c>
      <c r="CG46" s="2">
        <v>0</v>
      </c>
      <c r="CH46" s="2"/>
      <c r="CI46" s="2"/>
      <c r="CJ46" s="2"/>
      <c r="CK46" s="2"/>
      <c r="CL46" s="2"/>
      <c r="CM46" s="2">
        <v>0</v>
      </c>
      <c r="CN46" s="2" t="s">
        <v>3</v>
      </c>
      <c r="CO46" s="2">
        <v>0</v>
      </c>
      <c r="CP46" s="2">
        <f t="shared" si="22"/>
        <v>850.2</v>
      </c>
      <c r="CQ46" s="2">
        <f>ROUND(AL46*BC46,2)</f>
        <v>85.02</v>
      </c>
      <c r="CR46" s="2">
        <f>ROUND(AM46*BB46,2)</f>
        <v>0</v>
      </c>
      <c r="CS46" s="2">
        <f>ROUND(AN46*BS46,2)</f>
        <v>0</v>
      </c>
      <c r="CT46" s="2">
        <f>ROUND(AO46*BA46,2)</f>
        <v>0</v>
      </c>
      <c r="CU46" s="2">
        <f t="shared" si="23"/>
        <v>0</v>
      </c>
      <c r="CV46" s="2">
        <f t="shared" si="41"/>
        <v>0</v>
      </c>
      <c r="CW46" s="2">
        <f t="shared" si="41"/>
        <v>0</v>
      </c>
      <c r="CX46" s="2">
        <f t="shared" si="24"/>
        <v>0</v>
      </c>
      <c r="CY46" s="2">
        <f t="shared" si="25"/>
        <v>0</v>
      </c>
      <c r="CZ46" s="2">
        <f t="shared" si="26"/>
        <v>0</v>
      </c>
      <c r="DA46" s="2"/>
      <c r="DB46" s="2"/>
      <c r="DC46" s="2" t="s">
        <v>3</v>
      </c>
      <c r="DD46" s="2" t="s">
        <v>3</v>
      </c>
      <c r="DE46" s="2" t="s">
        <v>3</v>
      </c>
      <c r="DF46" s="2" t="s">
        <v>3</v>
      </c>
      <c r="DG46" s="2" t="s">
        <v>3</v>
      </c>
      <c r="DH46" s="2" t="s">
        <v>3</v>
      </c>
      <c r="DI46" s="2" t="s">
        <v>3</v>
      </c>
      <c r="DJ46" s="2" t="s">
        <v>3</v>
      </c>
      <c r="DK46" s="2" t="s">
        <v>3</v>
      </c>
      <c r="DL46" s="2" t="s">
        <v>3</v>
      </c>
      <c r="DM46" s="2" t="s">
        <v>3</v>
      </c>
      <c r="DN46" s="2">
        <v>0</v>
      </c>
      <c r="DO46" s="2">
        <v>0</v>
      </c>
      <c r="DP46" s="2">
        <v>1</v>
      </c>
      <c r="DQ46" s="2">
        <v>1</v>
      </c>
      <c r="DR46" s="2"/>
      <c r="DS46" s="2"/>
      <c r="DT46" s="2"/>
      <c r="DU46" s="2">
        <v>1013</v>
      </c>
      <c r="DV46" s="2" t="s">
        <v>30</v>
      </c>
      <c r="DW46" s="2" t="s">
        <v>30</v>
      </c>
      <c r="DX46" s="2">
        <v>1</v>
      </c>
      <c r="DY46" s="2"/>
      <c r="DZ46" s="2" t="s">
        <v>3</v>
      </c>
      <c r="EA46" s="2" t="s">
        <v>3</v>
      </c>
      <c r="EB46" s="2" t="s">
        <v>3</v>
      </c>
      <c r="EC46" s="2" t="s">
        <v>3</v>
      </c>
      <c r="ED46" s="2"/>
      <c r="EE46" s="2">
        <v>80781888</v>
      </c>
      <c r="EF46" s="2">
        <v>2</v>
      </c>
      <c r="EG46" s="2" t="s">
        <v>36</v>
      </c>
      <c r="EH46" s="2">
        <v>16</v>
      </c>
      <c r="EI46" s="2" t="s">
        <v>37</v>
      </c>
      <c r="EJ46" s="2">
        <v>1</v>
      </c>
      <c r="EK46" s="2">
        <v>16001</v>
      </c>
      <c r="EL46" s="2" t="s">
        <v>38</v>
      </c>
      <c r="EM46" s="2" t="s">
        <v>39</v>
      </c>
      <c r="EN46" s="2"/>
      <c r="EO46" s="2" t="s">
        <v>3</v>
      </c>
      <c r="EP46" s="2"/>
      <c r="EQ46" s="2">
        <v>0</v>
      </c>
      <c r="ER46" s="2">
        <v>75.239999999999995</v>
      </c>
      <c r="ES46" s="2">
        <v>75.239999999999995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>
        <v>0</v>
      </c>
      <c r="FR46" s="2">
        <v>0</v>
      </c>
      <c r="FS46" s="2">
        <v>0</v>
      </c>
      <c r="FT46" s="2"/>
      <c r="FU46" s="2"/>
      <c r="FV46" s="2"/>
      <c r="FW46" s="2"/>
      <c r="FX46" s="2">
        <v>121</v>
      </c>
      <c r="FY46" s="2">
        <v>72</v>
      </c>
      <c r="FZ46" s="2"/>
      <c r="GA46" s="2" t="s">
        <v>3</v>
      </c>
      <c r="GB46" s="2"/>
      <c r="GC46" s="2"/>
      <c r="GD46" s="2">
        <v>1</v>
      </c>
      <c r="GE46" s="2"/>
      <c r="GF46" s="2">
        <v>129030813</v>
      </c>
      <c r="GG46" s="2">
        <v>2</v>
      </c>
      <c r="GH46" s="2">
        <v>1</v>
      </c>
      <c r="GI46" s="2">
        <v>2</v>
      </c>
      <c r="GJ46" s="2">
        <v>0</v>
      </c>
      <c r="GK46" s="2">
        <v>0</v>
      </c>
      <c r="GL46" s="2">
        <f t="shared" si="27"/>
        <v>0</v>
      </c>
      <c r="GM46" s="2">
        <f t="shared" si="28"/>
        <v>850.2</v>
      </c>
      <c r="GN46" s="2">
        <f t="shared" si="29"/>
        <v>850.2</v>
      </c>
      <c r="GO46" s="2">
        <f t="shared" si="30"/>
        <v>0</v>
      </c>
      <c r="GP46" s="2">
        <f t="shared" si="31"/>
        <v>0</v>
      </c>
      <c r="GQ46" s="2"/>
      <c r="GR46" s="2">
        <v>0</v>
      </c>
      <c r="GS46" s="2">
        <v>3</v>
      </c>
      <c r="GT46" s="2">
        <v>0</v>
      </c>
      <c r="GU46" s="2" t="s">
        <v>3</v>
      </c>
      <c r="GV46" s="2">
        <f t="shared" si="35"/>
        <v>0</v>
      </c>
      <c r="GW46" s="2">
        <v>1</v>
      </c>
      <c r="GX46" s="2">
        <f t="shared" si="33"/>
        <v>0</v>
      </c>
      <c r="GY46" s="2"/>
      <c r="GZ46" s="2"/>
      <c r="HA46" s="2">
        <v>0</v>
      </c>
      <c r="HB46" s="2">
        <v>0</v>
      </c>
      <c r="HC46" s="2">
        <f t="shared" si="34"/>
        <v>0</v>
      </c>
      <c r="HD46" s="2"/>
      <c r="HE46" s="2" t="s">
        <v>3</v>
      </c>
      <c r="HF46" s="2" t="s">
        <v>3</v>
      </c>
      <c r="HG46" s="2"/>
      <c r="HH46" s="2"/>
      <c r="HI46" s="2"/>
      <c r="HJ46" s="2"/>
      <c r="HK46" s="2"/>
      <c r="HL46" s="2"/>
      <c r="HM46" s="2" t="s">
        <v>3</v>
      </c>
      <c r="HN46" s="2" t="s">
        <v>41</v>
      </c>
      <c r="HO46" s="2" t="s">
        <v>42</v>
      </c>
      <c r="HP46" s="2" t="s">
        <v>37</v>
      </c>
      <c r="HQ46" s="2" t="s">
        <v>37</v>
      </c>
      <c r="HR46" s="2"/>
      <c r="HS46" s="2">
        <v>0</v>
      </c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>
        <v>0</v>
      </c>
      <c r="IL46" s="2"/>
      <c r="IM46" s="2"/>
      <c r="IN46" s="2"/>
      <c r="IO46" s="2"/>
      <c r="IP46" s="2"/>
      <c r="IQ46" s="2"/>
      <c r="IR46" s="2"/>
      <c r="IS46" s="2"/>
      <c r="IT46" s="2"/>
      <c r="IU46" s="2"/>
    </row>
    <row r="47" spans="1:255" x14ac:dyDescent="0.2">
      <c r="A47" s="2">
        <v>18</v>
      </c>
      <c r="B47" s="2">
        <v>1</v>
      </c>
      <c r="C47" s="2">
        <v>67</v>
      </c>
      <c r="D47" s="2"/>
      <c r="E47" s="2" t="s">
        <v>106</v>
      </c>
      <c r="F47" s="2" t="s">
        <v>107</v>
      </c>
      <c r="G47" s="2" t="s">
        <v>108</v>
      </c>
      <c r="H47" s="2" t="s">
        <v>109</v>
      </c>
      <c r="I47" s="2">
        <f>I44*J47</f>
        <v>0.05</v>
      </c>
      <c r="J47" s="2">
        <v>0.33333333333333337</v>
      </c>
      <c r="K47" s="2">
        <v>0.3333333</v>
      </c>
      <c r="L47" s="2"/>
      <c r="M47" s="2"/>
      <c r="N47" s="2"/>
      <c r="O47" s="2">
        <f t="shared" si="14"/>
        <v>49.4</v>
      </c>
      <c r="P47" s="2">
        <f>ROUND(CQ47*I47,2)</f>
        <v>49.4</v>
      </c>
      <c r="Q47" s="2">
        <f>ROUND(CR47*I47,2)</f>
        <v>0</v>
      </c>
      <c r="R47" s="2">
        <f>ROUND(CS47*I47,2)</f>
        <v>0</v>
      </c>
      <c r="S47" s="2">
        <f>ROUND(CT47*I47,2)</f>
        <v>0</v>
      </c>
      <c r="T47" s="2">
        <f t="shared" si="15"/>
        <v>0</v>
      </c>
      <c r="U47" s="2">
        <f>ROUND(CV47*I47,7)</f>
        <v>0</v>
      </c>
      <c r="V47" s="2">
        <f>ROUND(CW47*I47,7)</f>
        <v>0</v>
      </c>
      <c r="W47" s="2">
        <f t="shared" si="16"/>
        <v>0</v>
      </c>
      <c r="X47" s="2">
        <f t="shared" si="17"/>
        <v>0</v>
      </c>
      <c r="Y47" s="2">
        <f t="shared" si="18"/>
        <v>0</v>
      </c>
      <c r="Z47" s="2"/>
      <c r="AA47" s="2">
        <v>82813384</v>
      </c>
      <c r="AB47" s="2">
        <f t="shared" si="19"/>
        <v>658.66</v>
      </c>
      <c r="AC47" s="2">
        <f>ROUND((ES47),6)</f>
        <v>658.66</v>
      </c>
      <c r="AD47" s="2">
        <f>ROUND((((ET47)-(EU47))+AE47),6)</f>
        <v>0</v>
      </c>
      <c r="AE47" s="2">
        <f t="shared" si="39"/>
        <v>0</v>
      </c>
      <c r="AF47" s="2">
        <f t="shared" si="39"/>
        <v>0</v>
      </c>
      <c r="AG47" s="2">
        <f t="shared" si="20"/>
        <v>0</v>
      </c>
      <c r="AH47" s="2">
        <f t="shared" si="40"/>
        <v>0</v>
      </c>
      <c r="AI47" s="2">
        <f t="shared" si="40"/>
        <v>0</v>
      </c>
      <c r="AJ47" s="2">
        <f t="shared" si="21"/>
        <v>0</v>
      </c>
      <c r="AK47" s="2">
        <v>658.66</v>
      </c>
      <c r="AL47" s="2">
        <v>658.66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121</v>
      </c>
      <c r="AU47" s="2">
        <v>72</v>
      </c>
      <c r="AV47" s="2">
        <v>1</v>
      </c>
      <c r="AW47" s="2">
        <v>1</v>
      </c>
      <c r="AX47" s="2"/>
      <c r="AY47" s="2"/>
      <c r="AZ47" s="2">
        <v>1</v>
      </c>
      <c r="BA47" s="2">
        <v>1</v>
      </c>
      <c r="BB47" s="2">
        <v>1</v>
      </c>
      <c r="BC47" s="2">
        <v>1.5</v>
      </c>
      <c r="BD47" s="2" t="s">
        <v>3</v>
      </c>
      <c r="BE47" s="2" t="s">
        <v>3</v>
      </c>
      <c r="BF47" s="2" t="s">
        <v>3</v>
      </c>
      <c r="BG47" s="2" t="s">
        <v>3</v>
      </c>
      <c r="BH47" s="2">
        <v>3</v>
      </c>
      <c r="BI47" s="2">
        <v>1</v>
      </c>
      <c r="BJ47" s="2" t="s">
        <v>110</v>
      </c>
      <c r="BK47" s="2"/>
      <c r="BL47" s="2"/>
      <c r="BM47" s="2">
        <v>16001</v>
      </c>
      <c r="BN47" s="2">
        <v>0</v>
      </c>
      <c r="BO47" s="2" t="s">
        <v>107</v>
      </c>
      <c r="BP47" s="2">
        <v>1</v>
      </c>
      <c r="BQ47" s="2">
        <v>2</v>
      </c>
      <c r="BR47" s="2">
        <v>0</v>
      </c>
      <c r="BS47" s="2">
        <v>1</v>
      </c>
      <c r="BT47" s="2">
        <v>1</v>
      </c>
      <c r="BU47" s="2">
        <v>1</v>
      </c>
      <c r="BV47" s="2">
        <v>1</v>
      </c>
      <c r="BW47" s="2">
        <v>1</v>
      </c>
      <c r="BX47" s="2">
        <v>1</v>
      </c>
      <c r="BY47" s="2" t="s">
        <v>3</v>
      </c>
      <c r="BZ47" s="2">
        <v>121</v>
      </c>
      <c r="CA47" s="2">
        <v>72</v>
      </c>
      <c r="CB47" s="2" t="s">
        <v>3</v>
      </c>
      <c r="CC47" s="2"/>
      <c r="CD47" s="2"/>
      <c r="CE47" s="2">
        <v>0</v>
      </c>
      <c r="CF47" s="2">
        <v>0</v>
      </c>
      <c r="CG47" s="2">
        <v>0</v>
      </c>
      <c r="CH47" s="2"/>
      <c r="CI47" s="2"/>
      <c r="CJ47" s="2"/>
      <c r="CK47" s="2"/>
      <c r="CL47" s="2"/>
      <c r="CM47" s="2">
        <v>0</v>
      </c>
      <c r="CN47" s="2" t="s">
        <v>3</v>
      </c>
      <c r="CO47" s="2">
        <v>0</v>
      </c>
      <c r="CP47" s="2">
        <f t="shared" si="22"/>
        <v>49.4</v>
      </c>
      <c r="CQ47" s="2">
        <f>ROUND(AL47*BC47,2)</f>
        <v>987.99</v>
      </c>
      <c r="CR47" s="2">
        <f>ROUND(AM47*BB47,2)</f>
        <v>0</v>
      </c>
      <c r="CS47" s="2">
        <f>ROUND(AN47*BS47,2)</f>
        <v>0</v>
      </c>
      <c r="CT47" s="2">
        <f>ROUND(AO47*BA47,2)</f>
        <v>0</v>
      </c>
      <c r="CU47" s="2">
        <f t="shared" si="23"/>
        <v>0</v>
      </c>
      <c r="CV47" s="2">
        <f t="shared" si="41"/>
        <v>0</v>
      </c>
      <c r="CW47" s="2">
        <f t="shared" si="41"/>
        <v>0</v>
      </c>
      <c r="CX47" s="2">
        <f t="shared" si="24"/>
        <v>0</v>
      </c>
      <c r="CY47" s="2">
        <f t="shared" si="25"/>
        <v>0</v>
      </c>
      <c r="CZ47" s="2">
        <f t="shared" si="26"/>
        <v>0</v>
      </c>
      <c r="DA47" s="2"/>
      <c r="DB47" s="2"/>
      <c r="DC47" s="2" t="s">
        <v>3</v>
      </c>
      <c r="DD47" s="2" t="s">
        <v>3</v>
      </c>
      <c r="DE47" s="2" t="s">
        <v>3</v>
      </c>
      <c r="DF47" s="2" t="s">
        <v>3</v>
      </c>
      <c r="DG47" s="2" t="s">
        <v>3</v>
      </c>
      <c r="DH47" s="2" t="s">
        <v>3</v>
      </c>
      <c r="DI47" s="2" t="s">
        <v>3</v>
      </c>
      <c r="DJ47" s="2" t="s">
        <v>3</v>
      </c>
      <c r="DK47" s="2" t="s">
        <v>3</v>
      </c>
      <c r="DL47" s="2" t="s">
        <v>3</v>
      </c>
      <c r="DM47" s="2" t="s">
        <v>3</v>
      </c>
      <c r="DN47" s="2">
        <v>0</v>
      </c>
      <c r="DO47" s="2">
        <v>0</v>
      </c>
      <c r="DP47" s="2">
        <v>1</v>
      </c>
      <c r="DQ47" s="2">
        <v>1</v>
      </c>
      <c r="DR47" s="2"/>
      <c r="DS47" s="2"/>
      <c r="DT47" s="2"/>
      <c r="DU47" s="2">
        <v>1013</v>
      </c>
      <c r="DV47" s="2" t="s">
        <v>109</v>
      </c>
      <c r="DW47" s="2" t="s">
        <v>109</v>
      </c>
      <c r="DX47" s="2">
        <v>1</v>
      </c>
      <c r="DY47" s="2"/>
      <c r="DZ47" s="2" t="s">
        <v>3</v>
      </c>
      <c r="EA47" s="2" t="s">
        <v>3</v>
      </c>
      <c r="EB47" s="2" t="s">
        <v>3</v>
      </c>
      <c r="EC47" s="2" t="s">
        <v>3</v>
      </c>
      <c r="ED47" s="2"/>
      <c r="EE47" s="2">
        <v>80781888</v>
      </c>
      <c r="EF47" s="2">
        <v>2</v>
      </c>
      <c r="EG47" s="2" t="s">
        <v>36</v>
      </c>
      <c r="EH47" s="2">
        <v>16</v>
      </c>
      <c r="EI47" s="2" t="s">
        <v>37</v>
      </c>
      <c r="EJ47" s="2">
        <v>1</v>
      </c>
      <c r="EK47" s="2">
        <v>16001</v>
      </c>
      <c r="EL47" s="2" t="s">
        <v>38</v>
      </c>
      <c r="EM47" s="2" t="s">
        <v>39</v>
      </c>
      <c r="EN47" s="2"/>
      <c r="EO47" s="2" t="s">
        <v>3</v>
      </c>
      <c r="EP47" s="2"/>
      <c r="EQ47" s="2">
        <v>0</v>
      </c>
      <c r="ER47" s="2">
        <v>658.66</v>
      </c>
      <c r="ES47" s="2">
        <v>658.66</v>
      </c>
      <c r="ET47" s="2">
        <v>0</v>
      </c>
      <c r="EU47" s="2">
        <v>0</v>
      </c>
      <c r="EV47" s="2">
        <v>0</v>
      </c>
      <c r="EW47" s="2">
        <v>0</v>
      </c>
      <c r="EX47" s="2">
        <v>0</v>
      </c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>
        <v>0</v>
      </c>
      <c r="FR47" s="2">
        <v>0</v>
      </c>
      <c r="FS47" s="2">
        <v>0</v>
      </c>
      <c r="FT47" s="2"/>
      <c r="FU47" s="2"/>
      <c r="FV47" s="2"/>
      <c r="FW47" s="2"/>
      <c r="FX47" s="2">
        <v>121</v>
      </c>
      <c r="FY47" s="2">
        <v>72</v>
      </c>
      <c r="FZ47" s="2"/>
      <c r="GA47" s="2" t="s">
        <v>3</v>
      </c>
      <c r="GB47" s="2"/>
      <c r="GC47" s="2"/>
      <c r="GD47" s="2">
        <v>1</v>
      </c>
      <c r="GE47" s="2"/>
      <c r="GF47" s="2">
        <v>1697395067</v>
      </c>
      <c r="GG47" s="2">
        <v>2</v>
      </c>
      <c r="GH47" s="2">
        <v>1</v>
      </c>
      <c r="GI47" s="2">
        <v>2</v>
      </c>
      <c r="GJ47" s="2">
        <v>0</v>
      </c>
      <c r="GK47" s="2">
        <v>0</v>
      </c>
      <c r="GL47" s="2">
        <f t="shared" si="27"/>
        <v>0</v>
      </c>
      <c r="GM47" s="2">
        <f t="shared" si="28"/>
        <v>49.4</v>
      </c>
      <c r="GN47" s="2">
        <f t="shared" si="29"/>
        <v>49.4</v>
      </c>
      <c r="GO47" s="2">
        <f t="shared" si="30"/>
        <v>0</v>
      </c>
      <c r="GP47" s="2">
        <f t="shared" si="31"/>
        <v>0</v>
      </c>
      <c r="GQ47" s="2"/>
      <c r="GR47" s="2">
        <v>0</v>
      </c>
      <c r="GS47" s="2">
        <v>3</v>
      </c>
      <c r="GT47" s="2">
        <v>0</v>
      </c>
      <c r="GU47" s="2" t="s">
        <v>3</v>
      </c>
      <c r="GV47" s="2">
        <f t="shared" si="35"/>
        <v>0</v>
      </c>
      <c r="GW47" s="2">
        <v>1</v>
      </c>
      <c r="GX47" s="2">
        <f t="shared" si="33"/>
        <v>0</v>
      </c>
      <c r="GY47" s="2"/>
      <c r="GZ47" s="2"/>
      <c r="HA47" s="2">
        <v>0</v>
      </c>
      <c r="HB47" s="2">
        <v>0</v>
      </c>
      <c r="HC47" s="2">
        <f t="shared" si="34"/>
        <v>0</v>
      </c>
      <c r="HD47" s="2"/>
      <c r="HE47" s="2" t="s">
        <v>3</v>
      </c>
      <c r="HF47" s="2" t="s">
        <v>3</v>
      </c>
      <c r="HG47" s="2"/>
      <c r="HH47" s="2"/>
      <c r="HI47" s="2"/>
      <c r="HJ47" s="2"/>
      <c r="HK47" s="2"/>
      <c r="HL47" s="2"/>
      <c r="HM47" s="2" t="s">
        <v>3</v>
      </c>
      <c r="HN47" s="2" t="s">
        <v>41</v>
      </c>
      <c r="HO47" s="2" t="s">
        <v>42</v>
      </c>
      <c r="HP47" s="2" t="s">
        <v>37</v>
      </c>
      <c r="HQ47" s="2" t="s">
        <v>37</v>
      </c>
      <c r="HR47" s="2"/>
      <c r="HS47" s="2">
        <v>0</v>
      </c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>
        <v>0</v>
      </c>
      <c r="IL47" s="2"/>
      <c r="IM47" s="2"/>
      <c r="IN47" s="2"/>
      <c r="IO47" s="2"/>
      <c r="IP47" s="2"/>
      <c r="IQ47" s="2"/>
      <c r="IR47" s="2"/>
      <c r="IS47" s="2"/>
      <c r="IT47" s="2"/>
      <c r="IU47" s="2"/>
    </row>
    <row r="48" spans="1:255" x14ac:dyDescent="0.2">
      <c r="A48" s="2">
        <v>18</v>
      </c>
      <c r="B48" s="2">
        <v>1</v>
      </c>
      <c r="C48" s="2">
        <v>68</v>
      </c>
      <c r="D48" s="2"/>
      <c r="E48" s="2" t="s">
        <v>111</v>
      </c>
      <c r="F48" s="2" t="s">
        <v>91</v>
      </c>
      <c r="G48" s="2" t="s">
        <v>92</v>
      </c>
      <c r="H48" s="2" t="s">
        <v>93</v>
      </c>
      <c r="I48" s="2">
        <f>I44*J48</f>
        <v>0</v>
      </c>
      <c r="J48" s="2">
        <v>0</v>
      </c>
      <c r="K48" s="2">
        <v>0</v>
      </c>
      <c r="L48" s="2"/>
      <c r="M48" s="2"/>
      <c r="N48" s="2"/>
      <c r="O48" s="2">
        <f t="shared" si="14"/>
        <v>0</v>
      </c>
      <c r="P48" s="2">
        <f>ROUND(CQ48*I48,2)</f>
        <v>0</v>
      </c>
      <c r="Q48" s="2">
        <f>ROUND(CR48*I48,2)</f>
        <v>0</v>
      </c>
      <c r="R48" s="2">
        <f>ROUND(CS48*I48,2)</f>
        <v>0</v>
      </c>
      <c r="S48" s="2">
        <f>ROUND(CT48*I48,2)</f>
        <v>0</v>
      </c>
      <c r="T48" s="2">
        <f t="shared" si="15"/>
        <v>0</v>
      </c>
      <c r="U48" s="2">
        <f>ROUND(CV48*I48,7)</f>
        <v>0</v>
      </c>
      <c r="V48" s="2">
        <f>ROUND(CW48*I48,7)</f>
        <v>0</v>
      </c>
      <c r="W48" s="2">
        <f t="shared" si="16"/>
        <v>0</v>
      </c>
      <c r="X48" s="2">
        <f t="shared" si="17"/>
        <v>0</v>
      </c>
      <c r="Y48" s="2">
        <f t="shared" si="18"/>
        <v>0</v>
      </c>
      <c r="Z48" s="2"/>
      <c r="AA48" s="2">
        <v>82813384</v>
      </c>
      <c r="AB48" s="2">
        <f t="shared" si="19"/>
        <v>0</v>
      </c>
      <c r="AC48" s="2">
        <f>ROUND((ES48),6)</f>
        <v>0</v>
      </c>
      <c r="AD48" s="2">
        <f>ROUND((((ET48)-(EU48))+AE48),6)</f>
        <v>0</v>
      </c>
      <c r="AE48" s="2">
        <f t="shared" si="39"/>
        <v>0</v>
      </c>
      <c r="AF48" s="2">
        <f t="shared" si="39"/>
        <v>0</v>
      </c>
      <c r="AG48" s="2">
        <f t="shared" si="20"/>
        <v>0</v>
      </c>
      <c r="AH48" s="2">
        <f t="shared" si="40"/>
        <v>0</v>
      </c>
      <c r="AI48" s="2">
        <f t="shared" si="40"/>
        <v>0</v>
      </c>
      <c r="AJ48" s="2">
        <f t="shared" si="21"/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121</v>
      </c>
      <c r="AU48" s="2">
        <v>72</v>
      </c>
      <c r="AV48" s="2">
        <v>1</v>
      </c>
      <c r="AW48" s="2">
        <v>1</v>
      </c>
      <c r="AX48" s="2"/>
      <c r="AY48" s="2"/>
      <c r="AZ48" s="2">
        <v>1</v>
      </c>
      <c r="BA48" s="2">
        <v>1</v>
      </c>
      <c r="BB48" s="2">
        <v>1</v>
      </c>
      <c r="BC48" s="2">
        <v>1</v>
      </c>
      <c r="BD48" s="2" t="s">
        <v>3</v>
      </c>
      <c r="BE48" s="2" t="s">
        <v>3</v>
      </c>
      <c r="BF48" s="2" t="s">
        <v>3</v>
      </c>
      <c r="BG48" s="2" t="s">
        <v>3</v>
      </c>
      <c r="BH48" s="2">
        <v>3</v>
      </c>
      <c r="BI48" s="2">
        <v>1</v>
      </c>
      <c r="BJ48" s="2" t="s">
        <v>3</v>
      </c>
      <c r="BK48" s="2"/>
      <c r="BL48" s="2"/>
      <c r="BM48" s="2">
        <v>16001</v>
      </c>
      <c r="BN48" s="2">
        <v>0</v>
      </c>
      <c r="BO48" s="2" t="s">
        <v>3</v>
      </c>
      <c r="BP48" s="2">
        <v>0</v>
      </c>
      <c r="BQ48" s="2">
        <v>2</v>
      </c>
      <c r="BR48" s="2">
        <v>0</v>
      </c>
      <c r="BS48" s="2">
        <v>1</v>
      </c>
      <c r="BT48" s="2">
        <v>1</v>
      </c>
      <c r="BU48" s="2">
        <v>1</v>
      </c>
      <c r="BV48" s="2">
        <v>1</v>
      </c>
      <c r="BW48" s="2">
        <v>1</v>
      </c>
      <c r="BX48" s="2">
        <v>1</v>
      </c>
      <c r="BY48" s="2" t="s">
        <v>3</v>
      </c>
      <c r="BZ48" s="2">
        <v>121</v>
      </c>
      <c r="CA48" s="2">
        <v>72</v>
      </c>
      <c r="CB48" s="2" t="s">
        <v>3</v>
      </c>
      <c r="CC48" s="2"/>
      <c r="CD48" s="2"/>
      <c r="CE48" s="2">
        <v>0</v>
      </c>
      <c r="CF48" s="2">
        <v>0</v>
      </c>
      <c r="CG48" s="2">
        <v>0</v>
      </c>
      <c r="CH48" s="2"/>
      <c r="CI48" s="2"/>
      <c r="CJ48" s="2"/>
      <c r="CK48" s="2"/>
      <c r="CL48" s="2"/>
      <c r="CM48" s="2">
        <v>0</v>
      </c>
      <c r="CN48" s="2" t="s">
        <v>3</v>
      </c>
      <c r="CO48" s="2">
        <v>0</v>
      </c>
      <c r="CP48" s="2">
        <f t="shared" si="22"/>
        <v>0</v>
      </c>
      <c r="CQ48" s="2">
        <f>ROUND(AL48*BC48,2)</f>
        <v>0</v>
      </c>
      <c r="CR48" s="2">
        <f>ROUND(AM48*BB48,2)</f>
        <v>0</v>
      </c>
      <c r="CS48" s="2">
        <f>ROUND(AN48*BS48,2)</f>
        <v>0</v>
      </c>
      <c r="CT48" s="2">
        <f>ROUND(AO48*BA48,2)</f>
        <v>0</v>
      </c>
      <c r="CU48" s="2">
        <f t="shared" si="23"/>
        <v>0</v>
      </c>
      <c r="CV48" s="2">
        <f t="shared" si="41"/>
        <v>0</v>
      </c>
      <c r="CW48" s="2">
        <f t="shared" si="41"/>
        <v>0</v>
      </c>
      <c r="CX48" s="2">
        <f t="shared" si="24"/>
        <v>0</v>
      </c>
      <c r="CY48" s="2">
        <f t="shared" si="25"/>
        <v>0</v>
      </c>
      <c r="CZ48" s="2">
        <f t="shared" si="26"/>
        <v>0</v>
      </c>
      <c r="DA48" s="2"/>
      <c r="DB48" s="2"/>
      <c r="DC48" s="2" t="s">
        <v>3</v>
      </c>
      <c r="DD48" s="2" t="s">
        <v>3</v>
      </c>
      <c r="DE48" s="2" t="s">
        <v>3</v>
      </c>
      <c r="DF48" s="2" t="s">
        <v>3</v>
      </c>
      <c r="DG48" s="2" t="s">
        <v>3</v>
      </c>
      <c r="DH48" s="2" t="s">
        <v>3</v>
      </c>
      <c r="DI48" s="2" t="s">
        <v>3</v>
      </c>
      <c r="DJ48" s="2" t="s">
        <v>3</v>
      </c>
      <c r="DK48" s="2" t="s">
        <v>3</v>
      </c>
      <c r="DL48" s="2" t="s">
        <v>3</v>
      </c>
      <c r="DM48" s="2" t="s">
        <v>3</v>
      </c>
      <c r="DN48" s="2">
        <v>0</v>
      </c>
      <c r="DO48" s="2">
        <v>0</v>
      </c>
      <c r="DP48" s="2">
        <v>1</v>
      </c>
      <c r="DQ48" s="2">
        <v>1</v>
      </c>
      <c r="DR48" s="2"/>
      <c r="DS48" s="2"/>
      <c r="DT48" s="2"/>
      <c r="DU48" s="2">
        <v>1009</v>
      </c>
      <c r="DV48" s="2" t="s">
        <v>93</v>
      </c>
      <c r="DW48" s="2" t="s">
        <v>93</v>
      </c>
      <c r="DX48" s="2">
        <v>1</v>
      </c>
      <c r="DY48" s="2"/>
      <c r="DZ48" s="2" t="s">
        <v>3</v>
      </c>
      <c r="EA48" s="2" t="s">
        <v>3</v>
      </c>
      <c r="EB48" s="2" t="s">
        <v>3</v>
      </c>
      <c r="EC48" s="2" t="s">
        <v>3</v>
      </c>
      <c r="ED48" s="2"/>
      <c r="EE48" s="2">
        <v>80781888</v>
      </c>
      <c r="EF48" s="2">
        <v>2</v>
      </c>
      <c r="EG48" s="2" t="s">
        <v>36</v>
      </c>
      <c r="EH48" s="2">
        <v>16</v>
      </c>
      <c r="EI48" s="2" t="s">
        <v>37</v>
      </c>
      <c r="EJ48" s="2">
        <v>1</v>
      </c>
      <c r="EK48" s="2">
        <v>16001</v>
      </c>
      <c r="EL48" s="2" t="s">
        <v>38</v>
      </c>
      <c r="EM48" s="2" t="s">
        <v>39</v>
      </c>
      <c r="EN48" s="2"/>
      <c r="EO48" s="2" t="s">
        <v>3</v>
      </c>
      <c r="EP48" s="2"/>
      <c r="EQ48" s="2">
        <v>0</v>
      </c>
      <c r="ER48" s="2">
        <v>0</v>
      </c>
      <c r="ES48" s="2">
        <v>0</v>
      </c>
      <c r="ET48" s="2">
        <v>0</v>
      </c>
      <c r="EU48" s="2">
        <v>0</v>
      </c>
      <c r="EV48" s="2">
        <v>0</v>
      </c>
      <c r="EW48" s="2">
        <v>0</v>
      </c>
      <c r="EX48" s="2">
        <v>0</v>
      </c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>
        <v>0</v>
      </c>
      <c r="FR48" s="2">
        <v>0</v>
      </c>
      <c r="FS48" s="2">
        <v>0</v>
      </c>
      <c r="FT48" s="2"/>
      <c r="FU48" s="2"/>
      <c r="FV48" s="2"/>
      <c r="FW48" s="2"/>
      <c r="FX48" s="2">
        <v>121</v>
      </c>
      <c r="FY48" s="2">
        <v>72</v>
      </c>
      <c r="FZ48" s="2"/>
      <c r="GA48" s="2" t="s">
        <v>3</v>
      </c>
      <c r="GB48" s="2"/>
      <c r="GC48" s="2"/>
      <c r="GD48" s="2">
        <v>1</v>
      </c>
      <c r="GE48" s="2"/>
      <c r="GF48" s="2">
        <v>1447119578</v>
      </c>
      <c r="GG48" s="2">
        <v>2</v>
      </c>
      <c r="GH48" s="2">
        <v>1</v>
      </c>
      <c r="GI48" s="2">
        <v>-2</v>
      </c>
      <c r="GJ48" s="2">
        <v>0</v>
      </c>
      <c r="GK48" s="2">
        <v>0</v>
      </c>
      <c r="GL48" s="2">
        <f t="shared" si="27"/>
        <v>0</v>
      </c>
      <c r="GM48" s="2">
        <f t="shared" si="28"/>
        <v>0</v>
      </c>
      <c r="GN48" s="2">
        <f t="shared" si="29"/>
        <v>0</v>
      </c>
      <c r="GO48" s="2">
        <f t="shared" si="30"/>
        <v>0</v>
      </c>
      <c r="GP48" s="2">
        <f t="shared" si="31"/>
        <v>0</v>
      </c>
      <c r="GQ48" s="2"/>
      <c r="GR48" s="2">
        <v>0</v>
      </c>
      <c r="GS48" s="2">
        <v>3</v>
      </c>
      <c r="GT48" s="2">
        <v>0</v>
      </c>
      <c r="GU48" s="2" t="s">
        <v>3</v>
      </c>
      <c r="GV48" s="2">
        <f t="shared" si="35"/>
        <v>0</v>
      </c>
      <c r="GW48" s="2">
        <v>1</v>
      </c>
      <c r="GX48" s="2">
        <f t="shared" si="33"/>
        <v>0</v>
      </c>
      <c r="GY48" s="2"/>
      <c r="GZ48" s="2"/>
      <c r="HA48" s="2">
        <v>0</v>
      </c>
      <c r="HB48" s="2">
        <v>0</v>
      </c>
      <c r="HC48" s="2">
        <f t="shared" si="34"/>
        <v>0</v>
      </c>
      <c r="HD48" s="2"/>
      <c r="HE48" s="2" t="s">
        <v>3</v>
      </c>
      <c r="HF48" s="2" t="s">
        <v>3</v>
      </c>
      <c r="HG48" s="2"/>
      <c r="HH48" s="2"/>
      <c r="HI48" s="2"/>
      <c r="HJ48" s="2"/>
      <c r="HK48" s="2"/>
      <c r="HL48" s="2"/>
      <c r="HM48" s="2" t="s">
        <v>3</v>
      </c>
      <c r="HN48" s="2" t="s">
        <v>41</v>
      </c>
      <c r="HO48" s="2" t="s">
        <v>42</v>
      </c>
      <c r="HP48" s="2" t="s">
        <v>37</v>
      </c>
      <c r="HQ48" s="2" t="s">
        <v>37</v>
      </c>
      <c r="HR48" s="2"/>
      <c r="HS48" s="2">
        <v>0</v>
      </c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>
        <v>0</v>
      </c>
      <c r="IL48" s="2"/>
      <c r="IM48" s="2"/>
      <c r="IN48" s="2"/>
      <c r="IO48" s="2"/>
      <c r="IP48" s="2"/>
      <c r="IQ48" s="2"/>
      <c r="IR48" s="2"/>
      <c r="IS48" s="2"/>
      <c r="IT48" s="2"/>
      <c r="IU48" s="2"/>
    </row>
    <row r="49" spans="1:255" x14ac:dyDescent="0.2">
      <c r="A49" s="2">
        <v>18</v>
      </c>
      <c r="B49" s="2">
        <v>1</v>
      </c>
      <c r="C49" s="2">
        <v>70</v>
      </c>
      <c r="D49" s="2"/>
      <c r="E49" s="2" t="s">
        <v>112</v>
      </c>
      <c r="F49" s="2" t="s">
        <v>113</v>
      </c>
      <c r="G49" s="2" t="s">
        <v>90</v>
      </c>
      <c r="H49" s="2" t="s">
        <v>72</v>
      </c>
      <c r="I49" s="2">
        <f>I44*J49</f>
        <v>15</v>
      </c>
      <c r="J49" s="2">
        <v>100</v>
      </c>
      <c r="K49" s="2">
        <v>100</v>
      </c>
      <c r="L49" s="2"/>
      <c r="M49" s="2"/>
      <c r="N49" s="2"/>
      <c r="O49" s="2">
        <f t="shared" si="14"/>
        <v>0</v>
      </c>
      <c r="P49" s="2">
        <f>ROUND(CQ49*I49,2)</f>
        <v>0</v>
      </c>
      <c r="Q49" s="2">
        <f>ROUND(CR49*I49,2)</f>
        <v>0</v>
      </c>
      <c r="R49" s="2">
        <f>ROUND(CS49*I49,2)</f>
        <v>0</v>
      </c>
      <c r="S49" s="2">
        <f>ROUND(CT49*I49,2)</f>
        <v>0</v>
      </c>
      <c r="T49" s="2">
        <f t="shared" si="15"/>
        <v>0</v>
      </c>
      <c r="U49" s="2">
        <f>ROUND(CV49*I49,7)</f>
        <v>0</v>
      </c>
      <c r="V49" s="2">
        <f>ROUND(CW49*I49,7)</f>
        <v>0</v>
      </c>
      <c r="W49" s="2">
        <f t="shared" si="16"/>
        <v>0</v>
      </c>
      <c r="X49" s="2">
        <f t="shared" si="17"/>
        <v>0</v>
      </c>
      <c r="Y49" s="2">
        <f t="shared" si="18"/>
        <v>0</v>
      </c>
      <c r="Z49" s="2"/>
      <c r="AA49" s="2">
        <v>82813384</v>
      </c>
      <c r="AB49" s="2">
        <f t="shared" si="19"/>
        <v>0</v>
      </c>
      <c r="AC49" s="2">
        <f>ROUND((ES49),6)</f>
        <v>0</v>
      </c>
      <c r="AD49" s="2">
        <f>ROUND((((ET49)-(EU49))+AE49),6)</f>
        <v>0</v>
      </c>
      <c r="AE49" s="2">
        <f t="shared" si="39"/>
        <v>0</v>
      </c>
      <c r="AF49" s="2">
        <f t="shared" si="39"/>
        <v>0</v>
      </c>
      <c r="AG49" s="2">
        <f t="shared" si="20"/>
        <v>0</v>
      </c>
      <c r="AH49" s="2">
        <f t="shared" si="40"/>
        <v>0</v>
      </c>
      <c r="AI49" s="2">
        <f t="shared" si="40"/>
        <v>0</v>
      </c>
      <c r="AJ49" s="2">
        <f t="shared" si="21"/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121</v>
      </c>
      <c r="AU49" s="2">
        <v>72</v>
      </c>
      <c r="AV49" s="2">
        <v>1</v>
      </c>
      <c r="AW49" s="2">
        <v>1</v>
      </c>
      <c r="AX49" s="2"/>
      <c r="AY49" s="2"/>
      <c r="AZ49" s="2">
        <v>1</v>
      </c>
      <c r="BA49" s="2">
        <v>1</v>
      </c>
      <c r="BB49" s="2">
        <v>1</v>
      </c>
      <c r="BC49" s="2">
        <v>1</v>
      </c>
      <c r="BD49" s="2" t="s">
        <v>3</v>
      </c>
      <c r="BE49" s="2" t="s">
        <v>3</v>
      </c>
      <c r="BF49" s="2" t="s">
        <v>3</v>
      </c>
      <c r="BG49" s="2" t="s">
        <v>3</v>
      </c>
      <c r="BH49" s="2">
        <v>3</v>
      </c>
      <c r="BI49" s="2">
        <v>1</v>
      </c>
      <c r="BJ49" s="2" t="s">
        <v>3</v>
      </c>
      <c r="BK49" s="2"/>
      <c r="BL49" s="2"/>
      <c r="BM49" s="2">
        <v>16001</v>
      </c>
      <c r="BN49" s="2">
        <v>0</v>
      </c>
      <c r="BO49" s="2" t="s">
        <v>3</v>
      </c>
      <c r="BP49" s="2">
        <v>0</v>
      </c>
      <c r="BQ49" s="2">
        <v>2</v>
      </c>
      <c r="BR49" s="2">
        <v>0</v>
      </c>
      <c r="BS49" s="2">
        <v>1</v>
      </c>
      <c r="BT49" s="2">
        <v>1</v>
      </c>
      <c r="BU49" s="2">
        <v>1</v>
      </c>
      <c r="BV49" s="2">
        <v>1</v>
      </c>
      <c r="BW49" s="2">
        <v>1</v>
      </c>
      <c r="BX49" s="2">
        <v>1</v>
      </c>
      <c r="BY49" s="2" t="s">
        <v>3</v>
      </c>
      <c r="BZ49" s="2">
        <v>121</v>
      </c>
      <c r="CA49" s="2">
        <v>72</v>
      </c>
      <c r="CB49" s="2" t="s">
        <v>3</v>
      </c>
      <c r="CC49" s="2"/>
      <c r="CD49" s="2"/>
      <c r="CE49" s="2">
        <v>0</v>
      </c>
      <c r="CF49" s="2">
        <v>0</v>
      </c>
      <c r="CG49" s="2">
        <v>0</v>
      </c>
      <c r="CH49" s="2"/>
      <c r="CI49" s="2"/>
      <c r="CJ49" s="2"/>
      <c r="CK49" s="2"/>
      <c r="CL49" s="2"/>
      <c r="CM49" s="2">
        <v>0</v>
      </c>
      <c r="CN49" s="2" t="s">
        <v>3</v>
      </c>
      <c r="CO49" s="2">
        <v>0</v>
      </c>
      <c r="CP49" s="2">
        <f t="shared" si="22"/>
        <v>0</v>
      </c>
      <c r="CQ49" s="2">
        <f>ROUND(AL49*BC49,2)</f>
        <v>0</v>
      </c>
      <c r="CR49" s="2">
        <f>ROUND(AM49*BB49,2)</f>
        <v>0</v>
      </c>
      <c r="CS49" s="2">
        <f>ROUND(AN49*BS49,2)</f>
        <v>0</v>
      </c>
      <c r="CT49" s="2">
        <f>ROUND(AO49*BA49,2)</f>
        <v>0</v>
      </c>
      <c r="CU49" s="2">
        <f t="shared" si="23"/>
        <v>0</v>
      </c>
      <c r="CV49" s="2">
        <f t="shared" si="41"/>
        <v>0</v>
      </c>
      <c r="CW49" s="2">
        <f t="shared" si="41"/>
        <v>0</v>
      </c>
      <c r="CX49" s="2">
        <f t="shared" si="24"/>
        <v>0</v>
      </c>
      <c r="CY49" s="2">
        <f t="shared" si="25"/>
        <v>0</v>
      </c>
      <c r="CZ49" s="2">
        <f t="shared" si="26"/>
        <v>0</v>
      </c>
      <c r="DA49" s="2"/>
      <c r="DB49" s="2"/>
      <c r="DC49" s="2" t="s">
        <v>3</v>
      </c>
      <c r="DD49" s="2" t="s">
        <v>3</v>
      </c>
      <c r="DE49" s="2" t="s">
        <v>3</v>
      </c>
      <c r="DF49" s="2" t="s">
        <v>3</v>
      </c>
      <c r="DG49" s="2" t="s">
        <v>3</v>
      </c>
      <c r="DH49" s="2" t="s">
        <v>3</v>
      </c>
      <c r="DI49" s="2" t="s">
        <v>3</v>
      </c>
      <c r="DJ49" s="2" t="s">
        <v>3</v>
      </c>
      <c r="DK49" s="2" t="s">
        <v>3</v>
      </c>
      <c r="DL49" s="2" t="s">
        <v>3</v>
      </c>
      <c r="DM49" s="2" t="s">
        <v>3</v>
      </c>
      <c r="DN49" s="2">
        <v>0</v>
      </c>
      <c r="DO49" s="2">
        <v>0</v>
      </c>
      <c r="DP49" s="2">
        <v>1</v>
      </c>
      <c r="DQ49" s="2">
        <v>1</v>
      </c>
      <c r="DR49" s="2"/>
      <c r="DS49" s="2"/>
      <c r="DT49" s="2"/>
      <c r="DU49" s="2">
        <v>1003</v>
      </c>
      <c r="DV49" s="2" t="s">
        <v>72</v>
      </c>
      <c r="DW49" s="2" t="s">
        <v>72</v>
      </c>
      <c r="DX49" s="2">
        <v>1</v>
      </c>
      <c r="DY49" s="2"/>
      <c r="DZ49" s="2" t="s">
        <v>3</v>
      </c>
      <c r="EA49" s="2" t="s">
        <v>3</v>
      </c>
      <c r="EB49" s="2" t="s">
        <v>3</v>
      </c>
      <c r="EC49" s="2" t="s">
        <v>3</v>
      </c>
      <c r="ED49" s="2"/>
      <c r="EE49" s="2">
        <v>80781888</v>
      </c>
      <c r="EF49" s="2">
        <v>2</v>
      </c>
      <c r="EG49" s="2" t="s">
        <v>36</v>
      </c>
      <c r="EH49" s="2">
        <v>16</v>
      </c>
      <c r="EI49" s="2" t="s">
        <v>37</v>
      </c>
      <c r="EJ49" s="2">
        <v>1</v>
      </c>
      <c r="EK49" s="2">
        <v>16001</v>
      </c>
      <c r="EL49" s="2" t="s">
        <v>38</v>
      </c>
      <c r="EM49" s="2" t="s">
        <v>39</v>
      </c>
      <c r="EN49" s="2"/>
      <c r="EO49" s="2" t="s">
        <v>3</v>
      </c>
      <c r="EP49" s="2"/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0</v>
      </c>
      <c r="EX49" s="2">
        <v>0</v>
      </c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>
        <v>0</v>
      </c>
      <c r="FR49" s="2">
        <v>0</v>
      </c>
      <c r="FS49" s="2">
        <v>0</v>
      </c>
      <c r="FT49" s="2"/>
      <c r="FU49" s="2"/>
      <c r="FV49" s="2"/>
      <c r="FW49" s="2"/>
      <c r="FX49" s="2">
        <v>121</v>
      </c>
      <c r="FY49" s="2">
        <v>72</v>
      </c>
      <c r="FZ49" s="2"/>
      <c r="GA49" s="2" t="s">
        <v>3</v>
      </c>
      <c r="GB49" s="2"/>
      <c r="GC49" s="2"/>
      <c r="GD49" s="2">
        <v>1</v>
      </c>
      <c r="GE49" s="2"/>
      <c r="GF49" s="2">
        <v>501224115</v>
      </c>
      <c r="GG49" s="2">
        <v>2</v>
      </c>
      <c r="GH49" s="2">
        <v>1</v>
      </c>
      <c r="GI49" s="2">
        <v>-2</v>
      </c>
      <c r="GJ49" s="2">
        <v>0</v>
      </c>
      <c r="GK49" s="2">
        <v>0</v>
      </c>
      <c r="GL49" s="2">
        <f t="shared" si="27"/>
        <v>0</v>
      </c>
      <c r="GM49" s="2">
        <f t="shared" si="28"/>
        <v>0</v>
      </c>
      <c r="GN49" s="2">
        <f t="shared" si="29"/>
        <v>0</v>
      </c>
      <c r="GO49" s="2">
        <f t="shared" si="30"/>
        <v>0</v>
      </c>
      <c r="GP49" s="2">
        <f t="shared" si="31"/>
        <v>0</v>
      </c>
      <c r="GQ49" s="2"/>
      <c r="GR49" s="2">
        <v>0</v>
      </c>
      <c r="GS49" s="2">
        <v>3</v>
      </c>
      <c r="GT49" s="2">
        <v>0</v>
      </c>
      <c r="GU49" s="2" t="s">
        <v>3</v>
      </c>
      <c r="GV49" s="2">
        <f t="shared" si="35"/>
        <v>0</v>
      </c>
      <c r="GW49" s="2">
        <v>1</v>
      </c>
      <c r="GX49" s="2">
        <f t="shared" si="33"/>
        <v>0</v>
      </c>
      <c r="GY49" s="2"/>
      <c r="GZ49" s="2"/>
      <c r="HA49" s="2">
        <v>0</v>
      </c>
      <c r="HB49" s="2">
        <v>0</v>
      </c>
      <c r="HC49" s="2">
        <f t="shared" si="34"/>
        <v>0</v>
      </c>
      <c r="HD49" s="2"/>
      <c r="HE49" s="2" t="s">
        <v>3</v>
      </c>
      <c r="HF49" s="2" t="s">
        <v>3</v>
      </c>
      <c r="HG49" s="2"/>
      <c r="HH49" s="2"/>
      <c r="HI49" s="2"/>
      <c r="HJ49" s="2"/>
      <c r="HK49" s="2"/>
      <c r="HL49" s="2"/>
      <c r="HM49" s="2" t="s">
        <v>3</v>
      </c>
      <c r="HN49" s="2" t="s">
        <v>41</v>
      </c>
      <c r="HO49" s="2" t="s">
        <v>42</v>
      </c>
      <c r="HP49" s="2" t="s">
        <v>37</v>
      </c>
      <c r="HQ49" s="2" t="s">
        <v>37</v>
      </c>
      <c r="HR49" s="2"/>
      <c r="HS49" s="2">
        <v>0</v>
      </c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>
        <v>0</v>
      </c>
      <c r="IL49" s="2"/>
      <c r="IM49" s="2"/>
      <c r="IN49" s="2"/>
      <c r="IO49" s="2"/>
      <c r="IP49" s="2"/>
      <c r="IQ49" s="2"/>
      <c r="IR49" s="2"/>
      <c r="IS49" s="2"/>
      <c r="IT49" s="2"/>
      <c r="IU49" s="2"/>
    </row>
    <row r="50" spans="1:255" x14ac:dyDescent="0.2">
      <c r="A50" s="2">
        <v>17</v>
      </c>
      <c r="B50" s="2">
        <v>1</v>
      </c>
      <c r="C50" s="2">
        <f>ROW(SmtRes!A85)</f>
        <v>85</v>
      </c>
      <c r="D50" s="2">
        <f>ROW(EtalonRes!A82)</f>
        <v>82</v>
      </c>
      <c r="E50" s="2" t="s">
        <v>3</v>
      </c>
      <c r="F50" s="2" t="s">
        <v>114</v>
      </c>
      <c r="G50" s="2" t="s">
        <v>115</v>
      </c>
      <c r="H50" s="2" t="s">
        <v>17</v>
      </c>
      <c r="I50" s="2">
        <f>ROUND(15/100,7)</f>
        <v>0.15</v>
      </c>
      <c r="J50" s="2">
        <v>0</v>
      </c>
      <c r="K50" s="2">
        <f>ROUND(15/100,7)</f>
        <v>0.15</v>
      </c>
      <c r="L50" s="2"/>
      <c r="M50" s="2"/>
      <c r="N50" s="2"/>
      <c r="O50" s="2">
        <f t="shared" si="14"/>
        <v>6463.51</v>
      </c>
      <c r="P50" s="2">
        <f>SUMIF(SmtRes!AQ72:'SmtRes'!AQ85,"=1",SmtRes!DF72:'SmtRes'!DF85)</f>
        <v>64.069999999999993</v>
      </c>
      <c r="Q50" s="2">
        <f>SUMIF(SmtRes!AQ72:'SmtRes'!AQ85,"=1",SmtRes!DG72:'SmtRes'!DG85)</f>
        <v>121.23</v>
      </c>
      <c r="R50" s="2">
        <f>SUMIF(SmtRes!AQ72:'SmtRes'!AQ85,"=1",SmtRes!DH72:'SmtRes'!DH85)</f>
        <v>123.4</v>
      </c>
      <c r="S50" s="2">
        <f>SUMIF(SmtRes!AQ72:'SmtRes'!AQ85,"=1",SmtRes!DI72:'SmtRes'!DI85)</f>
        <v>6154.81</v>
      </c>
      <c r="T50" s="2">
        <f t="shared" si="15"/>
        <v>0</v>
      </c>
      <c r="U50" s="2">
        <f>SUMIF(SmtRes!AQ72:'SmtRes'!AQ85,"=1",SmtRes!CV72:'SmtRes'!CV85)</f>
        <v>8.2949999999999999</v>
      </c>
      <c r="V50" s="2">
        <f>SUMIF(SmtRes!AQ72:'SmtRes'!AQ85,"=1",SmtRes!CW72:'SmtRes'!CW85)</f>
        <v>0.159</v>
      </c>
      <c r="W50" s="2">
        <f t="shared" si="16"/>
        <v>0</v>
      </c>
      <c r="X50" s="2">
        <f t="shared" si="17"/>
        <v>7596.63</v>
      </c>
      <c r="Y50" s="2">
        <f t="shared" si="18"/>
        <v>4520.3100000000004</v>
      </c>
      <c r="Z50" s="2"/>
      <c r="AA50" s="2">
        <v>-1</v>
      </c>
      <c r="AB50" s="2">
        <f t="shared" si="19"/>
        <v>42121.337195</v>
      </c>
      <c r="AC50" s="2">
        <f>ROUND((SUM(SmtRes!BQ72:'SmtRes'!BQ85)),6)</f>
        <v>299.571395</v>
      </c>
      <c r="AD50" s="2">
        <f>ROUND((((SUM(SmtRes!BR72:'SmtRes'!BR85))-(SUM(SmtRes!BS72:'SmtRes'!BS85)))+AE50),6)</f>
        <v>789.71879999999999</v>
      </c>
      <c r="AE50" s="2">
        <f>ROUND((SUM(SmtRes!BS72:'SmtRes'!BS85)),6)</f>
        <v>822.62720000000002</v>
      </c>
      <c r="AF50" s="2">
        <f>ROUND((SUM(SmtRes!BT72:'SmtRes'!BT85)),6)</f>
        <v>41032.046999999999</v>
      </c>
      <c r="AG50" s="2">
        <f t="shared" si="20"/>
        <v>0</v>
      </c>
      <c r="AH50" s="2">
        <f>(SUM(SmtRes!BU72:'SmtRes'!BU85))</f>
        <v>55.3</v>
      </c>
      <c r="AI50" s="2">
        <f>(SUM(SmtRes!BV72:'SmtRes'!BV85))</f>
        <v>1.06</v>
      </c>
      <c r="AJ50" s="2">
        <f t="shared" si="21"/>
        <v>0</v>
      </c>
      <c r="AK50" s="2">
        <v>42943.964395000003</v>
      </c>
      <c r="AL50" s="2">
        <v>299.571395</v>
      </c>
      <c r="AM50" s="2">
        <v>789.71879999999987</v>
      </c>
      <c r="AN50" s="2">
        <v>822.62720000000013</v>
      </c>
      <c r="AO50" s="2">
        <v>41032.046999999999</v>
      </c>
      <c r="AP50" s="2">
        <v>0</v>
      </c>
      <c r="AQ50" s="2">
        <v>55.3</v>
      </c>
      <c r="AR50" s="2">
        <v>1.06</v>
      </c>
      <c r="AS50" s="2">
        <v>0</v>
      </c>
      <c r="AT50" s="2">
        <v>121</v>
      </c>
      <c r="AU50" s="2">
        <v>72</v>
      </c>
      <c r="AV50" s="2">
        <v>1</v>
      </c>
      <c r="AW50" s="2">
        <v>1</v>
      </c>
      <c r="AX50" s="2"/>
      <c r="AY50" s="2"/>
      <c r="AZ50" s="2">
        <v>1</v>
      </c>
      <c r="BA50" s="2">
        <v>1</v>
      </c>
      <c r="BB50" s="2">
        <v>1</v>
      </c>
      <c r="BC50" s="2">
        <v>1</v>
      </c>
      <c r="BD50" s="2" t="s">
        <v>3</v>
      </c>
      <c r="BE50" s="2" t="s">
        <v>3</v>
      </c>
      <c r="BF50" s="2" t="s">
        <v>3</v>
      </c>
      <c r="BG50" s="2" t="s">
        <v>3</v>
      </c>
      <c r="BH50" s="2">
        <v>0</v>
      </c>
      <c r="BI50" s="2">
        <v>1</v>
      </c>
      <c r="BJ50" s="2" t="s">
        <v>116</v>
      </c>
      <c r="BK50" s="2"/>
      <c r="BL50" s="2"/>
      <c r="BM50" s="2">
        <v>16001</v>
      </c>
      <c r="BN50" s="2">
        <v>0</v>
      </c>
      <c r="BO50" s="2" t="s">
        <v>3</v>
      </c>
      <c r="BP50" s="2">
        <v>0</v>
      </c>
      <c r="BQ50" s="2">
        <v>2</v>
      </c>
      <c r="BR50" s="2">
        <v>0</v>
      </c>
      <c r="BS50" s="2">
        <v>1</v>
      </c>
      <c r="BT50" s="2">
        <v>1</v>
      </c>
      <c r="BU50" s="2">
        <v>1</v>
      </c>
      <c r="BV50" s="2">
        <v>1</v>
      </c>
      <c r="BW50" s="2">
        <v>1</v>
      </c>
      <c r="BX50" s="2">
        <v>1</v>
      </c>
      <c r="BY50" s="2" t="s">
        <v>3</v>
      </c>
      <c r="BZ50" s="2">
        <v>121</v>
      </c>
      <c r="CA50" s="2">
        <v>72</v>
      </c>
      <c r="CB50" s="2" t="s">
        <v>3</v>
      </c>
      <c r="CC50" s="2"/>
      <c r="CD50" s="2"/>
      <c r="CE50" s="2">
        <v>0</v>
      </c>
      <c r="CF50" s="2">
        <v>0</v>
      </c>
      <c r="CG50" s="2">
        <v>0</v>
      </c>
      <c r="CH50" s="2"/>
      <c r="CI50" s="2"/>
      <c r="CJ50" s="2"/>
      <c r="CK50" s="2"/>
      <c r="CL50" s="2"/>
      <c r="CM50" s="2">
        <v>0</v>
      </c>
      <c r="CN50" s="2" t="s">
        <v>3</v>
      </c>
      <c r="CO50" s="2">
        <v>0</v>
      </c>
      <c r="CP50" s="2">
        <f t="shared" si="22"/>
        <v>6463.51</v>
      </c>
      <c r="CQ50" s="2">
        <f>SUMIF(SmtRes!AQ72:'SmtRes'!AQ85,"=1",SmtRes!AA72:'SmtRes'!AA85)</f>
        <v>116362.53999999998</v>
      </c>
      <c r="CR50" s="2">
        <f>SUMIF(SmtRes!AQ72:'SmtRes'!AQ85,"=1",SmtRes!AB72:'SmtRes'!AB85)</f>
        <v>3172.79</v>
      </c>
      <c r="CS50" s="2">
        <f>SUMIF(SmtRes!AQ72:'SmtRes'!AQ85,"=1",SmtRes!AC72:'SmtRes'!AC85)</f>
        <v>2695.16</v>
      </c>
      <c r="CT50" s="2">
        <f>SUMIF(SmtRes!AQ72:'SmtRes'!AQ85,"=1",SmtRes!AD72:'SmtRes'!AD85)</f>
        <v>741.99</v>
      </c>
      <c r="CU50" s="2">
        <f t="shared" si="23"/>
        <v>0</v>
      </c>
      <c r="CV50" s="2">
        <f>SUMIF(SmtRes!AQ72:'SmtRes'!AQ85,"=1",SmtRes!BU72:'SmtRes'!BU85)</f>
        <v>55.3</v>
      </c>
      <c r="CW50" s="2">
        <f>SUMIF(SmtRes!AQ72:'SmtRes'!AQ85,"=1",SmtRes!BV72:'SmtRes'!BV85)</f>
        <v>1.06</v>
      </c>
      <c r="CX50" s="2">
        <f t="shared" si="24"/>
        <v>0</v>
      </c>
      <c r="CY50" s="2">
        <f t="shared" si="25"/>
        <v>7596.6341000000002</v>
      </c>
      <c r="CZ50" s="2">
        <f t="shared" si="26"/>
        <v>4520.3112000000001</v>
      </c>
      <c r="DA50" s="2"/>
      <c r="DB50" s="2"/>
      <c r="DC50" s="2" t="s">
        <v>3</v>
      </c>
      <c r="DD50" s="2" t="s">
        <v>3</v>
      </c>
      <c r="DE50" s="2" t="s">
        <v>3</v>
      </c>
      <c r="DF50" s="2" t="s">
        <v>3</v>
      </c>
      <c r="DG50" s="2" t="s">
        <v>3</v>
      </c>
      <c r="DH50" s="2" t="s">
        <v>3</v>
      </c>
      <c r="DI50" s="2" t="s">
        <v>3</v>
      </c>
      <c r="DJ50" s="2" t="s">
        <v>3</v>
      </c>
      <c r="DK50" s="2" t="s">
        <v>3</v>
      </c>
      <c r="DL50" s="2" t="s">
        <v>3</v>
      </c>
      <c r="DM50" s="2" t="s">
        <v>3</v>
      </c>
      <c r="DN50" s="2">
        <v>0</v>
      </c>
      <c r="DO50" s="2">
        <v>0</v>
      </c>
      <c r="DP50" s="2">
        <v>1</v>
      </c>
      <c r="DQ50" s="2">
        <v>1</v>
      </c>
      <c r="DR50" s="2"/>
      <c r="DS50" s="2"/>
      <c r="DT50" s="2"/>
      <c r="DU50" s="2">
        <v>1003</v>
      </c>
      <c r="DV50" s="2" t="s">
        <v>17</v>
      </c>
      <c r="DW50" s="2" t="s">
        <v>17</v>
      </c>
      <c r="DX50" s="2">
        <v>100</v>
      </c>
      <c r="DY50" s="2"/>
      <c r="DZ50" s="2" t="s">
        <v>3</v>
      </c>
      <c r="EA50" s="2" t="s">
        <v>3</v>
      </c>
      <c r="EB50" s="2" t="s">
        <v>3</v>
      </c>
      <c r="EC50" s="2" t="s">
        <v>3</v>
      </c>
      <c r="ED50" s="2"/>
      <c r="EE50" s="2">
        <v>80781888</v>
      </c>
      <c r="EF50" s="2">
        <v>2</v>
      </c>
      <c r="EG50" s="2" t="s">
        <v>36</v>
      </c>
      <c r="EH50" s="2">
        <v>16</v>
      </c>
      <c r="EI50" s="2" t="s">
        <v>37</v>
      </c>
      <c r="EJ50" s="2">
        <v>1</v>
      </c>
      <c r="EK50" s="2">
        <v>16001</v>
      </c>
      <c r="EL50" s="2" t="s">
        <v>38</v>
      </c>
      <c r="EM50" s="2" t="s">
        <v>39</v>
      </c>
      <c r="EN50" s="2"/>
      <c r="EO50" s="2" t="s">
        <v>3</v>
      </c>
      <c r="EP50" s="2"/>
      <c r="EQ50" s="2">
        <v>1024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55.3</v>
      </c>
      <c r="EX50" s="2">
        <v>1.06</v>
      </c>
      <c r="EY50" s="2">
        <v>0</v>
      </c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>
        <v>0</v>
      </c>
      <c r="FR50" s="2">
        <v>0</v>
      </c>
      <c r="FS50" s="2">
        <v>0</v>
      </c>
      <c r="FT50" s="2"/>
      <c r="FU50" s="2"/>
      <c r="FV50" s="2"/>
      <c r="FW50" s="2"/>
      <c r="FX50" s="2">
        <v>121</v>
      </c>
      <c r="FY50" s="2">
        <v>72</v>
      </c>
      <c r="FZ50" s="2"/>
      <c r="GA50" s="2" t="s">
        <v>3</v>
      </c>
      <c r="GB50" s="2"/>
      <c r="GC50" s="2"/>
      <c r="GD50" s="2">
        <v>1</v>
      </c>
      <c r="GE50" s="2"/>
      <c r="GF50" s="2">
        <v>-373036455</v>
      </c>
      <c r="GG50" s="2">
        <v>2</v>
      </c>
      <c r="GH50" s="2">
        <v>1</v>
      </c>
      <c r="GI50" s="2">
        <v>-2</v>
      </c>
      <c r="GJ50" s="2">
        <v>0</v>
      </c>
      <c r="GK50" s="2">
        <v>0</v>
      </c>
      <c r="GL50" s="2">
        <f t="shared" si="27"/>
        <v>0</v>
      </c>
      <c r="GM50" s="2">
        <f t="shared" si="28"/>
        <v>18580.45</v>
      </c>
      <c r="GN50" s="2">
        <f t="shared" si="29"/>
        <v>18580.45</v>
      </c>
      <c r="GO50" s="2">
        <f t="shared" si="30"/>
        <v>0</v>
      </c>
      <c r="GP50" s="2">
        <f t="shared" si="31"/>
        <v>0</v>
      </c>
      <c r="GQ50" s="2"/>
      <c r="GR50" s="2">
        <v>0</v>
      </c>
      <c r="GS50" s="2">
        <v>3</v>
      </c>
      <c r="GT50" s="2">
        <v>0</v>
      </c>
      <c r="GU50" s="2" t="s">
        <v>3</v>
      </c>
      <c r="GV50" s="2">
        <f t="shared" si="35"/>
        <v>0</v>
      </c>
      <c r="GW50" s="2">
        <v>1</v>
      </c>
      <c r="GX50" s="2">
        <f t="shared" si="33"/>
        <v>0</v>
      </c>
      <c r="GY50" s="2"/>
      <c r="GZ50" s="2"/>
      <c r="HA50" s="2">
        <v>0</v>
      </c>
      <c r="HB50" s="2">
        <v>0</v>
      </c>
      <c r="HC50" s="2">
        <f t="shared" si="34"/>
        <v>0</v>
      </c>
      <c r="HD50" s="2"/>
      <c r="HE50" s="2" t="s">
        <v>3</v>
      </c>
      <c r="HF50" s="2" t="s">
        <v>3</v>
      </c>
      <c r="HG50" s="2"/>
      <c r="HH50" s="2"/>
      <c r="HI50" s="2"/>
      <c r="HJ50" s="2"/>
      <c r="HK50" s="2"/>
      <c r="HL50" s="2"/>
      <c r="HM50" s="2" t="s">
        <v>3</v>
      </c>
      <c r="HN50" s="2" t="s">
        <v>41</v>
      </c>
      <c r="HO50" s="2" t="s">
        <v>42</v>
      </c>
      <c r="HP50" s="2" t="s">
        <v>37</v>
      </c>
      <c r="HQ50" s="2" t="s">
        <v>37</v>
      </c>
      <c r="HR50" s="2"/>
      <c r="HS50" s="2">
        <v>0</v>
      </c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>
        <v>0</v>
      </c>
      <c r="IL50" s="2"/>
      <c r="IM50" s="2"/>
      <c r="IN50" s="2"/>
      <c r="IO50" s="2"/>
      <c r="IP50" s="2"/>
      <c r="IQ50" s="2"/>
      <c r="IR50" s="2"/>
      <c r="IS50" s="2"/>
      <c r="IT50" s="2"/>
      <c r="IU50" s="2"/>
    </row>
    <row r="51" spans="1:255" x14ac:dyDescent="0.2">
      <c r="A51" s="2">
        <v>18</v>
      </c>
      <c r="B51" s="2">
        <v>1</v>
      </c>
      <c r="C51" s="2">
        <v>84</v>
      </c>
      <c r="D51" s="2"/>
      <c r="E51" s="2" t="s">
        <v>3</v>
      </c>
      <c r="F51" s="2" t="s">
        <v>91</v>
      </c>
      <c r="G51" s="2" t="s">
        <v>92</v>
      </c>
      <c r="H51" s="2" t="s">
        <v>93</v>
      </c>
      <c r="I51" s="2">
        <f>I50*J51</f>
        <v>0</v>
      </c>
      <c r="J51" s="2">
        <v>0</v>
      </c>
      <c r="K51" s="2">
        <v>0</v>
      </c>
      <c r="L51" s="2"/>
      <c r="M51" s="2"/>
      <c r="N51" s="2"/>
      <c r="O51" s="2">
        <f t="shared" si="14"/>
        <v>0</v>
      </c>
      <c r="P51" s="2">
        <f>ROUND(CQ51*I51,2)</f>
        <v>0</v>
      </c>
      <c r="Q51" s="2">
        <f>ROUND(CR51*I51,2)</f>
        <v>0</v>
      </c>
      <c r="R51" s="2">
        <f>ROUND(CS51*I51,2)</f>
        <v>0</v>
      </c>
      <c r="S51" s="2">
        <f>ROUND(CT51*I51,2)</f>
        <v>0</v>
      </c>
      <c r="T51" s="2">
        <f t="shared" si="15"/>
        <v>0</v>
      </c>
      <c r="U51" s="2">
        <f>ROUND(CV51*I51,7)</f>
        <v>0</v>
      </c>
      <c r="V51" s="2">
        <f>ROUND(CW51*I51,7)</f>
        <v>0</v>
      </c>
      <c r="W51" s="2">
        <f t="shared" si="16"/>
        <v>0</v>
      </c>
      <c r="X51" s="2">
        <f t="shared" si="17"/>
        <v>0</v>
      </c>
      <c r="Y51" s="2">
        <f t="shared" si="18"/>
        <v>0</v>
      </c>
      <c r="Z51" s="2"/>
      <c r="AA51" s="2">
        <v>-1</v>
      </c>
      <c r="AB51" s="2">
        <f t="shared" si="19"/>
        <v>0</v>
      </c>
      <c r="AC51" s="2">
        <f>ROUND((ES51),6)</f>
        <v>0</v>
      </c>
      <c r="AD51" s="2">
        <f>ROUND((((ET51)-(EU51))+AE51),6)</f>
        <v>0</v>
      </c>
      <c r="AE51" s="2">
        <f>ROUND((EU51),6)</f>
        <v>0</v>
      </c>
      <c r="AF51" s="2">
        <f>ROUND((EV51),6)</f>
        <v>0</v>
      </c>
      <c r="AG51" s="2">
        <f t="shared" si="20"/>
        <v>0</v>
      </c>
      <c r="AH51" s="2">
        <f>(EW51)</f>
        <v>0</v>
      </c>
      <c r="AI51" s="2">
        <f>(EX51)</f>
        <v>0</v>
      </c>
      <c r="AJ51" s="2">
        <f t="shared" si="21"/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121</v>
      </c>
      <c r="AU51" s="2">
        <v>72</v>
      </c>
      <c r="AV51" s="2">
        <v>1</v>
      </c>
      <c r="AW51" s="2">
        <v>1</v>
      </c>
      <c r="AX51" s="2"/>
      <c r="AY51" s="2"/>
      <c r="AZ51" s="2">
        <v>1</v>
      </c>
      <c r="BA51" s="2">
        <v>1</v>
      </c>
      <c r="BB51" s="2">
        <v>1</v>
      </c>
      <c r="BC51" s="2">
        <v>1</v>
      </c>
      <c r="BD51" s="2" t="s">
        <v>3</v>
      </c>
      <c r="BE51" s="2" t="s">
        <v>3</v>
      </c>
      <c r="BF51" s="2" t="s">
        <v>3</v>
      </c>
      <c r="BG51" s="2" t="s">
        <v>3</v>
      </c>
      <c r="BH51" s="2">
        <v>3</v>
      </c>
      <c r="BI51" s="2">
        <v>1</v>
      </c>
      <c r="BJ51" s="2" t="s">
        <v>3</v>
      </c>
      <c r="BK51" s="2"/>
      <c r="BL51" s="2"/>
      <c r="BM51" s="2">
        <v>16001</v>
      </c>
      <c r="BN51" s="2">
        <v>0</v>
      </c>
      <c r="BO51" s="2" t="s">
        <v>3</v>
      </c>
      <c r="BP51" s="2">
        <v>0</v>
      </c>
      <c r="BQ51" s="2">
        <v>2</v>
      </c>
      <c r="BR51" s="2">
        <v>0</v>
      </c>
      <c r="BS51" s="2">
        <v>1</v>
      </c>
      <c r="BT51" s="2">
        <v>1</v>
      </c>
      <c r="BU51" s="2">
        <v>1</v>
      </c>
      <c r="BV51" s="2">
        <v>1</v>
      </c>
      <c r="BW51" s="2">
        <v>1</v>
      </c>
      <c r="BX51" s="2">
        <v>1</v>
      </c>
      <c r="BY51" s="2" t="s">
        <v>3</v>
      </c>
      <c r="BZ51" s="2">
        <v>121</v>
      </c>
      <c r="CA51" s="2">
        <v>72</v>
      </c>
      <c r="CB51" s="2" t="s">
        <v>3</v>
      </c>
      <c r="CC51" s="2"/>
      <c r="CD51" s="2"/>
      <c r="CE51" s="2">
        <v>0</v>
      </c>
      <c r="CF51" s="2">
        <v>0</v>
      </c>
      <c r="CG51" s="2">
        <v>0</v>
      </c>
      <c r="CH51" s="2"/>
      <c r="CI51" s="2"/>
      <c r="CJ51" s="2"/>
      <c r="CK51" s="2"/>
      <c r="CL51" s="2"/>
      <c r="CM51" s="2">
        <v>0</v>
      </c>
      <c r="CN51" s="2" t="s">
        <v>3</v>
      </c>
      <c r="CO51" s="2">
        <v>0</v>
      </c>
      <c r="CP51" s="2">
        <f t="shared" si="22"/>
        <v>0</v>
      </c>
      <c r="CQ51" s="2">
        <f>ROUND(AL51*BC51,2)</f>
        <v>0</v>
      </c>
      <c r="CR51" s="2">
        <f>ROUND(AM51*BB51,2)</f>
        <v>0</v>
      </c>
      <c r="CS51" s="2">
        <f>ROUND(AN51*BS51,2)</f>
        <v>0</v>
      </c>
      <c r="CT51" s="2">
        <f>ROUND(AO51*BA51,2)</f>
        <v>0</v>
      </c>
      <c r="CU51" s="2">
        <f t="shared" si="23"/>
        <v>0</v>
      </c>
      <c r="CV51" s="2">
        <f>AH51</f>
        <v>0</v>
      </c>
      <c r="CW51" s="2">
        <f>AI51</f>
        <v>0</v>
      </c>
      <c r="CX51" s="2">
        <f t="shared" si="24"/>
        <v>0</v>
      </c>
      <c r="CY51" s="2">
        <f t="shared" si="25"/>
        <v>0</v>
      </c>
      <c r="CZ51" s="2">
        <f t="shared" si="26"/>
        <v>0</v>
      </c>
      <c r="DA51" s="2"/>
      <c r="DB51" s="2"/>
      <c r="DC51" s="2" t="s">
        <v>3</v>
      </c>
      <c r="DD51" s="2" t="s">
        <v>3</v>
      </c>
      <c r="DE51" s="2" t="s">
        <v>3</v>
      </c>
      <c r="DF51" s="2" t="s">
        <v>3</v>
      </c>
      <c r="DG51" s="2" t="s">
        <v>3</v>
      </c>
      <c r="DH51" s="2" t="s">
        <v>3</v>
      </c>
      <c r="DI51" s="2" t="s">
        <v>3</v>
      </c>
      <c r="DJ51" s="2" t="s">
        <v>3</v>
      </c>
      <c r="DK51" s="2" t="s">
        <v>3</v>
      </c>
      <c r="DL51" s="2" t="s">
        <v>3</v>
      </c>
      <c r="DM51" s="2" t="s">
        <v>3</v>
      </c>
      <c r="DN51" s="2">
        <v>0</v>
      </c>
      <c r="DO51" s="2">
        <v>0</v>
      </c>
      <c r="DP51" s="2">
        <v>1</v>
      </c>
      <c r="DQ51" s="2">
        <v>1</v>
      </c>
      <c r="DR51" s="2"/>
      <c r="DS51" s="2"/>
      <c r="DT51" s="2"/>
      <c r="DU51" s="2">
        <v>1009</v>
      </c>
      <c r="DV51" s="2" t="s">
        <v>93</v>
      </c>
      <c r="DW51" s="2" t="s">
        <v>93</v>
      </c>
      <c r="DX51" s="2">
        <v>1</v>
      </c>
      <c r="DY51" s="2"/>
      <c r="DZ51" s="2" t="s">
        <v>3</v>
      </c>
      <c r="EA51" s="2" t="s">
        <v>3</v>
      </c>
      <c r="EB51" s="2" t="s">
        <v>3</v>
      </c>
      <c r="EC51" s="2" t="s">
        <v>3</v>
      </c>
      <c r="ED51" s="2"/>
      <c r="EE51" s="2">
        <v>80781888</v>
      </c>
      <c r="EF51" s="2">
        <v>2</v>
      </c>
      <c r="EG51" s="2" t="s">
        <v>36</v>
      </c>
      <c r="EH51" s="2">
        <v>16</v>
      </c>
      <c r="EI51" s="2" t="s">
        <v>37</v>
      </c>
      <c r="EJ51" s="2">
        <v>1</v>
      </c>
      <c r="EK51" s="2">
        <v>16001</v>
      </c>
      <c r="EL51" s="2" t="s">
        <v>38</v>
      </c>
      <c r="EM51" s="2" t="s">
        <v>39</v>
      </c>
      <c r="EN51" s="2"/>
      <c r="EO51" s="2" t="s">
        <v>3</v>
      </c>
      <c r="EP51" s="2"/>
      <c r="EQ51" s="2">
        <v>1024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>
        <v>0</v>
      </c>
      <c r="FR51" s="2">
        <v>0</v>
      </c>
      <c r="FS51" s="2">
        <v>0</v>
      </c>
      <c r="FT51" s="2"/>
      <c r="FU51" s="2"/>
      <c r="FV51" s="2"/>
      <c r="FW51" s="2"/>
      <c r="FX51" s="2">
        <v>121</v>
      </c>
      <c r="FY51" s="2">
        <v>72</v>
      </c>
      <c r="FZ51" s="2"/>
      <c r="GA51" s="2" t="s">
        <v>3</v>
      </c>
      <c r="GB51" s="2"/>
      <c r="GC51" s="2"/>
      <c r="GD51" s="2">
        <v>1</v>
      </c>
      <c r="GE51" s="2"/>
      <c r="GF51" s="2">
        <v>1447119578</v>
      </c>
      <c r="GG51" s="2">
        <v>2</v>
      </c>
      <c r="GH51" s="2">
        <v>1</v>
      </c>
      <c r="GI51" s="2">
        <v>-2</v>
      </c>
      <c r="GJ51" s="2">
        <v>0</v>
      </c>
      <c r="GK51" s="2">
        <v>0</v>
      </c>
      <c r="GL51" s="2">
        <f t="shared" si="27"/>
        <v>0</v>
      </c>
      <c r="GM51" s="2">
        <f t="shared" si="28"/>
        <v>0</v>
      </c>
      <c r="GN51" s="2">
        <f t="shared" si="29"/>
        <v>0</v>
      </c>
      <c r="GO51" s="2">
        <f t="shared" si="30"/>
        <v>0</v>
      </c>
      <c r="GP51" s="2">
        <f t="shared" si="31"/>
        <v>0</v>
      </c>
      <c r="GQ51" s="2"/>
      <c r="GR51" s="2">
        <v>0</v>
      </c>
      <c r="GS51" s="2">
        <v>3</v>
      </c>
      <c r="GT51" s="2">
        <v>0</v>
      </c>
      <c r="GU51" s="2" t="s">
        <v>3</v>
      </c>
      <c r="GV51" s="2">
        <f t="shared" si="35"/>
        <v>0</v>
      </c>
      <c r="GW51" s="2">
        <v>1</v>
      </c>
      <c r="GX51" s="2">
        <f t="shared" si="33"/>
        <v>0</v>
      </c>
      <c r="GY51" s="2"/>
      <c r="GZ51" s="2"/>
      <c r="HA51" s="2">
        <v>0</v>
      </c>
      <c r="HB51" s="2">
        <v>0</v>
      </c>
      <c r="HC51" s="2">
        <f t="shared" si="34"/>
        <v>0</v>
      </c>
      <c r="HD51" s="2"/>
      <c r="HE51" s="2" t="s">
        <v>3</v>
      </c>
      <c r="HF51" s="2" t="s">
        <v>3</v>
      </c>
      <c r="HG51" s="2"/>
      <c r="HH51" s="2"/>
      <c r="HI51" s="2"/>
      <c r="HJ51" s="2"/>
      <c r="HK51" s="2"/>
      <c r="HL51" s="2"/>
      <c r="HM51" s="2" t="s">
        <v>3</v>
      </c>
      <c r="HN51" s="2" t="s">
        <v>41</v>
      </c>
      <c r="HO51" s="2" t="s">
        <v>42</v>
      </c>
      <c r="HP51" s="2" t="s">
        <v>37</v>
      </c>
      <c r="HQ51" s="2" t="s">
        <v>37</v>
      </c>
      <c r="HR51" s="2"/>
      <c r="HS51" s="2">
        <v>0</v>
      </c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>
        <v>0</v>
      </c>
      <c r="IL51" s="2"/>
      <c r="IM51" s="2"/>
      <c r="IN51" s="2"/>
      <c r="IO51" s="2"/>
      <c r="IP51" s="2"/>
      <c r="IQ51" s="2"/>
      <c r="IR51" s="2"/>
      <c r="IS51" s="2"/>
      <c r="IT51" s="2"/>
      <c r="IU51" s="2"/>
    </row>
    <row r="52" spans="1:255" x14ac:dyDescent="0.2">
      <c r="A52" s="2">
        <v>18</v>
      </c>
      <c r="B52" s="2">
        <v>1</v>
      </c>
      <c r="C52" s="2">
        <v>85</v>
      </c>
      <c r="D52" s="2"/>
      <c r="E52" s="2" t="s">
        <v>3</v>
      </c>
      <c r="F52" s="2" t="s">
        <v>117</v>
      </c>
      <c r="G52" s="2" t="s">
        <v>90</v>
      </c>
      <c r="H52" s="2" t="s">
        <v>72</v>
      </c>
      <c r="I52" s="2">
        <f>I50*J52</f>
        <v>15</v>
      </c>
      <c r="J52" s="2">
        <v>100</v>
      </c>
      <c r="K52" s="2">
        <v>100</v>
      </c>
      <c r="L52" s="2"/>
      <c r="M52" s="2"/>
      <c r="N52" s="2"/>
      <c r="O52" s="2">
        <f t="shared" si="14"/>
        <v>0</v>
      </c>
      <c r="P52" s="2">
        <f>ROUND(CQ52*I52,2)</f>
        <v>0</v>
      </c>
      <c r="Q52" s="2">
        <f>ROUND(CR52*I52,2)</f>
        <v>0</v>
      </c>
      <c r="R52" s="2">
        <f>ROUND(CS52*I52,2)</f>
        <v>0</v>
      </c>
      <c r="S52" s="2">
        <f>ROUND(CT52*I52,2)</f>
        <v>0</v>
      </c>
      <c r="T52" s="2">
        <f t="shared" si="15"/>
        <v>0</v>
      </c>
      <c r="U52" s="2">
        <f>ROUND(CV52*I52,7)</f>
        <v>0</v>
      </c>
      <c r="V52" s="2">
        <f>ROUND(CW52*I52,7)</f>
        <v>0</v>
      </c>
      <c r="W52" s="2">
        <f t="shared" si="16"/>
        <v>0</v>
      </c>
      <c r="X52" s="2">
        <f t="shared" si="17"/>
        <v>0</v>
      </c>
      <c r="Y52" s="2">
        <f t="shared" si="18"/>
        <v>0</v>
      </c>
      <c r="Z52" s="2"/>
      <c r="AA52" s="2">
        <v>-1</v>
      </c>
      <c r="AB52" s="2">
        <f t="shared" si="19"/>
        <v>0</v>
      </c>
      <c r="AC52" s="2">
        <f>ROUND((ES52),6)</f>
        <v>0</v>
      </c>
      <c r="AD52" s="2">
        <f>ROUND((((ET52)-(EU52))+AE52),6)</f>
        <v>0</v>
      </c>
      <c r="AE52" s="2">
        <f>ROUND((EU52),6)</f>
        <v>0</v>
      </c>
      <c r="AF52" s="2">
        <f>ROUND((EV52),6)</f>
        <v>0</v>
      </c>
      <c r="AG52" s="2">
        <f t="shared" si="20"/>
        <v>0</v>
      </c>
      <c r="AH52" s="2">
        <f>(EW52)</f>
        <v>0</v>
      </c>
      <c r="AI52" s="2">
        <f>(EX52)</f>
        <v>0</v>
      </c>
      <c r="AJ52" s="2">
        <f t="shared" si="21"/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121</v>
      </c>
      <c r="AU52" s="2">
        <v>72</v>
      </c>
      <c r="AV52" s="2">
        <v>1</v>
      </c>
      <c r="AW52" s="2">
        <v>1</v>
      </c>
      <c r="AX52" s="2"/>
      <c r="AY52" s="2"/>
      <c r="AZ52" s="2">
        <v>1</v>
      </c>
      <c r="BA52" s="2">
        <v>1</v>
      </c>
      <c r="BB52" s="2">
        <v>1</v>
      </c>
      <c r="BC52" s="2">
        <v>1</v>
      </c>
      <c r="BD52" s="2" t="s">
        <v>3</v>
      </c>
      <c r="BE52" s="2" t="s">
        <v>3</v>
      </c>
      <c r="BF52" s="2" t="s">
        <v>3</v>
      </c>
      <c r="BG52" s="2" t="s">
        <v>3</v>
      </c>
      <c r="BH52" s="2">
        <v>3</v>
      </c>
      <c r="BI52" s="2">
        <v>1</v>
      </c>
      <c r="BJ52" s="2" t="s">
        <v>3</v>
      </c>
      <c r="BK52" s="2"/>
      <c r="BL52" s="2"/>
      <c r="BM52" s="2">
        <v>16001</v>
      </c>
      <c r="BN52" s="2">
        <v>0</v>
      </c>
      <c r="BO52" s="2" t="s">
        <v>3</v>
      </c>
      <c r="BP52" s="2">
        <v>0</v>
      </c>
      <c r="BQ52" s="2">
        <v>2</v>
      </c>
      <c r="BR52" s="2">
        <v>0</v>
      </c>
      <c r="BS52" s="2">
        <v>1</v>
      </c>
      <c r="BT52" s="2">
        <v>1</v>
      </c>
      <c r="BU52" s="2">
        <v>1</v>
      </c>
      <c r="BV52" s="2">
        <v>1</v>
      </c>
      <c r="BW52" s="2">
        <v>1</v>
      </c>
      <c r="BX52" s="2">
        <v>1</v>
      </c>
      <c r="BY52" s="2" t="s">
        <v>3</v>
      </c>
      <c r="BZ52" s="2">
        <v>121</v>
      </c>
      <c r="CA52" s="2">
        <v>72</v>
      </c>
      <c r="CB52" s="2" t="s">
        <v>3</v>
      </c>
      <c r="CC52" s="2"/>
      <c r="CD52" s="2"/>
      <c r="CE52" s="2">
        <v>0</v>
      </c>
      <c r="CF52" s="2">
        <v>0</v>
      </c>
      <c r="CG52" s="2">
        <v>0</v>
      </c>
      <c r="CH52" s="2"/>
      <c r="CI52" s="2"/>
      <c r="CJ52" s="2"/>
      <c r="CK52" s="2"/>
      <c r="CL52" s="2"/>
      <c r="CM52" s="2">
        <v>0</v>
      </c>
      <c r="CN52" s="2" t="s">
        <v>3</v>
      </c>
      <c r="CO52" s="2">
        <v>0</v>
      </c>
      <c r="CP52" s="2">
        <f t="shared" si="22"/>
        <v>0</v>
      </c>
      <c r="CQ52" s="2">
        <f>ROUND(AL52*BC52,2)</f>
        <v>0</v>
      </c>
      <c r="CR52" s="2">
        <f>ROUND(AM52*BB52,2)</f>
        <v>0</v>
      </c>
      <c r="CS52" s="2">
        <f>ROUND(AN52*BS52,2)</f>
        <v>0</v>
      </c>
      <c r="CT52" s="2">
        <f>ROUND(AO52*BA52,2)</f>
        <v>0</v>
      </c>
      <c r="CU52" s="2">
        <f t="shared" si="23"/>
        <v>0</v>
      </c>
      <c r="CV52" s="2">
        <f>AH52</f>
        <v>0</v>
      </c>
      <c r="CW52" s="2">
        <f>AI52</f>
        <v>0</v>
      </c>
      <c r="CX52" s="2">
        <f t="shared" si="24"/>
        <v>0</v>
      </c>
      <c r="CY52" s="2">
        <f t="shared" si="25"/>
        <v>0</v>
      </c>
      <c r="CZ52" s="2">
        <f t="shared" si="26"/>
        <v>0</v>
      </c>
      <c r="DA52" s="2"/>
      <c r="DB52" s="2"/>
      <c r="DC52" s="2" t="s">
        <v>3</v>
      </c>
      <c r="DD52" s="2" t="s">
        <v>3</v>
      </c>
      <c r="DE52" s="2" t="s">
        <v>3</v>
      </c>
      <c r="DF52" s="2" t="s">
        <v>3</v>
      </c>
      <c r="DG52" s="2" t="s">
        <v>3</v>
      </c>
      <c r="DH52" s="2" t="s">
        <v>3</v>
      </c>
      <c r="DI52" s="2" t="s">
        <v>3</v>
      </c>
      <c r="DJ52" s="2" t="s">
        <v>3</v>
      </c>
      <c r="DK52" s="2" t="s">
        <v>3</v>
      </c>
      <c r="DL52" s="2" t="s">
        <v>3</v>
      </c>
      <c r="DM52" s="2" t="s">
        <v>3</v>
      </c>
      <c r="DN52" s="2">
        <v>0</v>
      </c>
      <c r="DO52" s="2">
        <v>0</v>
      </c>
      <c r="DP52" s="2">
        <v>1</v>
      </c>
      <c r="DQ52" s="2">
        <v>1</v>
      </c>
      <c r="DR52" s="2"/>
      <c r="DS52" s="2"/>
      <c r="DT52" s="2"/>
      <c r="DU52" s="2">
        <v>1003</v>
      </c>
      <c r="DV52" s="2" t="s">
        <v>72</v>
      </c>
      <c r="DW52" s="2" t="s">
        <v>72</v>
      </c>
      <c r="DX52" s="2">
        <v>1</v>
      </c>
      <c r="DY52" s="2"/>
      <c r="DZ52" s="2" t="s">
        <v>3</v>
      </c>
      <c r="EA52" s="2" t="s">
        <v>3</v>
      </c>
      <c r="EB52" s="2" t="s">
        <v>3</v>
      </c>
      <c r="EC52" s="2" t="s">
        <v>3</v>
      </c>
      <c r="ED52" s="2"/>
      <c r="EE52" s="2">
        <v>80781888</v>
      </c>
      <c r="EF52" s="2">
        <v>2</v>
      </c>
      <c r="EG52" s="2" t="s">
        <v>36</v>
      </c>
      <c r="EH52" s="2">
        <v>16</v>
      </c>
      <c r="EI52" s="2" t="s">
        <v>37</v>
      </c>
      <c r="EJ52" s="2">
        <v>1</v>
      </c>
      <c r="EK52" s="2">
        <v>16001</v>
      </c>
      <c r="EL52" s="2" t="s">
        <v>38</v>
      </c>
      <c r="EM52" s="2" t="s">
        <v>39</v>
      </c>
      <c r="EN52" s="2"/>
      <c r="EO52" s="2" t="s">
        <v>3</v>
      </c>
      <c r="EP52" s="2"/>
      <c r="EQ52" s="2">
        <v>1024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0</v>
      </c>
      <c r="EX52" s="2">
        <v>0</v>
      </c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>
        <v>0</v>
      </c>
      <c r="FR52" s="2">
        <v>0</v>
      </c>
      <c r="FS52" s="2">
        <v>0</v>
      </c>
      <c r="FT52" s="2"/>
      <c r="FU52" s="2"/>
      <c r="FV52" s="2"/>
      <c r="FW52" s="2"/>
      <c r="FX52" s="2">
        <v>121</v>
      </c>
      <c r="FY52" s="2">
        <v>72</v>
      </c>
      <c r="FZ52" s="2"/>
      <c r="GA52" s="2" t="s">
        <v>3</v>
      </c>
      <c r="GB52" s="2"/>
      <c r="GC52" s="2"/>
      <c r="GD52" s="2">
        <v>1</v>
      </c>
      <c r="GE52" s="2"/>
      <c r="GF52" s="2">
        <v>-2143544928</v>
      </c>
      <c r="GG52" s="2">
        <v>2</v>
      </c>
      <c r="GH52" s="2">
        <v>1</v>
      </c>
      <c r="GI52" s="2">
        <v>-2</v>
      </c>
      <c r="GJ52" s="2">
        <v>0</v>
      </c>
      <c r="GK52" s="2">
        <v>0</v>
      </c>
      <c r="GL52" s="2">
        <f t="shared" si="27"/>
        <v>0</v>
      </c>
      <c r="GM52" s="2">
        <f t="shared" si="28"/>
        <v>0</v>
      </c>
      <c r="GN52" s="2">
        <f t="shared" si="29"/>
        <v>0</v>
      </c>
      <c r="GO52" s="2">
        <f t="shared" si="30"/>
        <v>0</v>
      </c>
      <c r="GP52" s="2">
        <f t="shared" si="31"/>
        <v>0</v>
      </c>
      <c r="GQ52" s="2"/>
      <c r="GR52" s="2">
        <v>0</v>
      </c>
      <c r="GS52" s="2">
        <v>3</v>
      </c>
      <c r="GT52" s="2">
        <v>0</v>
      </c>
      <c r="GU52" s="2" t="s">
        <v>3</v>
      </c>
      <c r="GV52" s="2">
        <f t="shared" si="35"/>
        <v>0</v>
      </c>
      <c r="GW52" s="2">
        <v>1</v>
      </c>
      <c r="GX52" s="2">
        <f t="shared" si="33"/>
        <v>0</v>
      </c>
      <c r="GY52" s="2"/>
      <c r="GZ52" s="2"/>
      <c r="HA52" s="2">
        <v>0</v>
      </c>
      <c r="HB52" s="2">
        <v>0</v>
      </c>
      <c r="HC52" s="2">
        <f t="shared" si="34"/>
        <v>0</v>
      </c>
      <c r="HD52" s="2"/>
      <c r="HE52" s="2" t="s">
        <v>3</v>
      </c>
      <c r="HF52" s="2" t="s">
        <v>3</v>
      </c>
      <c r="HG52" s="2"/>
      <c r="HH52" s="2"/>
      <c r="HI52" s="2"/>
      <c r="HJ52" s="2"/>
      <c r="HK52" s="2"/>
      <c r="HL52" s="2"/>
      <c r="HM52" s="2" t="s">
        <v>3</v>
      </c>
      <c r="HN52" s="2" t="s">
        <v>41</v>
      </c>
      <c r="HO52" s="2" t="s">
        <v>42</v>
      </c>
      <c r="HP52" s="2" t="s">
        <v>37</v>
      </c>
      <c r="HQ52" s="2" t="s">
        <v>37</v>
      </c>
      <c r="HR52" s="2"/>
      <c r="HS52" s="2">
        <v>0</v>
      </c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>
        <v>0</v>
      </c>
      <c r="IL52" s="2"/>
      <c r="IM52" s="2"/>
      <c r="IN52" s="2"/>
      <c r="IO52" s="2"/>
      <c r="IP52" s="2"/>
      <c r="IQ52" s="2"/>
      <c r="IR52" s="2"/>
      <c r="IS52" s="2"/>
      <c r="IT52" s="2"/>
      <c r="IU52" s="2"/>
    </row>
    <row r="53" spans="1:255" x14ac:dyDescent="0.2">
      <c r="A53" s="2">
        <v>17</v>
      </c>
      <c r="B53" s="2">
        <v>1</v>
      </c>
      <c r="C53" s="2">
        <f>ROW(SmtRes!A96)</f>
        <v>96</v>
      </c>
      <c r="D53" s="2">
        <f>ROW(EtalonRes!A93)</f>
        <v>93</v>
      </c>
      <c r="E53" s="2" t="s">
        <v>3</v>
      </c>
      <c r="F53" s="2" t="s">
        <v>118</v>
      </c>
      <c r="G53" s="2" t="s">
        <v>119</v>
      </c>
      <c r="H53" s="2" t="s">
        <v>120</v>
      </c>
      <c r="I53" s="2">
        <f>ROUND(10/10,7)</f>
        <v>1</v>
      </c>
      <c r="J53" s="2">
        <v>0</v>
      </c>
      <c r="K53" s="2">
        <f>ROUND(10/10,7)</f>
        <v>1</v>
      </c>
      <c r="L53" s="2"/>
      <c r="M53" s="2"/>
      <c r="N53" s="2"/>
      <c r="O53" s="2">
        <f t="shared" si="14"/>
        <v>28004.22</v>
      </c>
      <c r="P53" s="2">
        <f>SUMIF(SmtRes!AQ86:'SmtRes'!AQ96,"=1",SmtRes!DF86:'SmtRes'!DF96)</f>
        <v>370.16</v>
      </c>
      <c r="Q53" s="2">
        <f>SUMIF(SmtRes!AQ86:'SmtRes'!AQ96,"=1",SmtRes!DG86:'SmtRes'!DG96)</f>
        <v>9998.34</v>
      </c>
      <c r="R53" s="2">
        <f>SUMIF(SmtRes!AQ86:'SmtRes'!AQ96,"=1",SmtRes!DH86:'SmtRes'!DH96)</f>
        <v>6191.1100000000006</v>
      </c>
      <c r="S53" s="2">
        <f>SUMIF(SmtRes!AQ86:'SmtRes'!AQ96,"=1",SmtRes!DI86:'SmtRes'!DI96)</f>
        <v>11444.61</v>
      </c>
      <c r="T53" s="2">
        <f t="shared" si="15"/>
        <v>0</v>
      </c>
      <c r="U53" s="2">
        <f>SUMIF(SmtRes!AQ86:'SmtRes'!AQ96,"=1",SmtRes!CV86:'SmtRes'!CV96)</f>
        <v>15.219999999999999</v>
      </c>
      <c r="V53" s="2">
        <f>SUMIF(SmtRes!AQ86:'SmtRes'!AQ96,"=1",SmtRes!CW86:'SmtRes'!CW96)</f>
        <v>7.37</v>
      </c>
      <c r="W53" s="2">
        <f t="shared" si="16"/>
        <v>0</v>
      </c>
      <c r="X53" s="2">
        <f t="shared" si="17"/>
        <v>20633.79</v>
      </c>
      <c r="Y53" s="2">
        <f t="shared" si="18"/>
        <v>13050.43</v>
      </c>
      <c r="Z53" s="2"/>
      <c r="AA53" s="2">
        <v>-1</v>
      </c>
      <c r="AB53" s="2">
        <f t="shared" si="19"/>
        <v>19777.92844</v>
      </c>
      <c r="AC53" s="2">
        <f>ROUND((SUM(SmtRes!BQ86:'SmtRes'!BQ96)),6)</f>
        <v>459.44024000000002</v>
      </c>
      <c r="AD53" s="2">
        <f>ROUND((((SUM(SmtRes!BR86:'SmtRes'!BR96))-(SUM(SmtRes!BS86:'SmtRes'!BS96)))+AE53),6)</f>
        <v>7873.8779999999997</v>
      </c>
      <c r="AE53" s="2">
        <f>ROUND((SUM(SmtRes!BS86:'SmtRes'!BS96)),6)</f>
        <v>6191.1091999999999</v>
      </c>
      <c r="AF53" s="2">
        <f>ROUND((SUM(SmtRes!BT86:'SmtRes'!BT96)),6)</f>
        <v>11444.610199999999</v>
      </c>
      <c r="AG53" s="2">
        <f t="shared" si="20"/>
        <v>0</v>
      </c>
      <c r="AH53" s="2">
        <f>(SUM(SmtRes!BU86:'SmtRes'!BU96))</f>
        <v>15.219999999999999</v>
      </c>
      <c r="AI53" s="2">
        <f>(SUM(SmtRes!BV86:'SmtRes'!BV96))</f>
        <v>7.37</v>
      </c>
      <c r="AJ53" s="2">
        <f t="shared" si="21"/>
        <v>0</v>
      </c>
      <c r="AK53" s="2">
        <v>25969.037640000002</v>
      </c>
      <c r="AL53" s="2">
        <v>459.44024000000002</v>
      </c>
      <c r="AM53" s="2">
        <v>7873.8779999999997</v>
      </c>
      <c r="AN53" s="2">
        <v>6191.1092000000008</v>
      </c>
      <c r="AO53" s="2">
        <v>11444.610199999999</v>
      </c>
      <c r="AP53" s="2">
        <v>0</v>
      </c>
      <c r="AQ53" s="2">
        <v>15.219999999999999</v>
      </c>
      <c r="AR53" s="2">
        <v>7.37</v>
      </c>
      <c r="AS53" s="2">
        <v>0</v>
      </c>
      <c r="AT53" s="2">
        <v>117</v>
      </c>
      <c r="AU53" s="2">
        <v>74</v>
      </c>
      <c r="AV53" s="2">
        <v>1</v>
      </c>
      <c r="AW53" s="2">
        <v>1</v>
      </c>
      <c r="AX53" s="2"/>
      <c r="AY53" s="2"/>
      <c r="AZ53" s="2">
        <v>1</v>
      </c>
      <c r="BA53" s="2">
        <v>1</v>
      </c>
      <c r="BB53" s="2">
        <v>1</v>
      </c>
      <c r="BC53" s="2">
        <v>1</v>
      </c>
      <c r="BD53" s="2" t="s">
        <v>3</v>
      </c>
      <c r="BE53" s="2" t="s">
        <v>3</v>
      </c>
      <c r="BF53" s="2" t="s">
        <v>3</v>
      </c>
      <c r="BG53" s="2" t="s">
        <v>3</v>
      </c>
      <c r="BH53" s="2">
        <v>0</v>
      </c>
      <c r="BI53" s="2">
        <v>1</v>
      </c>
      <c r="BJ53" s="2" t="s">
        <v>121</v>
      </c>
      <c r="BK53" s="2"/>
      <c r="BL53" s="2"/>
      <c r="BM53" s="2">
        <v>22001</v>
      </c>
      <c r="BN53" s="2">
        <v>0</v>
      </c>
      <c r="BO53" s="2" t="s">
        <v>3</v>
      </c>
      <c r="BP53" s="2">
        <v>0</v>
      </c>
      <c r="BQ53" s="2">
        <v>2</v>
      </c>
      <c r="BR53" s="2">
        <v>0</v>
      </c>
      <c r="BS53" s="2">
        <v>1</v>
      </c>
      <c r="BT53" s="2">
        <v>1</v>
      </c>
      <c r="BU53" s="2">
        <v>1</v>
      </c>
      <c r="BV53" s="2">
        <v>1</v>
      </c>
      <c r="BW53" s="2">
        <v>1</v>
      </c>
      <c r="BX53" s="2">
        <v>1</v>
      </c>
      <c r="BY53" s="2" t="s">
        <v>3</v>
      </c>
      <c r="BZ53" s="2">
        <v>117</v>
      </c>
      <c r="CA53" s="2">
        <v>74</v>
      </c>
      <c r="CB53" s="2" t="s">
        <v>3</v>
      </c>
      <c r="CC53" s="2"/>
      <c r="CD53" s="2"/>
      <c r="CE53" s="2">
        <v>0</v>
      </c>
      <c r="CF53" s="2">
        <v>0</v>
      </c>
      <c r="CG53" s="2">
        <v>0</v>
      </c>
      <c r="CH53" s="2"/>
      <c r="CI53" s="2"/>
      <c r="CJ53" s="2"/>
      <c r="CK53" s="2"/>
      <c r="CL53" s="2"/>
      <c r="CM53" s="2">
        <v>0</v>
      </c>
      <c r="CN53" s="2" t="s">
        <v>3</v>
      </c>
      <c r="CO53" s="2">
        <v>0</v>
      </c>
      <c r="CP53" s="2">
        <f t="shared" si="22"/>
        <v>28004.22</v>
      </c>
      <c r="CQ53" s="2">
        <f>SUMIF(SmtRes!AQ86:'SmtRes'!AQ96,"=1",SmtRes!AA86:'SmtRes'!AA96)</f>
        <v>274.28999999999996</v>
      </c>
      <c r="CR53" s="2">
        <f>SUMIF(SmtRes!AQ86:'SmtRes'!AQ96,"=1",SmtRes!AB86:'SmtRes'!AB96)</f>
        <v>1902.65</v>
      </c>
      <c r="CS53" s="2">
        <f>SUMIF(SmtRes!AQ86:'SmtRes'!AQ96,"=1",SmtRes!AC86:'SmtRes'!AC96)</f>
        <v>1571.27</v>
      </c>
      <c r="CT53" s="2">
        <f>SUMIF(SmtRes!AQ86:'SmtRes'!AQ96,"=1",SmtRes!AD86:'SmtRes'!AD96)</f>
        <v>2766.09</v>
      </c>
      <c r="CU53" s="2">
        <f t="shared" si="23"/>
        <v>0</v>
      </c>
      <c r="CV53" s="2">
        <f>SUMIF(SmtRes!AQ86:'SmtRes'!AQ96,"=1",SmtRes!BU86:'SmtRes'!BU96)</f>
        <v>15.219999999999999</v>
      </c>
      <c r="CW53" s="2">
        <f>SUMIF(SmtRes!AQ86:'SmtRes'!AQ96,"=1",SmtRes!BV86:'SmtRes'!BV96)</f>
        <v>7.37</v>
      </c>
      <c r="CX53" s="2">
        <f t="shared" si="24"/>
        <v>0</v>
      </c>
      <c r="CY53" s="2">
        <f t="shared" si="25"/>
        <v>20633.792400000002</v>
      </c>
      <c r="CZ53" s="2">
        <f t="shared" si="26"/>
        <v>13050.4328</v>
      </c>
      <c r="DA53" s="2"/>
      <c r="DB53" s="2"/>
      <c r="DC53" s="2" t="s">
        <v>3</v>
      </c>
      <c r="DD53" s="2" t="s">
        <v>3</v>
      </c>
      <c r="DE53" s="2" t="s">
        <v>3</v>
      </c>
      <c r="DF53" s="2" t="s">
        <v>3</v>
      </c>
      <c r="DG53" s="2" t="s">
        <v>3</v>
      </c>
      <c r="DH53" s="2" t="s">
        <v>3</v>
      </c>
      <c r="DI53" s="2" t="s">
        <v>3</v>
      </c>
      <c r="DJ53" s="2" t="s">
        <v>3</v>
      </c>
      <c r="DK53" s="2" t="s">
        <v>3</v>
      </c>
      <c r="DL53" s="2" t="s">
        <v>3</v>
      </c>
      <c r="DM53" s="2" t="s">
        <v>3</v>
      </c>
      <c r="DN53" s="2">
        <v>0</v>
      </c>
      <c r="DO53" s="2">
        <v>0</v>
      </c>
      <c r="DP53" s="2">
        <v>1</v>
      </c>
      <c r="DQ53" s="2">
        <v>1</v>
      </c>
      <c r="DR53" s="2"/>
      <c r="DS53" s="2"/>
      <c r="DT53" s="2"/>
      <c r="DU53" s="2">
        <v>1013</v>
      </c>
      <c r="DV53" s="2" t="s">
        <v>120</v>
      </c>
      <c r="DW53" s="2" t="s">
        <v>120</v>
      </c>
      <c r="DX53" s="2">
        <v>1</v>
      </c>
      <c r="DY53" s="2"/>
      <c r="DZ53" s="2" t="s">
        <v>3</v>
      </c>
      <c r="EA53" s="2" t="s">
        <v>3</v>
      </c>
      <c r="EB53" s="2" t="s">
        <v>3</v>
      </c>
      <c r="EC53" s="2" t="s">
        <v>3</v>
      </c>
      <c r="ED53" s="2"/>
      <c r="EE53" s="2">
        <v>80781894</v>
      </c>
      <c r="EF53" s="2">
        <v>2</v>
      </c>
      <c r="EG53" s="2" t="s">
        <v>36</v>
      </c>
      <c r="EH53" s="2">
        <v>18</v>
      </c>
      <c r="EI53" s="2" t="s">
        <v>122</v>
      </c>
      <c r="EJ53" s="2">
        <v>1</v>
      </c>
      <c r="EK53" s="2">
        <v>22001</v>
      </c>
      <c r="EL53" s="2" t="s">
        <v>122</v>
      </c>
      <c r="EM53" s="2" t="s">
        <v>123</v>
      </c>
      <c r="EN53" s="2"/>
      <c r="EO53" s="2" t="s">
        <v>3</v>
      </c>
      <c r="EP53" s="2"/>
      <c r="EQ53" s="2">
        <v>1024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15.22</v>
      </c>
      <c r="EX53" s="2">
        <v>7.37</v>
      </c>
      <c r="EY53" s="2">
        <v>0</v>
      </c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>
        <v>0</v>
      </c>
      <c r="FR53" s="2">
        <v>0</v>
      </c>
      <c r="FS53" s="2">
        <v>0</v>
      </c>
      <c r="FT53" s="2"/>
      <c r="FU53" s="2"/>
      <c r="FV53" s="2"/>
      <c r="FW53" s="2"/>
      <c r="FX53" s="2">
        <v>117</v>
      </c>
      <c r="FY53" s="2">
        <v>74</v>
      </c>
      <c r="FZ53" s="2"/>
      <c r="GA53" s="2" t="s">
        <v>3</v>
      </c>
      <c r="GB53" s="2"/>
      <c r="GC53" s="2"/>
      <c r="GD53" s="2">
        <v>1</v>
      </c>
      <c r="GE53" s="2"/>
      <c r="GF53" s="2">
        <v>278780701</v>
      </c>
      <c r="GG53" s="2">
        <v>2</v>
      </c>
      <c r="GH53" s="2">
        <v>1</v>
      </c>
      <c r="GI53" s="2">
        <v>-2</v>
      </c>
      <c r="GJ53" s="2">
        <v>0</v>
      </c>
      <c r="GK53" s="2">
        <v>0</v>
      </c>
      <c r="GL53" s="2">
        <f t="shared" si="27"/>
        <v>0</v>
      </c>
      <c r="GM53" s="2">
        <f t="shared" si="28"/>
        <v>61688.44</v>
      </c>
      <c r="GN53" s="2">
        <f t="shared" si="29"/>
        <v>61688.44</v>
      </c>
      <c r="GO53" s="2">
        <f t="shared" si="30"/>
        <v>0</v>
      </c>
      <c r="GP53" s="2">
        <f t="shared" si="31"/>
        <v>0</v>
      </c>
      <c r="GQ53" s="2"/>
      <c r="GR53" s="2">
        <v>0</v>
      </c>
      <c r="GS53" s="2">
        <v>3</v>
      </c>
      <c r="GT53" s="2">
        <v>0</v>
      </c>
      <c r="GU53" s="2" t="s">
        <v>3</v>
      </c>
      <c r="GV53" s="2">
        <f t="shared" si="35"/>
        <v>0</v>
      </c>
      <c r="GW53" s="2">
        <v>1</v>
      </c>
      <c r="GX53" s="2">
        <f t="shared" si="33"/>
        <v>0</v>
      </c>
      <c r="GY53" s="2"/>
      <c r="GZ53" s="2"/>
      <c r="HA53" s="2">
        <v>0</v>
      </c>
      <c r="HB53" s="2">
        <v>0</v>
      </c>
      <c r="HC53" s="2">
        <f t="shared" si="34"/>
        <v>0</v>
      </c>
      <c r="HD53" s="2"/>
      <c r="HE53" s="2" t="s">
        <v>3</v>
      </c>
      <c r="HF53" s="2" t="s">
        <v>3</v>
      </c>
      <c r="HG53" s="2"/>
      <c r="HH53" s="2"/>
      <c r="HI53" s="2"/>
      <c r="HJ53" s="2"/>
      <c r="HK53" s="2"/>
      <c r="HL53" s="2"/>
      <c r="HM53" s="2" t="s">
        <v>3</v>
      </c>
      <c r="HN53" s="2" t="s">
        <v>124</v>
      </c>
      <c r="HO53" s="2" t="s">
        <v>125</v>
      </c>
      <c r="HP53" s="2" t="s">
        <v>122</v>
      </c>
      <c r="HQ53" s="2" t="s">
        <v>122</v>
      </c>
      <c r="HR53" s="2"/>
      <c r="HS53" s="2">
        <v>0</v>
      </c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>
        <v>0</v>
      </c>
      <c r="IL53" s="2"/>
      <c r="IM53" s="2"/>
      <c r="IN53" s="2"/>
      <c r="IO53" s="2"/>
      <c r="IP53" s="2"/>
      <c r="IQ53" s="2"/>
      <c r="IR53" s="2"/>
      <c r="IS53" s="2"/>
      <c r="IT53" s="2"/>
      <c r="IU53" s="2"/>
    </row>
    <row r="54" spans="1:255" x14ac:dyDescent="0.2">
      <c r="A54" s="2">
        <v>18</v>
      </c>
      <c r="B54" s="2">
        <v>1</v>
      </c>
      <c r="C54" s="2">
        <v>96</v>
      </c>
      <c r="D54" s="2"/>
      <c r="E54" s="2" t="s">
        <v>3</v>
      </c>
      <c r="F54" s="2" t="s">
        <v>126</v>
      </c>
      <c r="G54" s="2" t="s">
        <v>127</v>
      </c>
      <c r="H54" s="2" t="s">
        <v>30</v>
      </c>
      <c r="I54" s="2">
        <f>I53*J54</f>
        <v>10</v>
      </c>
      <c r="J54" s="2">
        <v>10</v>
      </c>
      <c r="K54" s="2">
        <v>10</v>
      </c>
      <c r="L54" s="2"/>
      <c r="M54" s="2"/>
      <c r="N54" s="2"/>
      <c r="O54" s="2">
        <f t="shared" si="14"/>
        <v>0</v>
      </c>
      <c r="P54" s="2">
        <f>ROUND(CQ54*I54,2)</f>
        <v>0</v>
      </c>
      <c r="Q54" s="2">
        <f>ROUND(CR54*I54,2)</f>
        <v>0</v>
      </c>
      <c r="R54" s="2">
        <f>ROUND(CS54*I54,2)</f>
        <v>0</v>
      </c>
      <c r="S54" s="2">
        <f>ROUND(CT54*I54,2)</f>
        <v>0</v>
      </c>
      <c r="T54" s="2">
        <f t="shared" si="15"/>
        <v>0</v>
      </c>
      <c r="U54" s="2">
        <f>ROUND(CV54*I54,7)</f>
        <v>0</v>
      </c>
      <c r="V54" s="2">
        <f>ROUND(CW54*I54,7)</f>
        <v>0</v>
      </c>
      <c r="W54" s="2">
        <f t="shared" si="16"/>
        <v>0</v>
      </c>
      <c r="X54" s="2">
        <f t="shared" si="17"/>
        <v>0</v>
      </c>
      <c r="Y54" s="2">
        <f t="shared" si="18"/>
        <v>0</v>
      </c>
      <c r="Z54" s="2"/>
      <c r="AA54" s="2">
        <v>-1</v>
      </c>
      <c r="AB54" s="2">
        <f t="shared" si="19"/>
        <v>0</v>
      </c>
      <c r="AC54" s="2">
        <f>ROUND((ES54),6)</f>
        <v>0</v>
      </c>
      <c r="AD54" s="2">
        <f>ROUND((((ET54)-(EU54))+AE54),6)</f>
        <v>0</v>
      </c>
      <c r="AE54" s="2">
        <f>ROUND((EU54),6)</f>
        <v>0</v>
      </c>
      <c r="AF54" s="2">
        <f>ROUND((EV54),6)</f>
        <v>0</v>
      </c>
      <c r="AG54" s="2">
        <f t="shared" si="20"/>
        <v>0</v>
      </c>
      <c r="AH54" s="2">
        <f>(EW54)</f>
        <v>0</v>
      </c>
      <c r="AI54" s="2">
        <f>(EX54)</f>
        <v>0</v>
      </c>
      <c r="AJ54" s="2">
        <f t="shared" si="21"/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117</v>
      </c>
      <c r="AU54" s="2">
        <v>74</v>
      </c>
      <c r="AV54" s="2">
        <v>1</v>
      </c>
      <c r="AW54" s="2">
        <v>1</v>
      </c>
      <c r="AX54" s="2"/>
      <c r="AY54" s="2"/>
      <c r="AZ54" s="2">
        <v>1</v>
      </c>
      <c r="BA54" s="2">
        <v>1</v>
      </c>
      <c r="BB54" s="2">
        <v>1</v>
      </c>
      <c r="BC54" s="2">
        <v>1</v>
      </c>
      <c r="BD54" s="2" t="s">
        <v>3</v>
      </c>
      <c r="BE54" s="2" t="s">
        <v>3</v>
      </c>
      <c r="BF54" s="2" t="s">
        <v>3</v>
      </c>
      <c r="BG54" s="2" t="s">
        <v>3</v>
      </c>
      <c r="BH54" s="2">
        <v>3</v>
      </c>
      <c r="BI54" s="2">
        <v>1</v>
      </c>
      <c r="BJ54" s="2" t="s">
        <v>3</v>
      </c>
      <c r="BK54" s="2"/>
      <c r="BL54" s="2"/>
      <c r="BM54" s="2">
        <v>22001</v>
      </c>
      <c r="BN54" s="2">
        <v>0</v>
      </c>
      <c r="BO54" s="2" t="s">
        <v>3</v>
      </c>
      <c r="BP54" s="2">
        <v>0</v>
      </c>
      <c r="BQ54" s="2">
        <v>2</v>
      </c>
      <c r="BR54" s="2">
        <v>0</v>
      </c>
      <c r="BS54" s="2">
        <v>1</v>
      </c>
      <c r="BT54" s="2">
        <v>1</v>
      </c>
      <c r="BU54" s="2">
        <v>1</v>
      </c>
      <c r="BV54" s="2">
        <v>1</v>
      </c>
      <c r="BW54" s="2">
        <v>1</v>
      </c>
      <c r="BX54" s="2">
        <v>1</v>
      </c>
      <c r="BY54" s="2" t="s">
        <v>3</v>
      </c>
      <c r="BZ54" s="2">
        <v>117</v>
      </c>
      <c r="CA54" s="2">
        <v>74</v>
      </c>
      <c r="CB54" s="2" t="s">
        <v>3</v>
      </c>
      <c r="CC54" s="2"/>
      <c r="CD54" s="2"/>
      <c r="CE54" s="2">
        <v>0</v>
      </c>
      <c r="CF54" s="2">
        <v>0</v>
      </c>
      <c r="CG54" s="2">
        <v>0</v>
      </c>
      <c r="CH54" s="2"/>
      <c r="CI54" s="2"/>
      <c r="CJ54" s="2"/>
      <c r="CK54" s="2"/>
      <c r="CL54" s="2"/>
      <c r="CM54" s="2">
        <v>0</v>
      </c>
      <c r="CN54" s="2" t="s">
        <v>3</v>
      </c>
      <c r="CO54" s="2">
        <v>0</v>
      </c>
      <c r="CP54" s="2">
        <f t="shared" si="22"/>
        <v>0</v>
      </c>
      <c r="CQ54" s="2">
        <f>ROUND(AL54*BC54,2)</f>
        <v>0</v>
      </c>
      <c r="CR54" s="2">
        <f>ROUND(AM54*BB54,2)</f>
        <v>0</v>
      </c>
      <c r="CS54" s="2">
        <f>ROUND(AN54*BS54,2)</f>
        <v>0</v>
      </c>
      <c r="CT54" s="2">
        <f>ROUND(AO54*BA54,2)</f>
        <v>0</v>
      </c>
      <c r="CU54" s="2">
        <f t="shared" si="23"/>
        <v>0</v>
      </c>
      <c r="CV54" s="2">
        <f>AH54</f>
        <v>0</v>
      </c>
      <c r="CW54" s="2">
        <f>AI54</f>
        <v>0</v>
      </c>
      <c r="CX54" s="2">
        <f t="shared" si="24"/>
        <v>0</v>
      </c>
      <c r="CY54" s="2">
        <f t="shared" si="25"/>
        <v>0</v>
      </c>
      <c r="CZ54" s="2">
        <f t="shared" si="26"/>
        <v>0</v>
      </c>
      <c r="DA54" s="2"/>
      <c r="DB54" s="2"/>
      <c r="DC54" s="2" t="s">
        <v>3</v>
      </c>
      <c r="DD54" s="2" t="s">
        <v>3</v>
      </c>
      <c r="DE54" s="2" t="s">
        <v>3</v>
      </c>
      <c r="DF54" s="2" t="s">
        <v>3</v>
      </c>
      <c r="DG54" s="2" t="s">
        <v>3</v>
      </c>
      <c r="DH54" s="2" t="s">
        <v>3</v>
      </c>
      <c r="DI54" s="2" t="s">
        <v>3</v>
      </c>
      <c r="DJ54" s="2" t="s">
        <v>3</v>
      </c>
      <c r="DK54" s="2" t="s">
        <v>3</v>
      </c>
      <c r="DL54" s="2" t="s">
        <v>3</v>
      </c>
      <c r="DM54" s="2" t="s">
        <v>3</v>
      </c>
      <c r="DN54" s="2">
        <v>0</v>
      </c>
      <c r="DO54" s="2">
        <v>0</v>
      </c>
      <c r="DP54" s="2">
        <v>1</v>
      </c>
      <c r="DQ54" s="2">
        <v>1</v>
      </c>
      <c r="DR54" s="2"/>
      <c r="DS54" s="2"/>
      <c r="DT54" s="2"/>
      <c r="DU54" s="2">
        <v>1013</v>
      </c>
      <c r="DV54" s="2" t="s">
        <v>30</v>
      </c>
      <c r="DW54" s="2" t="s">
        <v>30</v>
      </c>
      <c r="DX54" s="2">
        <v>1</v>
      </c>
      <c r="DY54" s="2"/>
      <c r="DZ54" s="2" t="s">
        <v>3</v>
      </c>
      <c r="EA54" s="2" t="s">
        <v>3</v>
      </c>
      <c r="EB54" s="2" t="s">
        <v>3</v>
      </c>
      <c r="EC54" s="2" t="s">
        <v>3</v>
      </c>
      <c r="ED54" s="2"/>
      <c r="EE54" s="2">
        <v>80781894</v>
      </c>
      <c r="EF54" s="2">
        <v>2</v>
      </c>
      <c r="EG54" s="2" t="s">
        <v>36</v>
      </c>
      <c r="EH54" s="2">
        <v>18</v>
      </c>
      <c r="EI54" s="2" t="s">
        <v>122</v>
      </c>
      <c r="EJ54" s="2">
        <v>1</v>
      </c>
      <c r="EK54" s="2">
        <v>22001</v>
      </c>
      <c r="EL54" s="2" t="s">
        <v>122</v>
      </c>
      <c r="EM54" s="2" t="s">
        <v>123</v>
      </c>
      <c r="EN54" s="2"/>
      <c r="EO54" s="2" t="s">
        <v>3</v>
      </c>
      <c r="EP54" s="2"/>
      <c r="EQ54" s="2">
        <v>1024</v>
      </c>
      <c r="ER54" s="2">
        <v>0</v>
      </c>
      <c r="ES54" s="2">
        <v>0</v>
      </c>
      <c r="ET54" s="2">
        <v>0</v>
      </c>
      <c r="EU54" s="2">
        <v>0</v>
      </c>
      <c r="EV54" s="2">
        <v>0</v>
      </c>
      <c r="EW54" s="2">
        <v>0</v>
      </c>
      <c r="EX54" s="2">
        <v>0</v>
      </c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>
        <v>0</v>
      </c>
      <c r="FR54" s="2">
        <v>0</v>
      </c>
      <c r="FS54" s="2">
        <v>0</v>
      </c>
      <c r="FT54" s="2"/>
      <c r="FU54" s="2"/>
      <c r="FV54" s="2"/>
      <c r="FW54" s="2"/>
      <c r="FX54" s="2">
        <v>117</v>
      </c>
      <c r="FY54" s="2">
        <v>74</v>
      </c>
      <c r="FZ54" s="2"/>
      <c r="GA54" s="2" t="s">
        <v>3</v>
      </c>
      <c r="GB54" s="2"/>
      <c r="GC54" s="2"/>
      <c r="GD54" s="2">
        <v>1</v>
      </c>
      <c r="GE54" s="2"/>
      <c r="GF54" s="2">
        <v>-1141278622</v>
      </c>
      <c r="GG54" s="2">
        <v>2</v>
      </c>
      <c r="GH54" s="2">
        <v>1</v>
      </c>
      <c r="GI54" s="2">
        <v>-2</v>
      </c>
      <c r="GJ54" s="2">
        <v>0</v>
      </c>
      <c r="GK54" s="2">
        <v>0</v>
      </c>
      <c r="GL54" s="2">
        <f t="shared" si="27"/>
        <v>0</v>
      </c>
      <c r="GM54" s="2">
        <f t="shared" si="28"/>
        <v>0</v>
      </c>
      <c r="GN54" s="2">
        <f t="shared" si="29"/>
        <v>0</v>
      </c>
      <c r="GO54" s="2">
        <f t="shared" si="30"/>
        <v>0</v>
      </c>
      <c r="GP54" s="2">
        <f t="shared" si="31"/>
        <v>0</v>
      </c>
      <c r="GQ54" s="2"/>
      <c r="GR54" s="2">
        <v>0</v>
      </c>
      <c r="GS54" s="2">
        <v>3</v>
      </c>
      <c r="GT54" s="2">
        <v>0</v>
      </c>
      <c r="GU54" s="2" t="s">
        <v>3</v>
      </c>
      <c r="GV54" s="2">
        <f t="shared" si="35"/>
        <v>0</v>
      </c>
      <c r="GW54" s="2">
        <v>1</v>
      </c>
      <c r="GX54" s="2">
        <f t="shared" si="33"/>
        <v>0</v>
      </c>
      <c r="GY54" s="2"/>
      <c r="GZ54" s="2"/>
      <c r="HA54" s="2">
        <v>0</v>
      </c>
      <c r="HB54" s="2">
        <v>0</v>
      </c>
      <c r="HC54" s="2">
        <f t="shared" si="34"/>
        <v>0</v>
      </c>
      <c r="HD54" s="2"/>
      <c r="HE54" s="2" t="s">
        <v>3</v>
      </c>
      <c r="HF54" s="2" t="s">
        <v>3</v>
      </c>
      <c r="HG54" s="2"/>
      <c r="HH54" s="2"/>
      <c r="HI54" s="2"/>
      <c r="HJ54" s="2"/>
      <c r="HK54" s="2"/>
      <c r="HL54" s="2"/>
      <c r="HM54" s="2" t="s">
        <v>3</v>
      </c>
      <c r="HN54" s="2" t="s">
        <v>124</v>
      </c>
      <c r="HO54" s="2" t="s">
        <v>125</v>
      </c>
      <c r="HP54" s="2" t="s">
        <v>122</v>
      </c>
      <c r="HQ54" s="2" t="s">
        <v>122</v>
      </c>
      <c r="HR54" s="2"/>
      <c r="HS54" s="2">
        <v>0</v>
      </c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>
        <v>0</v>
      </c>
      <c r="IL54" s="2"/>
      <c r="IM54" s="2"/>
      <c r="IN54" s="2"/>
      <c r="IO54" s="2"/>
      <c r="IP54" s="2"/>
      <c r="IQ54" s="2"/>
      <c r="IR54" s="2"/>
      <c r="IS54" s="2"/>
      <c r="IT54" s="2"/>
      <c r="IU54" s="2"/>
    </row>
    <row r="55" spans="1:255" ht="409.5" x14ac:dyDescent="0.2">
      <c r="A55" s="2">
        <v>17</v>
      </c>
      <c r="B55" s="2">
        <v>1</v>
      </c>
      <c r="C55" s="2">
        <f>ROW(SmtRes!A106)</f>
        <v>106</v>
      </c>
      <c r="D55" s="2">
        <f>ROW(EtalonRes!A102)</f>
        <v>102</v>
      </c>
      <c r="E55" s="2" t="s">
        <v>128</v>
      </c>
      <c r="F55" s="2" t="s">
        <v>129</v>
      </c>
      <c r="G55" s="2" t="s">
        <v>130</v>
      </c>
      <c r="H55" s="2" t="s">
        <v>30</v>
      </c>
      <c r="I55" s="2">
        <v>2</v>
      </c>
      <c r="J55" s="2">
        <v>0</v>
      </c>
      <c r="K55" s="2">
        <v>2</v>
      </c>
      <c r="L55" s="2"/>
      <c r="M55" s="2"/>
      <c r="N55" s="2"/>
      <c r="O55" s="2">
        <f t="shared" si="14"/>
        <v>3687.47</v>
      </c>
      <c r="P55" s="2">
        <f>SUMIF(SmtRes!AQ97:'SmtRes'!AQ106,"=1",SmtRes!DF97:'SmtRes'!DF106)</f>
        <v>413.13</v>
      </c>
      <c r="Q55" s="2">
        <f>SUMIF(SmtRes!AQ97:'SmtRes'!AQ106,"=1",SmtRes!DG97:'SmtRes'!DG106)</f>
        <v>74.86</v>
      </c>
      <c r="R55" s="2">
        <f>SUMIF(SmtRes!AQ97:'SmtRes'!AQ106,"=1",SmtRes!DH97:'SmtRes'!DH106)</f>
        <v>49.35</v>
      </c>
      <c r="S55" s="2">
        <f>SUMIF(SmtRes!AQ97:'SmtRes'!AQ106,"=1",SmtRes!DI97:'SmtRes'!DI106)</f>
        <v>3150.13</v>
      </c>
      <c r="T55" s="2">
        <f t="shared" si="15"/>
        <v>0</v>
      </c>
      <c r="U55" s="2">
        <f>SUMIF(SmtRes!AQ97:'SmtRes'!AQ106,"=1",SmtRes!CV97:'SmtRes'!CV106)</f>
        <v>4.5643500000000001</v>
      </c>
      <c r="V55" s="2">
        <f>SUMIF(SmtRes!AQ97:'SmtRes'!AQ106,"=1",SmtRes!CW97:'SmtRes'!CW106)</f>
        <v>6.7500000000000004E-2</v>
      </c>
      <c r="W55" s="2">
        <f t="shared" si="16"/>
        <v>0</v>
      </c>
      <c r="X55" s="2">
        <f t="shared" si="17"/>
        <v>3484.23</v>
      </c>
      <c r="Y55" s="2">
        <f t="shared" si="18"/>
        <v>1958.08</v>
      </c>
      <c r="Z55" s="2"/>
      <c r="AA55" s="2">
        <v>82813384</v>
      </c>
      <c r="AB55" s="2">
        <f t="shared" si="19"/>
        <v>1808.7157970000001</v>
      </c>
      <c r="AC55" s="2">
        <f>ROUND((SUM(SmtRes!BQ97:'SmtRes'!BQ106)),6)</f>
        <v>196.21709899999999</v>
      </c>
      <c r="AD55" s="2">
        <f>ROUND((((SUM(SmtRes!BR97:'SmtRes'!BR106))-(SUM(SmtRes!BS97:'SmtRes'!BS106)))+AE55),6)</f>
        <v>37.4328</v>
      </c>
      <c r="AE55" s="2">
        <f>ROUND((SUM(SmtRes!BS97:'SmtRes'!BS106)),6)</f>
        <v>24.673950000000001</v>
      </c>
      <c r="AF55" s="2">
        <f>ROUND((SUM(SmtRes!BT97:'SmtRes'!BT106)),6)</f>
        <v>1575.0658980000001</v>
      </c>
      <c r="AG55" s="2">
        <f t="shared" si="20"/>
        <v>0</v>
      </c>
      <c r="AH55" s="2">
        <f>(SUM(SmtRes!BU97:'SmtRes'!BU106))</f>
        <v>2.2821750000000001</v>
      </c>
      <c r="AI55" s="2">
        <f>(SUM(SmtRes!BV97:'SmtRes'!BV106))</f>
        <v>3.3750000000000002E-2</v>
      </c>
      <c r="AJ55" s="2">
        <f t="shared" si="21"/>
        <v>0</v>
      </c>
      <c r="AK55" s="2">
        <v>1247.5562989999999</v>
      </c>
      <c r="AL55" s="2">
        <v>196.21709900000002</v>
      </c>
      <c r="AM55" s="2">
        <v>22.182400000000001</v>
      </c>
      <c r="AN55" s="2">
        <v>14.621600000000001</v>
      </c>
      <c r="AO55" s="2">
        <v>1014.5351999999999</v>
      </c>
      <c r="AP55" s="2">
        <v>0</v>
      </c>
      <c r="AQ55" s="2">
        <v>1.47</v>
      </c>
      <c r="AR55" s="2">
        <v>0.02</v>
      </c>
      <c r="AS55" s="2">
        <v>0</v>
      </c>
      <c r="AT55" s="2">
        <v>108.9</v>
      </c>
      <c r="AU55" s="2">
        <v>61.2</v>
      </c>
      <c r="AV55" s="2">
        <v>1</v>
      </c>
      <c r="AW55" s="2">
        <v>1</v>
      </c>
      <c r="AX55" s="2"/>
      <c r="AY55" s="2"/>
      <c r="AZ55" s="2">
        <v>1</v>
      </c>
      <c r="BA55" s="2">
        <v>1</v>
      </c>
      <c r="BB55" s="2">
        <v>1</v>
      </c>
      <c r="BC55" s="2">
        <v>1</v>
      </c>
      <c r="BD55" s="2" t="s">
        <v>3</v>
      </c>
      <c r="BE55" s="2" t="s">
        <v>3</v>
      </c>
      <c r="BF55" s="2" t="s">
        <v>3</v>
      </c>
      <c r="BG55" s="2" t="s">
        <v>3</v>
      </c>
      <c r="BH55" s="2">
        <v>0</v>
      </c>
      <c r="BI55" s="2">
        <v>1</v>
      </c>
      <c r="BJ55" s="2" t="s">
        <v>131</v>
      </c>
      <c r="BK55" s="2"/>
      <c r="BL55" s="2"/>
      <c r="BM55" s="2">
        <v>16001</v>
      </c>
      <c r="BN55" s="2">
        <v>0</v>
      </c>
      <c r="BO55" s="2" t="s">
        <v>3</v>
      </c>
      <c r="BP55" s="2">
        <v>0</v>
      </c>
      <c r="BQ55" s="2">
        <v>2</v>
      </c>
      <c r="BR55" s="2">
        <v>0</v>
      </c>
      <c r="BS55" s="2">
        <v>1</v>
      </c>
      <c r="BT55" s="2">
        <v>1</v>
      </c>
      <c r="BU55" s="2">
        <v>1</v>
      </c>
      <c r="BV55" s="2">
        <v>1</v>
      </c>
      <c r="BW55" s="2">
        <v>1</v>
      </c>
      <c r="BX55" s="2">
        <v>1</v>
      </c>
      <c r="BY55" s="2" t="s">
        <v>3</v>
      </c>
      <c r="BZ55" s="2">
        <v>121</v>
      </c>
      <c r="CA55" s="2">
        <v>72</v>
      </c>
      <c r="CB55" s="2" t="s">
        <v>3</v>
      </c>
      <c r="CC55" s="2"/>
      <c r="CD55" s="2"/>
      <c r="CE55" s="2">
        <v>0</v>
      </c>
      <c r="CF55" s="2">
        <v>0</v>
      </c>
      <c r="CG55" s="2">
        <v>0</v>
      </c>
      <c r="CH55" s="2"/>
      <c r="CI55" s="2"/>
      <c r="CJ55" s="2"/>
      <c r="CK55" s="2"/>
      <c r="CL55" s="2"/>
      <c r="CM55" s="2">
        <v>0</v>
      </c>
      <c r="CN55" s="7" t="s">
        <v>427</v>
      </c>
      <c r="CO55" s="2">
        <v>0</v>
      </c>
      <c r="CP55" s="2">
        <f t="shared" si="22"/>
        <v>3687.47</v>
      </c>
      <c r="CQ55" s="2">
        <f>SUMIF(SmtRes!AQ97:'SmtRes'!AQ106,"=1",SmtRes!AA97:'SmtRes'!AA106)</f>
        <v>165873.32999999999</v>
      </c>
      <c r="CR55" s="2">
        <f>SUMIF(SmtRes!AQ97:'SmtRes'!AQ106,"=1",SmtRes!AB97:'SmtRes'!AB106)</f>
        <v>577.16</v>
      </c>
      <c r="CS55" s="2">
        <f>SUMIF(SmtRes!AQ97:'SmtRes'!AQ106,"=1",SmtRes!AC97:'SmtRes'!AC106)</f>
        <v>731.08</v>
      </c>
      <c r="CT55" s="2">
        <f>SUMIF(SmtRes!AQ97:'SmtRes'!AQ106,"=1",SmtRes!AD97:'SmtRes'!AD106)</f>
        <v>690.16</v>
      </c>
      <c r="CU55" s="2">
        <f t="shared" si="23"/>
        <v>0</v>
      </c>
      <c r="CV55" s="2">
        <f>SUMIF(SmtRes!AQ97:'SmtRes'!AQ106,"=1",SmtRes!BU97:'SmtRes'!BU106)</f>
        <v>2.2821750000000001</v>
      </c>
      <c r="CW55" s="2">
        <f>SUMIF(SmtRes!AQ97:'SmtRes'!AQ106,"=1",SmtRes!BV97:'SmtRes'!BV106)</f>
        <v>3.3750000000000002E-2</v>
      </c>
      <c r="CX55" s="2">
        <f t="shared" si="24"/>
        <v>0</v>
      </c>
      <c r="CY55" s="2">
        <f t="shared" si="25"/>
        <v>3484.2337200000002</v>
      </c>
      <c r="CZ55" s="2">
        <f t="shared" si="26"/>
        <v>1958.08176</v>
      </c>
      <c r="DA55" s="2"/>
      <c r="DB55" s="2">
        <v>7</v>
      </c>
      <c r="DC55" s="2" t="s">
        <v>3</v>
      </c>
      <c r="DD55" s="2" t="s">
        <v>3</v>
      </c>
      <c r="DE55" s="2" t="s">
        <v>32</v>
      </c>
      <c r="DF55" s="2" t="s">
        <v>32</v>
      </c>
      <c r="DG55" s="2" t="s">
        <v>33</v>
      </c>
      <c r="DH55" s="2" t="s">
        <v>3</v>
      </c>
      <c r="DI55" s="2" t="s">
        <v>33</v>
      </c>
      <c r="DJ55" s="2" t="s">
        <v>32</v>
      </c>
      <c r="DK55" s="2" t="s">
        <v>3</v>
      </c>
      <c r="DL55" s="2" t="s">
        <v>34</v>
      </c>
      <c r="DM55" s="2" t="s">
        <v>35</v>
      </c>
      <c r="DN55" s="2">
        <v>0</v>
      </c>
      <c r="DO55" s="2">
        <v>0</v>
      </c>
      <c r="DP55" s="2">
        <v>1</v>
      </c>
      <c r="DQ55" s="2">
        <v>1</v>
      </c>
      <c r="DR55" s="2"/>
      <c r="DS55" s="2"/>
      <c r="DT55" s="2"/>
      <c r="DU55" s="2">
        <v>1013</v>
      </c>
      <c r="DV55" s="2" t="s">
        <v>30</v>
      </c>
      <c r="DW55" s="2" t="s">
        <v>30</v>
      </c>
      <c r="DX55" s="2">
        <v>1</v>
      </c>
      <c r="DY55" s="2"/>
      <c r="DZ55" s="2" t="s">
        <v>3</v>
      </c>
      <c r="EA55" s="2" t="s">
        <v>3</v>
      </c>
      <c r="EB55" s="2" t="s">
        <v>3</v>
      </c>
      <c r="EC55" s="2" t="s">
        <v>3</v>
      </c>
      <c r="ED55" s="2"/>
      <c r="EE55" s="2">
        <v>80781888</v>
      </c>
      <c r="EF55" s="2">
        <v>2</v>
      </c>
      <c r="EG55" s="2" t="s">
        <v>36</v>
      </c>
      <c r="EH55" s="2">
        <v>16</v>
      </c>
      <c r="EI55" s="2" t="s">
        <v>37</v>
      </c>
      <c r="EJ55" s="2">
        <v>1</v>
      </c>
      <c r="EK55" s="2">
        <v>16001</v>
      </c>
      <c r="EL55" s="2" t="s">
        <v>38</v>
      </c>
      <c r="EM55" s="2" t="s">
        <v>39</v>
      </c>
      <c r="EN55" s="2"/>
      <c r="EO55" s="2" t="s">
        <v>40</v>
      </c>
      <c r="EP55" s="2"/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1.47</v>
      </c>
      <c r="EX55" s="2">
        <v>0.02</v>
      </c>
      <c r="EY55" s="2">
        <v>0</v>
      </c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>
        <v>0</v>
      </c>
      <c r="FR55" s="2">
        <v>0</v>
      </c>
      <c r="FS55" s="2">
        <v>0</v>
      </c>
      <c r="FT55" s="2"/>
      <c r="FU55" s="2"/>
      <c r="FV55" s="2"/>
      <c r="FW55" s="2"/>
      <c r="FX55" s="2">
        <v>108.9</v>
      </c>
      <c r="FY55" s="2">
        <v>61.199999999999996</v>
      </c>
      <c r="FZ55" s="2"/>
      <c r="GA55" s="2" t="s">
        <v>3</v>
      </c>
      <c r="GB55" s="2"/>
      <c r="GC55" s="2"/>
      <c r="GD55" s="2">
        <v>1</v>
      </c>
      <c r="GE55" s="2"/>
      <c r="GF55" s="2">
        <v>1091949016</v>
      </c>
      <c r="GG55" s="2">
        <v>2</v>
      </c>
      <c r="GH55" s="2">
        <v>1</v>
      </c>
      <c r="GI55" s="2">
        <v>-2</v>
      </c>
      <c r="GJ55" s="2">
        <v>0</v>
      </c>
      <c r="GK55" s="2">
        <v>0</v>
      </c>
      <c r="GL55" s="2">
        <f t="shared" si="27"/>
        <v>0</v>
      </c>
      <c r="GM55" s="2">
        <f t="shared" si="28"/>
        <v>9129.7800000000007</v>
      </c>
      <c r="GN55" s="2">
        <f t="shared" si="29"/>
        <v>9129.7800000000007</v>
      </c>
      <c r="GO55" s="2">
        <f t="shared" si="30"/>
        <v>0</v>
      </c>
      <c r="GP55" s="2">
        <f t="shared" si="31"/>
        <v>0</v>
      </c>
      <c r="GQ55" s="2"/>
      <c r="GR55" s="2">
        <v>0</v>
      </c>
      <c r="GS55" s="2">
        <v>3</v>
      </c>
      <c r="GT55" s="2">
        <v>0</v>
      </c>
      <c r="GU55" s="2" t="s">
        <v>3</v>
      </c>
      <c r="GV55" s="2">
        <f t="shared" si="35"/>
        <v>0</v>
      </c>
      <c r="GW55" s="2">
        <v>1</v>
      </c>
      <c r="GX55" s="2">
        <f t="shared" si="33"/>
        <v>0</v>
      </c>
      <c r="GY55" s="2"/>
      <c r="GZ55" s="2"/>
      <c r="HA55" s="2">
        <v>0</v>
      </c>
      <c r="HB55" s="2">
        <v>0</v>
      </c>
      <c r="HC55" s="2">
        <f t="shared" si="34"/>
        <v>0</v>
      </c>
      <c r="HD55" s="2"/>
      <c r="HE55" s="2" t="s">
        <v>3</v>
      </c>
      <c r="HF55" s="2" t="s">
        <v>3</v>
      </c>
      <c r="HG55" s="2"/>
      <c r="HH55" s="2"/>
      <c r="HI55" s="2"/>
      <c r="HJ55" s="2"/>
      <c r="HK55" s="2"/>
      <c r="HL55" s="2"/>
      <c r="HM55" s="2" t="s">
        <v>3</v>
      </c>
      <c r="HN55" s="2" t="s">
        <v>41</v>
      </c>
      <c r="HO55" s="2" t="s">
        <v>42</v>
      </c>
      <c r="HP55" s="2" t="s">
        <v>37</v>
      </c>
      <c r="HQ55" s="2" t="s">
        <v>37</v>
      </c>
      <c r="HR55" s="2"/>
      <c r="HS55" s="2">
        <v>0</v>
      </c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>
        <v>0</v>
      </c>
      <c r="IL55" s="2"/>
      <c r="IM55" s="2"/>
      <c r="IN55" s="2"/>
      <c r="IO55" s="2"/>
      <c r="IP55" s="2"/>
      <c r="IQ55" s="2"/>
      <c r="IR55" s="2"/>
      <c r="IS55" s="2"/>
      <c r="IT55" s="2"/>
      <c r="IU55" s="2"/>
    </row>
    <row r="56" spans="1:255" x14ac:dyDescent="0.2">
      <c r="A56" s="2">
        <v>18</v>
      </c>
      <c r="B56" s="2">
        <v>1</v>
      </c>
      <c r="C56" s="2">
        <v>105</v>
      </c>
      <c r="D56" s="2"/>
      <c r="E56" s="2" t="s">
        <v>132</v>
      </c>
      <c r="F56" s="2" t="s">
        <v>133</v>
      </c>
      <c r="G56" s="2" t="s">
        <v>134</v>
      </c>
      <c r="H56" s="2" t="s">
        <v>30</v>
      </c>
      <c r="I56" s="2">
        <f>I55*J56</f>
        <v>2</v>
      </c>
      <c r="J56" s="2">
        <v>1</v>
      </c>
      <c r="K56" s="2">
        <v>1</v>
      </c>
      <c r="L56" s="2"/>
      <c r="M56" s="2"/>
      <c r="N56" s="2"/>
      <c r="O56" s="2">
        <f t="shared" si="14"/>
        <v>6428.22</v>
      </c>
      <c r="P56" s="2">
        <f>ROUND(CQ56*I56,2)</f>
        <v>6428.22</v>
      </c>
      <c r="Q56" s="2">
        <f>ROUND(CR56*I56,2)</f>
        <v>0</v>
      </c>
      <c r="R56" s="2">
        <f>ROUND(CS56*I56,2)</f>
        <v>0</v>
      </c>
      <c r="S56" s="2">
        <f>ROUND(CT56*I56,2)</f>
        <v>0</v>
      </c>
      <c r="T56" s="2">
        <f t="shared" si="15"/>
        <v>0</v>
      </c>
      <c r="U56" s="2">
        <f>ROUND(CV56*I56,7)</f>
        <v>0</v>
      </c>
      <c r="V56" s="2">
        <f>ROUND(CW56*I56,7)</f>
        <v>0</v>
      </c>
      <c r="W56" s="2">
        <f t="shared" si="16"/>
        <v>0</v>
      </c>
      <c r="X56" s="2">
        <f t="shared" si="17"/>
        <v>0</v>
      </c>
      <c r="Y56" s="2">
        <f t="shared" si="18"/>
        <v>0</v>
      </c>
      <c r="Z56" s="2"/>
      <c r="AA56" s="2">
        <v>82813384</v>
      </c>
      <c r="AB56" s="2">
        <f t="shared" si="19"/>
        <v>2634.52</v>
      </c>
      <c r="AC56" s="2">
        <f>ROUND((ES56),6)</f>
        <v>2634.52</v>
      </c>
      <c r="AD56" s="2">
        <f>ROUND((((ET56)-(EU56))+AE56),6)</f>
        <v>0</v>
      </c>
      <c r="AE56" s="2">
        <f t="shared" ref="AE56:AF59" si="42">ROUND((EU56),6)</f>
        <v>0</v>
      </c>
      <c r="AF56" s="2">
        <f t="shared" si="42"/>
        <v>0</v>
      </c>
      <c r="AG56" s="2">
        <f t="shared" si="20"/>
        <v>0</v>
      </c>
      <c r="AH56" s="2">
        <f t="shared" ref="AH56:AI59" si="43">(EW56)</f>
        <v>0</v>
      </c>
      <c r="AI56" s="2">
        <f t="shared" si="43"/>
        <v>0</v>
      </c>
      <c r="AJ56" s="2">
        <f t="shared" si="21"/>
        <v>0</v>
      </c>
      <c r="AK56" s="2">
        <v>2634.52</v>
      </c>
      <c r="AL56" s="2">
        <v>2634.52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121</v>
      </c>
      <c r="AU56" s="2">
        <v>72</v>
      </c>
      <c r="AV56" s="2">
        <v>1</v>
      </c>
      <c r="AW56" s="2">
        <v>1</v>
      </c>
      <c r="AX56" s="2"/>
      <c r="AY56" s="2"/>
      <c r="AZ56" s="2">
        <v>1</v>
      </c>
      <c r="BA56" s="2">
        <v>1</v>
      </c>
      <c r="BB56" s="2">
        <v>1</v>
      </c>
      <c r="BC56" s="2">
        <v>1.22</v>
      </c>
      <c r="BD56" s="2" t="s">
        <v>3</v>
      </c>
      <c r="BE56" s="2" t="s">
        <v>3</v>
      </c>
      <c r="BF56" s="2" t="s">
        <v>3</v>
      </c>
      <c r="BG56" s="2" t="s">
        <v>3</v>
      </c>
      <c r="BH56" s="2">
        <v>3</v>
      </c>
      <c r="BI56" s="2">
        <v>1</v>
      </c>
      <c r="BJ56" s="2" t="s">
        <v>135</v>
      </c>
      <c r="BK56" s="2"/>
      <c r="BL56" s="2"/>
      <c r="BM56" s="2">
        <v>16001</v>
      </c>
      <c r="BN56" s="2">
        <v>0</v>
      </c>
      <c r="BO56" s="2" t="s">
        <v>133</v>
      </c>
      <c r="BP56" s="2">
        <v>1</v>
      </c>
      <c r="BQ56" s="2">
        <v>2</v>
      </c>
      <c r="BR56" s="2">
        <v>0</v>
      </c>
      <c r="BS56" s="2">
        <v>1</v>
      </c>
      <c r="BT56" s="2">
        <v>1</v>
      </c>
      <c r="BU56" s="2">
        <v>1</v>
      </c>
      <c r="BV56" s="2">
        <v>1</v>
      </c>
      <c r="BW56" s="2">
        <v>1</v>
      </c>
      <c r="BX56" s="2">
        <v>1</v>
      </c>
      <c r="BY56" s="2" t="s">
        <v>3</v>
      </c>
      <c r="BZ56" s="2">
        <v>121</v>
      </c>
      <c r="CA56" s="2">
        <v>72</v>
      </c>
      <c r="CB56" s="2" t="s">
        <v>3</v>
      </c>
      <c r="CC56" s="2"/>
      <c r="CD56" s="2"/>
      <c r="CE56" s="2">
        <v>0</v>
      </c>
      <c r="CF56" s="2">
        <v>0</v>
      </c>
      <c r="CG56" s="2">
        <v>0</v>
      </c>
      <c r="CH56" s="2"/>
      <c r="CI56" s="2"/>
      <c r="CJ56" s="2"/>
      <c r="CK56" s="2"/>
      <c r="CL56" s="2"/>
      <c r="CM56" s="2">
        <v>0</v>
      </c>
      <c r="CN56" s="2" t="s">
        <v>3</v>
      </c>
      <c r="CO56" s="2">
        <v>0</v>
      </c>
      <c r="CP56" s="2">
        <f t="shared" si="22"/>
        <v>6428.22</v>
      </c>
      <c r="CQ56" s="2">
        <f>ROUND(AL56*BC56,2)</f>
        <v>3214.11</v>
      </c>
      <c r="CR56" s="2">
        <f>ROUND(AM56*BB56,2)</f>
        <v>0</v>
      </c>
      <c r="CS56" s="2">
        <f>ROUND(AN56*BS56,2)</f>
        <v>0</v>
      </c>
      <c r="CT56" s="2">
        <f>ROUND(AO56*BA56,2)</f>
        <v>0</v>
      </c>
      <c r="CU56" s="2">
        <f t="shared" si="23"/>
        <v>0</v>
      </c>
      <c r="CV56" s="2">
        <f t="shared" ref="CV56:CW59" si="44">AH56</f>
        <v>0</v>
      </c>
      <c r="CW56" s="2">
        <f t="shared" si="44"/>
        <v>0</v>
      </c>
      <c r="CX56" s="2">
        <f t="shared" si="24"/>
        <v>0</v>
      </c>
      <c r="CY56" s="2">
        <f t="shared" si="25"/>
        <v>0</v>
      </c>
      <c r="CZ56" s="2">
        <f t="shared" si="26"/>
        <v>0</v>
      </c>
      <c r="DA56" s="2"/>
      <c r="DB56" s="2"/>
      <c r="DC56" s="2" t="s">
        <v>3</v>
      </c>
      <c r="DD56" s="2" t="s">
        <v>3</v>
      </c>
      <c r="DE56" s="2" t="s">
        <v>3</v>
      </c>
      <c r="DF56" s="2" t="s">
        <v>3</v>
      </c>
      <c r="DG56" s="2" t="s">
        <v>3</v>
      </c>
      <c r="DH56" s="2" t="s">
        <v>3</v>
      </c>
      <c r="DI56" s="2" t="s">
        <v>3</v>
      </c>
      <c r="DJ56" s="2" t="s">
        <v>3</v>
      </c>
      <c r="DK56" s="2" t="s">
        <v>3</v>
      </c>
      <c r="DL56" s="2" t="s">
        <v>3</v>
      </c>
      <c r="DM56" s="2" t="s">
        <v>3</v>
      </c>
      <c r="DN56" s="2">
        <v>0</v>
      </c>
      <c r="DO56" s="2">
        <v>0</v>
      </c>
      <c r="DP56" s="2">
        <v>1</v>
      </c>
      <c r="DQ56" s="2">
        <v>1</v>
      </c>
      <c r="DR56" s="2"/>
      <c r="DS56" s="2"/>
      <c r="DT56" s="2"/>
      <c r="DU56" s="2">
        <v>1013</v>
      </c>
      <c r="DV56" s="2" t="s">
        <v>30</v>
      </c>
      <c r="DW56" s="2" t="s">
        <v>30</v>
      </c>
      <c r="DX56" s="2">
        <v>1</v>
      </c>
      <c r="DY56" s="2"/>
      <c r="DZ56" s="2" t="s">
        <v>3</v>
      </c>
      <c r="EA56" s="2" t="s">
        <v>3</v>
      </c>
      <c r="EB56" s="2" t="s">
        <v>3</v>
      </c>
      <c r="EC56" s="2" t="s">
        <v>3</v>
      </c>
      <c r="ED56" s="2"/>
      <c r="EE56" s="2">
        <v>80781888</v>
      </c>
      <c r="EF56" s="2">
        <v>2</v>
      </c>
      <c r="EG56" s="2" t="s">
        <v>36</v>
      </c>
      <c r="EH56" s="2">
        <v>16</v>
      </c>
      <c r="EI56" s="2" t="s">
        <v>37</v>
      </c>
      <c r="EJ56" s="2">
        <v>1</v>
      </c>
      <c r="EK56" s="2">
        <v>16001</v>
      </c>
      <c r="EL56" s="2" t="s">
        <v>38</v>
      </c>
      <c r="EM56" s="2" t="s">
        <v>39</v>
      </c>
      <c r="EN56" s="2"/>
      <c r="EO56" s="2" t="s">
        <v>3</v>
      </c>
      <c r="EP56" s="2"/>
      <c r="EQ56" s="2">
        <v>0</v>
      </c>
      <c r="ER56" s="2">
        <v>2634.52</v>
      </c>
      <c r="ES56" s="2">
        <v>2634.52</v>
      </c>
      <c r="ET56" s="2">
        <v>0</v>
      </c>
      <c r="EU56" s="2">
        <v>0</v>
      </c>
      <c r="EV56" s="2">
        <v>0</v>
      </c>
      <c r="EW56" s="2">
        <v>0</v>
      </c>
      <c r="EX56" s="2">
        <v>0</v>
      </c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>
        <v>0</v>
      </c>
      <c r="FR56" s="2">
        <v>0</v>
      </c>
      <c r="FS56" s="2">
        <v>0</v>
      </c>
      <c r="FT56" s="2"/>
      <c r="FU56" s="2"/>
      <c r="FV56" s="2"/>
      <c r="FW56" s="2"/>
      <c r="FX56" s="2">
        <v>121</v>
      </c>
      <c r="FY56" s="2">
        <v>72</v>
      </c>
      <c r="FZ56" s="2"/>
      <c r="GA56" s="2" t="s">
        <v>3</v>
      </c>
      <c r="GB56" s="2"/>
      <c r="GC56" s="2"/>
      <c r="GD56" s="2">
        <v>1</v>
      </c>
      <c r="GE56" s="2"/>
      <c r="GF56" s="2">
        <v>481438085</v>
      </c>
      <c r="GG56" s="2">
        <v>2</v>
      </c>
      <c r="GH56" s="2">
        <v>1</v>
      </c>
      <c r="GI56" s="2">
        <v>2</v>
      </c>
      <c r="GJ56" s="2">
        <v>0</v>
      </c>
      <c r="GK56" s="2">
        <v>0</v>
      </c>
      <c r="GL56" s="2">
        <f t="shared" si="27"/>
        <v>0</v>
      </c>
      <c r="GM56" s="2">
        <f t="shared" si="28"/>
        <v>6428.22</v>
      </c>
      <c r="GN56" s="2">
        <f t="shared" si="29"/>
        <v>6428.22</v>
      </c>
      <c r="GO56" s="2">
        <f t="shared" si="30"/>
        <v>0</v>
      </c>
      <c r="GP56" s="2">
        <f t="shared" si="31"/>
        <v>0</v>
      </c>
      <c r="GQ56" s="2"/>
      <c r="GR56" s="2">
        <v>0</v>
      </c>
      <c r="GS56" s="2">
        <v>3</v>
      </c>
      <c r="GT56" s="2">
        <v>0</v>
      </c>
      <c r="GU56" s="2" t="s">
        <v>3</v>
      </c>
      <c r="GV56" s="2">
        <f t="shared" si="35"/>
        <v>0</v>
      </c>
      <c r="GW56" s="2">
        <v>1</v>
      </c>
      <c r="GX56" s="2">
        <f t="shared" si="33"/>
        <v>0</v>
      </c>
      <c r="GY56" s="2"/>
      <c r="GZ56" s="2"/>
      <c r="HA56" s="2">
        <v>0</v>
      </c>
      <c r="HB56" s="2">
        <v>0</v>
      </c>
      <c r="HC56" s="2">
        <f t="shared" si="34"/>
        <v>0</v>
      </c>
      <c r="HD56" s="2"/>
      <c r="HE56" s="2" t="s">
        <v>3</v>
      </c>
      <c r="HF56" s="2" t="s">
        <v>3</v>
      </c>
      <c r="HG56" s="2"/>
      <c r="HH56" s="2"/>
      <c r="HI56" s="2"/>
      <c r="HJ56" s="2"/>
      <c r="HK56" s="2"/>
      <c r="HL56" s="2"/>
      <c r="HM56" s="2" t="s">
        <v>3</v>
      </c>
      <c r="HN56" s="2" t="s">
        <v>41</v>
      </c>
      <c r="HO56" s="2" t="s">
        <v>42</v>
      </c>
      <c r="HP56" s="2" t="s">
        <v>37</v>
      </c>
      <c r="HQ56" s="2" t="s">
        <v>37</v>
      </c>
      <c r="HR56" s="2"/>
      <c r="HS56" s="2">
        <v>0</v>
      </c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>
        <v>0</v>
      </c>
      <c r="IL56" s="2"/>
      <c r="IM56" s="2"/>
      <c r="IN56" s="2"/>
      <c r="IO56" s="2"/>
      <c r="IP56" s="2"/>
      <c r="IQ56" s="2"/>
      <c r="IR56" s="2"/>
      <c r="IS56" s="2"/>
      <c r="IT56" s="2"/>
      <c r="IU56" s="2"/>
    </row>
    <row r="57" spans="1:255" x14ac:dyDescent="0.2">
      <c r="A57" s="2">
        <v>18</v>
      </c>
      <c r="B57" s="2">
        <v>1</v>
      </c>
      <c r="C57" s="2">
        <v>104</v>
      </c>
      <c r="D57" s="2"/>
      <c r="E57" s="2" t="s">
        <v>136</v>
      </c>
      <c r="F57" s="2" t="s">
        <v>44</v>
      </c>
      <c r="G57" s="2" t="s">
        <v>45</v>
      </c>
      <c r="H57" s="2" t="s">
        <v>30</v>
      </c>
      <c r="I57" s="2">
        <f>I55*J57</f>
        <v>2</v>
      </c>
      <c r="J57" s="2">
        <v>1</v>
      </c>
      <c r="K57" s="2">
        <v>1</v>
      </c>
      <c r="L57" s="2"/>
      <c r="M57" s="2"/>
      <c r="N57" s="2"/>
      <c r="O57" s="2">
        <f t="shared" si="14"/>
        <v>0</v>
      </c>
      <c r="P57" s="2">
        <f>ROUND(CQ57*I57,2)</f>
        <v>0</v>
      </c>
      <c r="Q57" s="2">
        <f>ROUND(CR57*I57,2)</f>
        <v>0</v>
      </c>
      <c r="R57" s="2">
        <f>ROUND(CS57*I57,2)</f>
        <v>0</v>
      </c>
      <c r="S57" s="2">
        <f>ROUND(CT57*I57,2)</f>
        <v>0</v>
      </c>
      <c r="T57" s="2">
        <f t="shared" si="15"/>
        <v>0</v>
      </c>
      <c r="U57" s="2">
        <f>ROUND(CV57*I57,7)</f>
        <v>0</v>
      </c>
      <c r="V57" s="2">
        <f>ROUND(CW57*I57,7)</f>
        <v>0</v>
      </c>
      <c r="W57" s="2">
        <f t="shared" si="16"/>
        <v>0</v>
      </c>
      <c r="X57" s="2">
        <f t="shared" si="17"/>
        <v>0</v>
      </c>
      <c r="Y57" s="2">
        <f t="shared" si="18"/>
        <v>0</v>
      </c>
      <c r="Z57" s="2"/>
      <c r="AA57" s="2">
        <v>82813384</v>
      </c>
      <c r="AB57" s="2">
        <f t="shared" si="19"/>
        <v>0</v>
      </c>
      <c r="AC57" s="2">
        <f>ROUND((ES57),6)</f>
        <v>0</v>
      </c>
      <c r="AD57" s="2">
        <f>ROUND((((ET57)-(EU57))+AE57),6)</f>
        <v>0</v>
      </c>
      <c r="AE57" s="2">
        <f t="shared" si="42"/>
        <v>0</v>
      </c>
      <c r="AF57" s="2">
        <f t="shared" si="42"/>
        <v>0</v>
      </c>
      <c r="AG57" s="2">
        <f t="shared" si="20"/>
        <v>0</v>
      </c>
      <c r="AH57" s="2">
        <f t="shared" si="43"/>
        <v>0</v>
      </c>
      <c r="AI57" s="2">
        <f t="shared" si="43"/>
        <v>0</v>
      </c>
      <c r="AJ57" s="2">
        <f t="shared" si="21"/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121</v>
      </c>
      <c r="AU57" s="2">
        <v>72</v>
      </c>
      <c r="AV57" s="2">
        <v>1</v>
      </c>
      <c r="AW57" s="2">
        <v>1</v>
      </c>
      <c r="AX57" s="2"/>
      <c r="AY57" s="2"/>
      <c r="AZ57" s="2">
        <v>1</v>
      </c>
      <c r="BA57" s="2">
        <v>1</v>
      </c>
      <c r="BB57" s="2">
        <v>1</v>
      </c>
      <c r="BC57" s="2">
        <v>1</v>
      </c>
      <c r="BD57" s="2" t="s">
        <v>3</v>
      </c>
      <c r="BE57" s="2" t="s">
        <v>3</v>
      </c>
      <c r="BF57" s="2" t="s">
        <v>3</v>
      </c>
      <c r="BG57" s="2" t="s">
        <v>3</v>
      </c>
      <c r="BH57" s="2">
        <v>3</v>
      </c>
      <c r="BI57" s="2">
        <v>1</v>
      </c>
      <c r="BJ57" s="2" t="s">
        <v>3</v>
      </c>
      <c r="BK57" s="2"/>
      <c r="BL57" s="2"/>
      <c r="BM57" s="2">
        <v>16001</v>
      </c>
      <c r="BN57" s="2">
        <v>0</v>
      </c>
      <c r="BO57" s="2" t="s">
        <v>3</v>
      </c>
      <c r="BP57" s="2">
        <v>0</v>
      </c>
      <c r="BQ57" s="2">
        <v>2</v>
      </c>
      <c r="BR57" s="2">
        <v>0</v>
      </c>
      <c r="BS57" s="2">
        <v>1</v>
      </c>
      <c r="BT57" s="2">
        <v>1</v>
      </c>
      <c r="BU57" s="2">
        <v>1</v>
      </c>
      <c r="BV57" s="2">
        <v>1</v>
      </c>
      <c r="BW57" s="2">
        <v>1</v>
      </c>
      <c r="BX57" s="2">
        <v>1</v>
      </c>
      <c r="BY57" s="2" t="s">
        <v>3</v>
      </c>
      <c r="BZ57" s="2">
        <v>121</v>
      </c>
      <c r="CA57" s="2">
        <v>72</v>
      </c>
      <c r="CB57" s="2" t="s">
        <v>3</v>
      </c>
      <c r="CC57" s="2"/>
      <c r="CD57" s="2"/>
      <c r="CE57" s="2">
        <v>0</v>
      </c>
      <c r="CF57" s="2">
        <v>0</v>
      </c>
      <c r="CG57" s="2">
        <v>0</v>
      </c>
      <c r="CH57" s="2"/>
      <c r="CI57" s="2"/>
      <c r="CJ57" s="2"/>
      <c r="CK57" s="2"/>
      <c r="CL57" s="2"/>
      <c r="CM57" s="2">
        <v>0</v>
      </c>
      <c r="CN57" s="2" t="s">
        <v>3</v>
      </c>
      <c r="CO57" s="2">
        <v>0</v>
      </c>
      <c r="CP57" s="2">
        <f t="shared" si="22"/>
        <v>0</v>
      </c>
      <c r="CQ57" s="2">
        <f>ROUND(AL57*BC57,2)</f>
        <v>0</v>
      </c>
      <c r="CR57" s="2">
        <f>ROUND(AM57*BB57,2)</f>
        <v>0</v>
      </c>
      <c r="CS57" s="2">
        <f>ROUND(AN57*BS57,2)</f>
        <v>0</v>
      </c>
      <c r="CT57" s="2">
        <f>ROUND(AO57*BA57,2)</f>
        <v>0</v>
      </c>
      <c r="CU57" s="2">
        <f t="shared" si="23"/>
        <v>0</v>
      </c>
      <c r="CV57" s="2">
        <f t="shared" si="44"/>
        <v>0</v>
      </c>
      <c r="CW57" s="2">
        <f t="shared" si="44"/>
        <v>0</v>
      </c>
      <c r="CX57" s="2">
        <f t="shared" si="24"/>
        <v>0</v>
      </c>
      <c r="CY57" s="2">
        <f t="shared" si="25"/>
        <v>0</v>
      </c>
      <c r="CZ57" s="2">
        <f t="shared" si="26"/>
        <v>0</v>
      </c>
      <c r="DA57" s="2"/>
      <c r="DB57" s="2"/>
      <c r="DC57" s="2" t="s">
        <v>3</v>
      </c>
      <c r="DD57" s="2" t="s">
        <v>3</v>
      </c>
      <c r="DE57" s="2" t="s">
        <v>3</v>
      </c>
      <c r="DF57" s="2" t="s">
        <v>3</v>
      </c>
      <c r="DG57" s="2" t="s">
        <v>3</v>
      </c>
      <c r="DH57" s="2" t="s">
        <v>3</v>
      </c>
      <c r="DI57" s="2" t="s">
        <v>3</v>
      </c>
      <c r="DJ57" s="2" t="s">
        <v>3</v>
      </c>
      <c r="DK57" s="2" t="s">
        <v>3</v>
      </c>
      <c r="DL57" s="2" t="s">
        <v>3</v>
      </c>
      <c r="DM57" s="2" t="s">
        <v>3</v>
      </c>
      <c r="DN57" s="2">
        <v>0</v>
      </c>
      <c r="DO57" s="2">
        <v>0</v>
      </c>
      <c r="DP57" s="2">
        <v>1</v>
      </c>
      <c r="DQ57" s="2">
        <v>1</v>
      </c>
      <c r="DR57" s="2"/>
      <c r="DS57" s="2"/>
      <c r="DT57" s="2"/>
      <c r="DU57" s="2">
        <v>1013</v>
      </c>
      <c r="DV57" s="2" t="s">
        <v>30</v>
      </c>
      <c r="DW57" s="2" t="s">
        <v>30</v>
      </c>
      <c r="DX57" s="2">
        <v>1</v>
      </c>
      <c r="DY57" s="2"/>
      <c r="DZ57" s="2" t="s">
        <v>3</v>
      </c>
      <c r="EA57" s="2" t="s">
        <v>3</v>
      </c>
      <c r="EB57" s="2" t="s">
        <v>3</v>
      </c>
      <c r="EC57" s="2" t="s">
        <v>3</v>
      </c>
      <c r="ED57" s="2"/>
      <c r="EE57" s="2">
        <v>80781888</v>
      </c>
      <c r="EF57" s="2">
        <v>2</v>
      </c>
      <c r="EG57" s="2" t="s">
        <v>36</v>
      </c>
      <c r="EH57" s="2">
        <v>16</v>
      </c>
      <c r="EI57" s="2" t="s">
        <v>37</v>
      </c>
      <c r="EJ57" s="2">
        <v>1</v>
      </c>
      <c r="EK57" s="2">
        <v>16001</v>
      </c>
      <c r="EL57" s="2" t="s">
        <v>38</v>
      </c>
      <c r="EM57" s="2" t="s">
        <v>39</v>
      </c>
      <c r="EN57" s="2"/>
      <c r="EO57" s="2" t="s">
        <v>3</v>
      </c>
      <c r="EP57" s="2"/>
      <c r="EQ57" s="2">
        <v>0</v>
      </c>
      <c r="ER57" s="2">
        <v>0</v>
      </c>
      <c r="ES57" s="2">
        <v>0</v>
      </c>
      <c r="ET57" s="2">
        <v>0</v>
      </c>
      <c r="EU57" s="2">
        <v>0</v>
      </c>
      <c r="EV57" s="2">
        <v>0</v>
      </c>
      <c r="EW57" s="2">
        <v>0</v>
      </c>
      <c r="EX57" s="2">
        <v>0</v>
      </c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>
        <v>0</v>
      </c>
      <c r="FR57" s="2">
        <v>0</v>
      </c>
      <c r="FS57" s="2">
        <v>0</v>
      </c>
      <c r="FT57" s="2"/>
      <c r="FU57" s="2"/>
      <c r="FV57" s="2"/>
      <c r="FW57" s="2"/>
      <c r="FX57" s="2">
        <v>121</v>
      </c>
      <c r="FY57" s="2">
        <v>72</v>
      </c>
      <c r="FZ57" s="2"/>
      <c r="GA57" s="2" t="s">
        <v>3</v>
      </c>
      <c r="GB57" s="2"/>
      <c r="GC57" s="2"/>
      <c r="GD57" s="2">
        <v>1</v>
      </c>
      <c r="GE57" s="2"/>
      <c r="GF57" s="2">
        <v>2104205920</v>
      </c>
      <c r="GG57" s="2">
        <v>2</v>
      </c>
      <c r="GH57" s="2">
        <v>1</v>
      </c>
      <c r="GI57" s="2">
        <v>-2</v>
      </c>
      <c r="GJ57" s="2">
        <v>0</v>
      </c>
      <c r="GK57" s="2">
        <v>0</v>
      </c>
      <c r="GL57" s="2">
        <f t="shared" si="27"/>
        <v>0</v>
      </c>
      <c r="GM57" s="2">
        <f t="shared" si="28"/>
        <v>0</v>
      </c>
      <c r="GN57" s="2">
        <f t="shared" si="29"/>
        <v>0</v>
      </c>
      <c r="GO57" s="2">
        <f t="shared" si="30"/>
        <v>0</v>
      </c>
      <c r="GP57" s="2">
        <f t="shared" si="31"/>
        <v>0</v>
      </c>
      <c r="GQ57" s="2"/>
      <c r="GR57" s="2">
        <v>0</v>
      </c>
      <c r="GS57" s="2">
        <v>3</v>
      </c>
      <c r="GT57" s="2">
        <v>0</v>
      </c>
      <c r="GU57" s="2" t="s">
        <v>3</v>
      </c>
      <c r="GV57" s="2">
        <f t="shared" si="35"/>
        <v>0</v>
      </c>
      <c r="GW57" s="2">
        <v>1</v>
      </c>
      <c r="GX57" s="2">
        <f t="shared" si="33"/>
        <v>0</v>
      </c>
      <c r="GY57" s="2"/>
      <c r="GZ57" s="2"/>
      <c r="HA57" s="2">
        <v>0</v>
      </c>
      <c r="HB57" s="2">
        <v>0</v>
      </c>
      <c r="HC57" s="2">
        <f t="shared" si="34"/>
        <v>0</v>
      </c>
      <c r="HD57" s="2"/>
      <c r="HE57" s="2" t="s">
        <v>3</v>
      </c>
      <c r="HF57" s="2" t="s">
        <v>3</v>
      </c>
      <c r="HG57" s="2"/>
      <c r="HH57" s="2"/>
      <c r="HI57" s="2"/>
      <c r="HJ57" s="2"/>
      <c r="HK57" s="2"/>
      <c r="HL57" s="2"/>
      <c r="HM57" s="2" t="s">
        <v>3</v>
      </c>
      <c r="HN57" s="2" t="s">
        <v>41</v>
      </c>
      <c r="HO57" s="2" t="s">
        <v>42</v>
      </c>
      <c r="HP57" s="2" t="s">
        <v>37</v>
      </c>
      <c r="HQ57" s="2" t="s">
        <v>37</v>
      </c>
      <c r="HR57" s="2"/>
      <c r="HS57" s="2">
        <v>0</v>
      </c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>
        <v>0</v>
      </c>
      <c r="IL57" s="2"/>
      <c r="IM57" s="2"/>
      <c r="IN57" s="2"/>
      <c r="IO57" s="2"/>
      <c r="IP57" s="2"/>
      <c r="IQ57" s="2"/>
      <c r="IR57" s="2"/>
      <c r="IS57" s="2"/>
      <c r="IT57" s="2"/>
      <c r="IU57" s="2"/>
    </row>
    <row r="58" spans="1:255" x14ac:dyDescent="0.2">
      <c r="A58" s="2">
        <v>18</v>
      </c>
      <c r="B58" s="2">
        <v>1</v>
      </c>
      <c r="C58" s="2">
        <v>106</v>
      </c>
      <c r="D58" s="2"/>
      <c r="E58" s="2" t="s">
        <v>137</v>
      </c>
      <c r="F58" s="2" t="s">
        <v>47</v>
      </c>
      <c r="G58" s="2" t="s">
        <v>48</v>
      </c>
      <c r="H58" s="2" t="s">
        <v>30</v>
      </c>
      <c r="I58" s="2">
        <f>I55*J58</f>
        <v>4</v>
      </c>
      <c r="J58" s="2">
        <v>2</v>
      </c>
      <c r="K58" s="2">
        <v>2</v>
      </c>
      <c r="L58" s="2"/>
      <c r="M58" s="2"/>
      <c r="N58" s="2"/>
      <c r="O58" s="2">
        <f t="shared" si="14"/>
        <v>0</v>
      </c>
      <c r="P58" s="2">
        <f>ROUND(CQ58*I58,2)</f>
        <v>0</v>
      </c>
      <c r="Q58" s="2">
        <f>ROUND(CR58*I58,2)</f>
        <v>0</v>
      </c>
      <c r="R58" s="2">
        <f>ROUND(CS58*I58,2)</f>
        <v>0</v>
      </c>
      <c r="S58" s="2">
        <f>ROUND(CT58*I58,2)</f>
        <v>0</v>
      </c>
      <c r="T58" s="2">
        <f t="shared" si="15"/>
        <v>0</v>
      </c>
      <c r="U58" s="2">
        <f>ROUND(CV58*I58,7)</f>
        <v>0</v>
      </c>
      <c r="V58" s="2">
        <f>ROUND(CW58*I58,7)</f>
        <v>0</v>
      </c>
      <c r="W58" s="2">
        <f t="shared" si="16"/>
        <v>0</v>
      </c>
      <c r="X58" s="2">
        <f t="shared" si="17"/>
        <v>0</v>
      </c>
      <c r="Y58" s="2">
        <f t="shared" si="18"/>
        <v>0</v>
      </c>
      <c r="Z58" s="2"/>
      <c r="AA58" s="2">
        <v>82813384</v>
      </c>
      <c r="AB58" s="2">
        <f t="shared" si="19"/>
        <v>0</v>
      </c>
      <c r="AC58" s="2">
        <f>ROUND((ES58),6)</f>
        <v>0</v>
      </c>
      <c r="AD58" s="2">
        <f>ROUND((((ET58)-(EU58))+AE58),6)</f>
        <v>0</v>
      </c>
      <c r="AE58" s="2">
        <f t="shared" si="42"/>
        <v>0</v>
      </c>
      <c r="AF58" s="2">
        <f t="shared" si="42"/>
        <v>0</v>
      </c>
      <c r="AG58" s="2">
        <f t="shared" si="20"/>
        <v>0</v>
      </c>
      <c r="AH58" s="2">
        <f t="shared" si="43"/>
        <v>0</v>
      </c>
      <c r="AI58" s="2">
        <f t="shared" si="43"/>
        <v>0</v>
      </c>
      <c r="AJ58" s="2">
        <f t="shared" si="21"/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121</v>
      </c>
      <c r="AU58" s="2">
        <v>72</v>
      </c>
      <c r="AV58" s="2">
        <v>1</v>
      </c>
      <c r="AW58" s="2">
        <v>1</v>
      </c>
      <c r="AX58" s="2"/>
      <c r="AY58" s="2"/>
      <c r="AZ58" s="2">
        <v>1</v>
      </c>
      <c r="BA58" s="2">
        <v>1</v>
      </c>
      <c r="BB58" s="2">
        <v>1</v>
      </c>
      <c r="BC58" s="2">
        <v>1</v>
      </c>
      <c r="BD58" s="2" t="s">
        <v>3</v>
      </c>
      <c r="BE58" s="2" t="s">
        <v>3</v>
      </c>
      <c r="BF58" s="2" t="s">
        <v>3</v>
      </c>
      <c r="BG58" s="2" t="s">
        <v>3</v>
      </c>
      <c r="BH58" s="2">
        <v>3</v>
      </c>
      <c r="BI58" s="2">
        <v>1</v>
      </c>
      <c r="BJ58" s="2" t="s">
        <v>3</v>
      </c>
      <c r="BK58" s="2"/>
      <c r="BL58" s="2"/>
      <c r="BM58" s="2">
        <v>16001</v>
      </c>
      <c r="BN58" s="2">
        <v>0</v>
      </c>
      <c r="BO58" s="2" t="s">
        <v>3</v>
      </c>
      <c r="BP58" s="2">
        <v>0</v>
      </c>
      <c r="BQ58" s="2">
        <v>2</v>
      </c>
      <c r="BR58" s="2">
        <v>0</v>
      </c>
      <c r="BS58" s="2">
        <v>1</v>
      </c>
      <c r="BT58" s="2">
        <v>1</v>
      </c>
      <c r="BU58" s="2">
        <v>1</v>
      </c>
      <c r="BV58" s="2">
        <v>1</v>
      </c>
      <c r="BW58" s="2">
        <v>1</v>
      </c>
      <c r="BX58" s="2">
        <v>1</v>
      </c>
      <c r="BY58" s="2" t="s">
        <v>3</v>
      </c>
      <c r="BZ58" s="2">
        <v>121</v>
      </c>
      <c r="CA58" s="2">
        <v>72</v>
      </c>
      <c r="CB58" s="2" t="s">
        <v>3</v>
      </c>
      <c r="CC58" s="2"/>
      <c r="CD58" s="2"/>
      <c r="CE58" s="2">
        <v>0</v>
      </c>
      <c r="CF58" s="2">
        <v>0</v>
      </c>
      <c r="CG58" s="2">
        <v>0</v>
      </c>
      <c r="CH58" s="2"/>
      <c r="CI58" s="2"/>
      <c r="CJ58" s="2"/>
      <c r="CK58" s="2"/>
      <c r="CL58" s="2"/>
      <c r="CM58" s="2">
        <v>0</v>
      </c>
      <c r="CN58" s="2" t="s">
        <v>3</v>
      </c>
      <c r="CO58" s="2">
        <v>0</v>
      </c>
      <c r="CP58" s="2">
        <f t="shared" si="22"/>
        <v>0</v>
      </c>
      <c r="CQ58" s="2">
        <f>ROUND(AL58*BC58,2)</f>
        <v>0</v>
      </c>
      <c r="CR58" s="2">
        <f>ROUND(AM58*BB58,2)</f>
        <v>0</v>
      </c>
      <c r="CS58" s="2">
        <f>ROUND(AN58*BS58,2)</f>
        <v>0</v>
      </c>
      <c r="CT58" s="2">
        <f>ROUND(AO58*BA58,2)</f>
        <v>0</v>
      </c>
      <c r="CU58" s="2">
        <f t="shared" si="23"/>
        <v>0</v>
      </c>
      <c r="CV58" s="2">
        <f t="shared" si="44"/>
        <v>0</v>
      </c>
      <c r="CW58" s="2">
        <f t="shared" si="44"/>
        <v>0</v>
      </c>
      <c r="CX58" s="2">
        <f t="shared" si="24"/>
        <v>0</v>
      </c>
      <c r="CY58" s="2">
        <f t="shared" si="25"/>
        <v>0</v>
      </c>
      <c r="CZ58" s="2">
        <f t="shared" si="26"/>
        <v>0</v>
      </c>
      <c r="DA58" s="2"/>
      <c r="DB58" s="2"/>
      <c r="DC58" s="2" t="s">
        <v>3</v>
      </c>
      <c r="DD58" s="2" t="s">
        <v>3</v>
      </c>
      <c r="DE58" s="2" t="s">
        <v>3</v>
      </c>
      <c r="DF58" s="2" t="s">
        <v>3</v>
      </c>
      <c r="DG58" s="2" t="s">
        <v>3</v>
      </c>
      <c r="DH58" s="2" t="s">
        <v>3</v>
      </c>
      <c r="DI58" s="2" t="s">
        <v>3</v>
      </c>
      <c r="DJ58" s="2" t="s">
        <v>3</v>
      </c>
      <c r="DK58" s="2" t="s">
        <v>3</v>
      </c>
      <c r="DL58" s="2" t="s">
        <v>3</v>
      </c>
      <c r="DM58" s="2" t="s">
        <v>3</v>
      </c>
      <c r="DN58" s="2">
        <v>0</v>
      </c>
      <c r="DO58" s="2">
        <v>0</v>
      </c>
      <c r="DP58" s="2">
        <v>1</v>
      </c>
      <c r="DQ58" s="2">
        <v>1</v>
      </c>
      <c r="DR58" s="2"/>
      <c r="DS58" s="2"/>
      <c r="DT58" s="2"/>
      <c r="DU58" s="2">
        <v>1013</v>
      </c>
      <c r="DV58" s="2" t="s">
        <v>30</v>
      </c>
      <c r="DW58" s="2" t="s">
        <v>30</v>
      </c>
      <c r="DX58" s="2">
        <v>1</v>
      </c>
      <c r="DY58" s="2"/>
      <c r="DZ58" s="2" t="s">
        <v>3</v>
      </c>
      <c r="EA58" s="2" t="s">
        <v>3</v>
      </c>
      <c r="EB58" s="2" t="s">
        <v>3</v>
      </c>
      <c r="EC58" s="2" t="s">
        <v>3</v>
      </c>
      <c r="ED58" s="2"/>
      <c r="EE58" s="2">
        <v>80781888</v>
      </c>
      <c r="EF58" s="2">
        <v>2</v>
      </c>
      <c r="EG58" s="2" t="s">
        <v>36</v>
      </c>
      <c r="EH58" s="2">
        <v>16</v>
      </c>
      <c r="EI58" s="2" t="s">
        <v>37</v>
      </c>
      <c r="EJ58" s="2">
        <v>1</v>
      </c>
      <c r="EK58" s="2">
        <v>16001</v>
      </c>
      <c r="EL58" s="2" t="s">
        <v>38</v>
      </c>
      <c r="EM58" s="2" t="s">
        <v>39</v>
      </c>
      <c r="EN58" s="2"/>
      <c r="EO58" s="2" t="s">
        <v>3</v>
      </c>
      <c r="EP58" s="2"/>
      <c r="EQ58" s="2">
        <v>0</v>
      </c>
      <c r="ER58" s="2">
        <v>0</v>
      </c>
      <c r="ES58" s="2">
        <v>0</v>
      </c>
      <c r="ET58" s="2">
        <v>0</v>
      </c>
      <c r="EU58" s="2">
        <v>0</v>
      </c>
      <c r="EV58" s="2">
        <v>0</v>
      </c>
      <c r="EW58" s="2">
        <v>0</v>
      </c>
      <c r="EX58" s="2">
        <v>0</v>
      </c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>
        <v>0</v>
      </c>
      <c r="FR58" s="2">
        <v>0</v>
      </c>
      <c r="FS58" s="2">
        <v>0</v>
      </c>
      <c r="FT58" s="2"/>
      <c r="FU58" s="2"/>
      <c r="FV58" s="2"/>
      <c r="FW58" s="2"/>
      <c r="FX58" s="2">
        <v>121</v>
      </c>
      <c r="FY58" s="2">
        <v>72</v>
      </c>
      <c r="FZ58" s="2"/>
      <c r="GA58" s="2" t="s">
        <v>3</v>
      </c>
      <c r="GB58" s="2"/>
      <c r="GC58" s="2"/>
      <c r="GD58" s="2">
        <v>1</v>
      </c>
      <c r="GE58" s="2"/>
      <c r="GF58" s="2">
        <v>-2036935815</v>
      </c>
      <c r="GG58" s="2">
        <v>2</v>
      </c>
      <c r="GH58" s="2">
        <v>1</v>
      </c>
      <c r="GI58" s="2">
        <v>-2</v>
      </c>
      <c r="GJ58" s="2">
        <v>0</v>
      </c>
      <c r="GK58" s="2">
        <v>0</v>
      </c>
      <c r="GL58" s="2">
        <f t="shared" si="27"/>
        <v>0</v>
      </c>
      <c r="GM58" s="2">
        <f t="shared" si="28"/>
        <v>0</v>
      </c>
      <c r="GN58" s="2">
        <f t="shared" si="29"/>
        <v>0</v>
      </c>
      <c r="GO58" s="2">
        <f t="shared" si="30"/>
        <v>0</v>
      </c>
      <c r="GP58" s="2">
        <f t="shared" si="31"/>
        <v>0</v>
      </c>
      <c r="GQ58" s="2"/>
      <c r="GR58" s="2">
        <v>0</v>
      </c>
      <c r="GS58" s="2">
        <v>3</v>
      </c>
      <c r="GT58" s="2">
        <v>0</v>
      </c>
      <c r="GU58" s="2" t="s">
        <v>3</v>
      </c>
      <c r="GV58" s="2">
        <f t="shared" si="35"/>
        <v>0</v>
      </c>
      <c r="GW58" s="2">
        <v>1</v>
      </c>
      <c r="GX58" s="2">
        <f t="shared" si="33"/>
        <v>0</v>
      </c>
      <c r="GY58" s="2"/>
      <c r="GZ58" s="2"/>
      <c r="HA58" s="2">
        <v>0</v>
      </c>
      <c r="HB58" s="2">
        <v>0</v>
      </c>
      <c r="HC58" s="2">
        <f t="shared" si="34"/>
        <v>0</v>
      </c>
      <c r="HD58" s="2"/>
      <c r="HE58" s="2" t="s">
        <v>3</v>
      </c>
      <c r="HF58" s="2" t="s">
        <v>3</v>
      </c>
      <c r="HG58" s="2"/>
      <c r="HH58" s="2"/>
      <c r="HI58" s="2"/>
      <c r="HJ58" s="2"/>
      <c r="HK58" s="2"/>
      <c r="HL58" s="2"/>
      <c r="HM58" s="2" t="s">
        <v>3</v>
      </c>
      <c r="HN58" s="2" t="s">
        <v>41</v>
      </c>
      <c r="HO58" s="2" t="s">
        <v>42</v>
      </c>
      <c r="HP58" s="2" t="s">
        <v>37</v>
      </c>
      <c r="HQ58" s="2" t="s">
        <v>37</v>
      </c>
      <c r="HR58" s="2"/>
      <c r="HS58" s="2">
        <v>0</v>
      </c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>
        <v>0</v>
      </c>
      <c r="IL58" s="2"/>
      <c r="IM58" s="2"/>
      <c r="IN58" s="2"/>
      <c r="IO58" s="2"/>
      <c r="IP58" s="2"/>
      <c r="IQ58" s="2"/>
      <c r="IR58" s="2"/>
      <c r="IS58" s="2"/>
      <c r="IT58" s="2"/>
      <c r="IU58" s="2"/>
    </row>
    <row r="59" spans="1:255" x14ac:dyDescent="0.2">
      <c r="A59" s="2">
        <v>17</v>
      </c>
      <c r="B59" s="2">
        <v>1</v>
      </c>
      <c r="C59" s="2"/>
      <c r="D59" s="2"/>
      <c r="E59" s="2" t="s">
        <v>3</v>
      </c>
      <c r="F59" s="2" t="s">
        <v>138</v>
      </c>
      <c r="G59" s="2" t="s">
        <v>139</v>
      </c>
      <c r="H59" s="2" t="s">
        <v>30</v>
      </c>
      <c r="I59" s="2">
        <v>2</v>
      </c>
      <c r="J59" s="2">
        <v>0</v>
      </c>
      <c r="K59" s="2">
        <v>2</v>
      </c>
      <c r="L59" s="2"/>
      <c r="M59" s="2"/>
      <c r="N59" s="2"/>
      <c r="O59" s="2">
        <f t="shared" si="14"/>
        <v>13807.94</v>
      </c>
      <c r="P59" s="2">
        <f>ROUND(CQ59*I59,2)</f>
        <v>13807.94</v>
      </c>
      <c r="Q59" s="2">
        <f>ROUND(CR59*I59,2)</f>
        <v>0</v>
      </c>
      <c r="R59" s="2">
        <f>ROUND(CS59*I59,2)</f>
        <v>0</v>
      </c>
      <c r="S59" s="2">
        <f>ROUND(CT59*I59,2)</f>
        <v>0</v>
      </c>
      <c r="T59" s="2">
        <f t="shared" si="15"/>
        <v>0</v>
      </c>
      <c r="U59" s="2">
        <f>ROUND(CV59*I59,7)</f>
        <v>0</v>
      </c>
      <c r="V59" s="2">
        <f>ROUND(CW59*I59,7)</f>
        <v>0</v>
      </c>
      <c r="W59" s="2">
        <f t="shared" si="16"/>
        <v>0</v>
      </c>
      <c r="X59" s="2">
        <f t="shared" si="17"/>
        <v>0</v>
      </c>
      <c r="Y59" s="2">
        <f t="shared" si="18"/>
        <v>0</v>
      </c>
      <c r="Z59" s="2"/>
      <c r="AA59" s="2">
        <v>-1</v>
      </c>
      <c r="AB59" s="2">
        <f t="shared" si="19"/>
        <v>5658.99</v>
      </c>
      <c r="AC59" s="2">
        <f>ROUND((ES59),6)</f>
        <v>5658.99</v>
      </c>
      <c r="AD59" s="2">
        <f>ROUND((((ET59)-(EU59))+AE59),6)</f>
        <v>0</v>
      </c>
      <c r="AE59" s="2">
        <f t="shared" si="42"/>
        <v>0</v>
      </c>
      <c r="AF59" s="2">
        <f t="shared" si="42"/>
        <v>0</v>
      </c>
      <c r="AG59" s="2">
        <f t="shared" si="20"/>
        <v>0</v>
      </c>
      <c r="AH59" s="2">
        <f t="shared" si="43"/>
        <v>0</v>
      </c>
      <c r="AI59" s="2">
        <f t="shared" si="43"/>
        <v>0</v>
      </c>
      <c r="AJ59" s="2">
        <f t="shared" si="21"/>
        <v>0</v>
      </c>
      <c r="AK59" s="2">
        <v>5658.99</v>
      </c>
      <c r="AL59" s="2">
        <v>5658.99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121</v>
      </c>
      <c r="AU59" s="2">
        <v>72</v>
      </c>
      <c r="AV59" s="2">
        <v>1</v>
      </c>
      <c r="AW59" s="2">
        <v>1</v>
      </c>
      <c r="AX59" s="2"/>
      <c r="AY59" s="2"/>
      <c r="AZ59" s="2">
        <v>1</v>
      </c>
      <c r="BA59" s="2">
        <v>1</v>
      </c>
      <c r="BB59" s="2">
        <v>1</v>
      </c>
      <c r="BC59" s="2">
        <v>1.22</v>
      </c>
      <c r="BD59" s="2" t="s">
        <v>3</v>
      </c>
      <c r="BE59" s="2" t="s">
        <v>3</v>
      </c>
      <c r="BF59" s="2" t="s">
        <v>3</v>
      </c>
      <c r="BG59" s="2" t="s">
        <v>3</v>
      </c>
      <c r="BH59" s="2">
        <v>3</v>
      </c>
      <c r="BI59" s="2">
        <v>1</v>
      </c>
      <c r="BJ59" s="2" t="s">
        <v>140</v>
      </c>
      <c r="BK59" s="2"/>
      <c r="BL59" s="2"/>
      <c r="BM59" s="2">
        <v>16001</v>
      </c>
      <c r="BN59" s="2">
        <v>0</v>
      </c>
      <c r="BO59" s="2" t="s">
        <v>138</v>
      </c>
      <c r="BP59" s="2">
        <v>1</v>
      </c>
      <c r="BQ59" s="2">
        <v>2</v>
      </c>
      <c r="BR59" s="2">
        <v>0</v>
      </c>
      <c r="BS59" s="2">
        <v>1</v>
      </c>
      <c r="BT59" s="2">
        <v>1</v>
      </c>
      <c r="BU59" s="2">
        <v>1</v>
      </c>
      <c r="BV59" s="2">
        <v>1</v>
      </c>
      <c r="BW59" s="2">
        <v>1</v>
      </c>
      <c r="BX59" s="2">
        <v>1</v>
      </c>
      <c r="BY59" s="2" t="s">
        <v>3</v>
      </c>
      <c r="BZ59" s="2">
        <v>121</v>
      </c>
      <c r="CA59" s="2">
        <v>72</v>
      </c>
      <c r="CB59" s="2" t="s">
        <v>3</v>
      </c>
      <c r="CC59" s="2"/>
      <c r="CD59" s="2"/>
      <c r="CE59" s="2">
        <v>0</v>
      </c>
      <c r="CF59" s="2">
        <v>0</v>
      </c>
      <c r="CG59" s="2">
        <v>0</v>
      </c>
      <c r="CH59" s="2"/>
      <c r="CI59" s="2"/>
      <c r="CJ59" s="2"/>
      <c r="CK59" s="2"/>
      <c r="CL59" s="2"/>
      <c r="CM59" s="2">
        <v>0</v>
      </c>
      <c r="CN59" s="2" t="s">
        <v>3</v>
      </c>
      <c r="CO59" s="2">
        <v>0</v>
      </c>
      <c r="CP59" s="2">
        <f t="shared" si="22"/>
        <v>13807.94</v>
      </c>
      <c r="CQ59" s="2">
        <f>ROUND(AL59*BC59,2)</f>
        <v>6903.97</v>
      </c>
      <c r="CR59" s="2">
        <f>ROUND(AM59*BB59,2)</f>
        <v>0</v>
      </c>
      <c r="CS59" s="2">
        <f>ROUND(AN59*BS59,2)</f>
        <v>0</v>
      </c>
      <c r="CT59" s="2">
        <f>ROUND(AO59*BA59,2)</f>
        <v>0</v>
      </c>
      <c r="CU59" s="2">
        <f t="shared" si="23"/>
        <v>0</v>
      </c>
      <c r="CV59" s="2">
        <f t="shared" si="44"/>
        <v>0</v>
      </c>
      <c r="CW59" s="2">
        <f t="shared" si="44"/>
        <v>0</v>
      </c>
      <c r="CX59" s="2">
        <f t="shared" si="24"/>
        <v>0</v>
      </c>
      <c r="CY59" s="2">
        <f t="shared" si="25"/>
        <v>0</v>
      </c>
      <c r="CZ59" s="2">
        <f t="shared" si="26"/>
        <v>0</v>
      </c>
      <c r="DA59" s="2"/>
      <c r="DB59" s="2"/>
      <c r="DC59" s="2" t="s">
        <v>3</v>
      </c>
      <c r="DD59" s="2" t="s">
        <v>3</v>
      </c>
      <c r="DE59" s="2" t="s">
        <v>3</v>
      </c>
      <c r="DF59" s="2" t="s">
        <v>3</v>
      </c>
      <c r="DG59" s="2" t="s">
        <v>3</v>
      </c>
      <c r="DH59" s="2" t="s">
        <v>3</v>
      </c>
      <c r="DI59" s="2" t="s">
        <v>3</v>
      </c>
      <c r="DJ59" s="2" t="s">
        <v>3</v>
      </c>
      <c r="DK59" s="2" t="s">
        <v>3</v>
      </c>
      <c r="DL59" s="2" t="s">
        <v>3</v>
      </c>
      <c r="DM59" s="2" t="s">
        <v>3</v>
      </c>
      <c r="DN59" s="2">
        <v>0</v>
      </c>
      <c r="DO59" s="2">
        <v>0</v>
      </c>
      <c r="DP59" s="2">
        <v>1</v>
      </c>
      <c r="DQ59" s="2">
        <v>1</v>
      </c>
      <c r="DR59" s="2"/>
      <c r="DS59" s="2"/>
      <c r="DT59" s="2"/>
      <c r="DU59" s="2">
        <v>1013</v>
      </c>
      <c r="DV59" s="2" t="s">
        <v>30</v>
      </c>
      <c r="DW59" s="2" t="s">
        <v>30</v>
      </c>
      <c r="DX59" s="2">
        <v>1</v>
      </c>
      <c r="DY59" s="2"/>
      <c r="DZ59" s="2" t="s">
        <v>3</v>
      </c>
      <c r="EA59" s="2" t="s">
        <v>3</v>
      </c>
      <c r="EB59" s="2" t="s">
        <v>3</v>
      </c>
      <c r="EC59" s="2" t="s">
        <v>3</v>
      </c>
      <c r="ED59" s="2"/>
      <c r="EE59" s="2">
        <v>80781888</v>
      </c>
      <c r="EF59" s="2">
        <v>2</v>
      </c>
      <c r="EG59" s="2" t="s">
        <v>36</v>
      </c>
      <c r="EH59" s="2">
        <v>16</v>
      </c>
      <c r="EI59" s="2" t="s">
        <v>37</v>
      </c>
      <c r="EJ59" s="2">
        <v>1</v>
      </c>
      <c r="EK59" s="2">
        <v>16001</v>
      </c>
      <c r="EL59" s="2" t="s">
        <v>38</v>
      </c>
      <c r="EM59" s="2" t="s">
        <v>39</v>
      </c>
      <c r="EN59" s="2"/>
      <c r="EO59" s="2" t="s">
        <v>3</v>
      </c>
      <c r="EP59" s="2"/>
      <c r="EQ59" s="2">
        <v>1024</v>
      </c>
      <c r="ER59" s="2">
        <v>5658.99</v>
      </c>
      <c r="ES59" s="2">
        <v>5658.99</v>
      </c>
      <c r="ET59" s="2">
        <v>0</v>
      </c>
      <c r="EU59" s="2">
        <v>0</v>
      </c>
      <c r="EV59" s="2">
        <v>0</v>
      </c>
      <c r="EW59" s="2">
        <v>0</v>
      </c>
      <c r="EX59" s="2">
        <v>0</v>
      </c>
      <c r="EY59" s="2">
        <v>0</v>
      </c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>
        <v>0</v>
      </c>
      <c r="FR59" s="2">
        <v>0</v>
      </c>
      <c r="FS59" s="2">
        <v>0</v>
      </c>
      <c r="FT59" s="2"/>
      <c r="FU59" s="2"/>
      <c r="FV59" s="2"/>
      <c r="FW59" s="2"/>
      <c r="FX59" s="2">
        <v>121</v>
      </c>
      <c r="FY59" s="2">
        <v>72</v>
      </c>
      <c r="FZ59" s="2"/>
      <c r="GA59" s="2" t="s">
        <v>3</v>
      </c>
      <c r="GB59" s="2"/>
      <c r="GC59" s="2"/>
      <c r="GD59" s="2">
        <v>1</v>
      </c>
      <c r="GE59" s="2"/>
      <c r="GF59" s="2">
        <v>911500424</v>
      </c>
      <c r="GG59" s="2">
        <v>2</v>
      </c>
      <c r="GH59" s="2">
        <v>1</v>
      </c>
      <c r="GI59" s="2">
        <v>2</v>
      </c>
      <c r="GJ59" s="2">
        <v>0</v>
      </c>
      <c r="GK59" s="2">
        <v>0</v>
      </c>
      <c r="GL59" s="2">
        <f t="shared" si="27"/>
        <v>0</v>
      </c>
      <c r="GM59" s="2">
        <f t="shared" si="28"/>
        <v>13807.94</v>
      </c>
      <c r="GN59" s="2">
        <f t="shared" si="29"/>
        <v>13807.94</v>
      </c>
      <c r="GO59" s="2">
        <f t="shared" si="30"/>
        <v>0</v>
      </c>
      <c r="GP59" s="2">
        <f t="shared" si="31"/>
        <v>0</v>
      </c>
      <c r="GQ59" s="2"/>
      <c r="GR59" s="2">
        <v>0</v>
      </c>
      <c r="GS59" s="2">
        <v>3</v>
      </c>
      <c r="GT59" s="2">
        <v>0</v>
      </c>
      <c r="GU59" s="2" t="s">
        <v>3</v>
      </c>
      <c r="GV59" s="2">
        <f t="shared" si="35"/>
        <v>0</v>
      </c>
      <c r="GW59" s="2">
        <v>1</v>
      </c>
      <c r="GX59" s="2">
        <f t="shared" si="33"/>
        <v>0</v>
      </c>
      <c r="GY59" s="2"/>
      <c r="GZ59" s="2"/>
      <c r="HA59" s="2">
        <v>0</v>
      </c>
      <c r="HB59" s="2">
        <v>0</v>
      </c>
      <c r="HC59" s="2">
        <f t="shared" si="34"/>
        <v>0</v>
      </c>
      <c r="HD59" s="2"/>
      <c r="HE59" s="2" t="s">
        <v>3</v>
      </c>
      <c r="HF59" s="2" t="s">
        <v>3</v>
      </c>
      <c r="HG59" s="2"/>
      <c r="HH59" s="2"/>
      <c r="HI59" s="2"/>
      <c r="HJ59" s="2"/>
      <c r="HK59" s="2"/>
      <c r="HL59" s="2"/>
      <c r="HM59" s="2" t="s">
        <v>3</v>
      </c>
      <c r="HN59" s="2" t="s">
        <v>41</v>
      </c>
      <c r="HO59" s="2" t="s">
        <v>42</v>
      </c>
      <c r="HP59" s="2" t="s">
        <v>37</v>
      </c>
      <c r="HQ59" s="2" t="s">
        <v>37</v>
      </c>
      <c r="HR59" s="2"/>
      <c r="HS59" s="2">
        <v>0</v>
      </c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>
        <v>0</v>
      </c>
      <c r="IL59" s="2"/>
      <c r="IM59" s="2"/>
      <c r="IN59" s="2"/>
      <c r="IO59" s="2"/>
      <c r="IP59" s="2"/>
      <c r="IQ59" s="2"/>
      <c r="IR59" s="2"/>
      <c r="IS59" s="2"/>
      <c r="IT59" s="2"/>
      <c r="IU59" s="2"/>
    </row>
    <row r="60" spans="1:255" ht="409.5" x14ac:dyDescent="0.2">
      <c r="A60" s="2">
        <v>17</v>
      </c>
      <c r="B60" s="2">
        <v>1</v>
      </c>
      <c r="C60" s="2">
        <f>ROW(SmtRes!A116)</f>
        <v>116</v>
      </c>
      <c r="D60" s="2">
        <f>ROW(EtalonRes!A113)</f>
        <v>113</v>
      </c>
      <c r="E60" s="2" t="s">
        <v>141</v>
      </c>
      <c r="F60" s="2" t="s">
        <v>142</v>
      </c>
      <c r="G60" s="2" t="s">
        <v>143</v>
      </c>
      <c r="H60" s="2" t="s">
        <v>144</v>
      </c>
      <c r="I60" s="2">
        <f>ROUND(15/10,7)</f>
        <v>1.5</v>
      </c>
      <c r="J60" s="2">
        <v>0</v>
      </c>
      <c r="K60" s="2">
        <f>ROUND(15/10,7)</f>
        <v>1.5</v>
      </c>
      <c r="L60" s="2"/>
      <c r="M60" s="2"/>
      <c r="N60" s="2"/>
      <c r="O60" s="2">
        <f t="shared" si="14"/>
        <v>6431.68</v>
      </c>
      <c r="P60" s="2">
        <f>SUMIF(SmtRes!AQ107:'SmtRes'!AQ116,"=1",SmtRes!DF107:'SmtRes'!DF116)</f>
        <v>1736.0900000000001</v>
      </c>
      <c r="Q60" s="2">
        <f>SUMIF(SmtRes!AQ107:'SmtRes'!AQ116,"=1",SmtRes!DG107:'SmtRes'!DG116)</f>
        <v>375.65999999999997</v>
      </c>
      <c r="R60" s="2">
        <f>SUMIF(SmtRes!AQ107:'SmtRes'!AQ116,"=1",SmtRes!DH107:'SmtRes'!DH116)</f>
        <v>462.64</v>
      </c>
      <c r="S60" s="2">
        <f>SUMIF(SmtRes!AQ107:'SmtRes'!AQ116,"=1",SmtRes!DI107:'SmtRes'!DI116)</f>
        <v>3857.29</v>
      </c>
      <c r="T60" s="2">
        <f t="shared" si="15"/>
        <v>0</v>
      </c>
      <c r="U60" s="2">
        <f>SUMIF(SmtRes!AQ107:'SmtRes'!AQ116,"=1",SmtRes!CV107:'SmtRes'!CV116)</f>
        <v>5.1232499999999996</v>
      </c>
      <c r="V60" s="2">
        <f>SUMIF(SmtRes!AQ107:'SmtRes'!AQ116,"=1",SmtRes!CW107:'SmtRes'!CW116)</f>
        <v>0.6328125</v>
      </c>
      <c r="W60" s="2">
        <f t="shared" si="16"/>
        <v>0</v>
      </c>
      <c r="X60" s="2">
        <f t="shared" si="17"/>
        <v>3771.3</v>
      </c>
      <c r="Y60" s="2">
        <f t="shared" si="18"/>
        <v>2019.57</v>
      </c>
      <c r="Z60" s="2"/>
      <c r="AA60" s="2">
        <v>82813384</v>
      </c>
      <c r="AB60" s="2">
        <f t="shared" si="19"/>
        <v>3585.907459</v>
      </c>
      <c r="AC60" s="2">
        <f>ROUND((SUM(SmtRes!BQ107:'SmtRes'!BQ116)),6)</f>
        <v>770.41209000000003</v>
      </c>
      <c r="AD60" s="2">
        <f>ROUND((((SUM(SmtRes!BR107:'SmtRes'!BR116))-(SUM(SmtRes!BS107:'SmtRes'!BS116)))+AE60),6)</f>
        <v>243.965419</v>
      </c>
      <c r="AE60" s="2">
        <f>ROUND((SUM(SmtRes!BS107:'SmtRes'!BS116)),6)</f>
        <v>308.424375</v>
      </c>
      <c r="AF60" s="2">
        <f>ROUND((SUM(SmtRes!BT107:'SmtRes'!BT116)),6)</f>
        <v>2571.5299500000001</v>
      </c>
      <c r="AG60" s="2">
        <f t="shared" si="20"/>
        <v>0</v>
      </c>
      <c r="AH60" s="2">
        <f>(SUM(SmtRes!BU107:'SmtRes'!BU116))</f>
        <v>3.4155000000000006</v>
      </c>
      <c r="AI60" s="2">
        <f>(SUM(SmtRes!BV107:'SmtRes'!BV116))</f>
        <v>0.421875</v>
      </c>
      <c r="AJ60" s="2">
        <f t="shared" si="21"/>
        <v>0</v>
      </c>
      <c r="AK60" s="2">
        <v>2754.1341900000002</v>
      </c>
      <c r="AL60" s="2">
        <v>770.41208999999992</v>
      </c>
      <c r="AM60" s="2">
        <v>144.57209999999998</v>
      </c>
      <c r="AN60" s="2">
        <v>182.77</v>
      </c>
      <c r="AO60" s="2">
        <v>1656.38</v>
      </c>
      <c r="AP60" s="2">
        <v>0</v>
      </c>
      <c r="AQ60" s="2">
        <v>2.2000000000000002</v>
      </c>
      <c r="AR60" s="2">
        <v>0.25</v>
      </c>
      <c r="AS60" s="2">
        <v>0</v>
      </c>
      <c r="AT60" s="2">
        <v>87.3</v>
      </c>
      <c r="AU60" s="2">
        <v>46.75</v>
      </c>
      <c r="AV60" s="2">
        <v>1</v>
      </c>
      <c r="AW60" s="2">
        <v>1</v>
      </c>
      <c r="AX60" s="2"/>
      <c r="AY60" s="2"/>
      <c r="AZ60" s="2">
        <v>1</v>
      </c>
      <c r="BA60" s="2">
        <v>1</v>
      </c>
      <c r="BB60" s="2">
        <v>1</v>
      </c>
      <c r="BC60" s="2">
        <v>1</v>
      </c>
      <c r="BD60" s="2" t="s">
        <v>3</v>
      </c>
      <c r="BE60" s="2" t="s">
        <v>3</v>
      </c>
      <c r="BF60" s="2" t="s">
        <v>3</v>
      </c>
      <c r="BG60" s="2" t="s">
        <v>3</v>
      </c>
      <c r="BH60" s="2">
        <v>0</v>
      </c>
      <c r="BI60" s="2">
        <v>1</v>
      </c>
      <c r="BJ60" s="2" t="s">
        <v>145</v>
      </c>
      <c r="BK60" s="2"/>
      <c r="BL60" s="2"/>
      <c r="BM60" s="2">
        <v>26001</v>
      </c>
      <c r="BN60" s="2">
        <v>0</v>
      </c>
      <c r="BO60" s="2" t="s">
        <v>3</v>
      </c>
      <c r="BP60" s="2">
        <v>0</v>
      </c>
      <c r="BQ60" s="2">
        <v>2</v>
      </c>
      <c r="BR60" s="2">
        <v>0</v>
      </c>
      <c r="BS60" s="2">
        <v>1</v>
      </c>
      <c r="BT60" s="2">
        <v>1</v>
      </c>
      <c r="BU60" s="2">
        <v>1</v>
      </c>
      <c r="BV60" s="2">
        <v>1</v>
      </c>
      <c r="BW60" s="2">
        <v>1</v>
      </c>
      <c r="BX60" s="2">
        <v>1</v>
      </c>
      <c r="BY60" s="2" t="s">
        <v>3</v>
      </c>
      <c r="BZ60" s="2">
        <v>97</v>
      </c>
      <c r="CA60" s="2">
        <v>55</v>
      </c>
      <c r="CB60" s="2" t="s">
        <v>3</v>
      </c>
      <c r="CC60" s="2"/>
      <c r="CD60" s="2"/>
      <c r="CE60" s="2">
        <v>0</v>
      </c>
      <c r="CF60" s="2">
        <v>0</v>
      </c>
      <c r="CG60" s="2">
        <v>0</v>
      </c>
      <c r="CH60" s="2"/>
      <c r="CI60" s="2"/>
      <c r="CJ60" s="2"/>
      <c r="CK60" s="2"/>
      <c r="CL60" s="2"/>
      <c r="CM60" s="2">
        <v>0</v>
      </c>
      <c r="CN60" s="7" t="s">
        <v>427</v>
      </c>
      <c r="CO60" s="2">
        <v>0</v>
      </c>
      <c r="CP60" s="2">
        <f t="shared" si="22"/>
        <v>6431.68</v>
      </c>
      <c r="CQ60" s="2">
        <f>SUMIF(SmtRes!AQ107:'SmtRes'!AQ116,"=1",SmtRes!AA107:'SmtRes'!AA116)</f>
        <v>2501.6099999999997</v>
      </c>
      <c r="CR60" s="2">
        <f>SUMIF(SmtRes!AQ107:'SmtRes'!AQ116,"=1",SmtRes!AB107:'SmtRes'!AB116)</f>
        <v>576.15</v>
      </c>
      <c r="CS60" s="2">
        <f>SUMIF(SmtRes!AQ107:'SmtRes'!AQ116,"=1",SmtRes!AC107:'SmtRes'!AC116)</f>
        <v>731.08</v>
      </c>
      <c r="CT60" s="2">
        <f>SUMIF(SmtRes!AQ107:'SmtRes'!AQ116,"=1",SmtRes!AD107:'SmtRes'!AD116)</f>
        <v>752.9</v>
      </c>
      <c r="CU60" s="2">
        <f t="shared" si="23"/>
        <v>0</v>
      </c>
      <c r="CV60" s="2">
        <f>SUMIF(SmtRes!AQ107:'SmtRes'!AQ116,"=1",SmtRes!BU107:'SmtRes'!BU116)</f>
        <v>3.4155000000000006</v>
      </c>
      <c r="CW60" s="2">
        <f>SUMIF(SmtRes!AQ107:'SmtRes'!AQ116,"=1",SmtRes!BV107:'SmtRes'!BV116)</f>
        <v>0.421875</v>
      </c>
      <c r="CX60" s="2">
        <f t="shared" si="24"/>
        <v>0</v>
      </c>
      <c r="CY60" s="2">
        <f t="shared" si="25"/>
        <v>3771.29889</v>
      </c>
      <c r="CZ60" s="2">
        <f t="shared" si="26"/>
        <v>2019.5672750000001</v>
      </c>
      <c r="DA60" s="2"/>
      <c r="DB60" s="2">
        <v>9</v>
      </c>
      <c r="DC60" s="2" t="s">
        <v>3</v>
      </c>
      <c r="DD60" s="2" t="s">
        <v>3</v>
      </c>
      <c r="DE60" s="2" t="s">
        <v>32</v>
      </c>
      <c r="DF60" s="2" t="s">
        <v>32</v>
      </c>
      <c r="DG60" s="2" t="s">
        <v>33</v>
      </c>
      <c r="DH60" s="2" t="s">
        <v>3</v>
      </c>
      <c r="DI60" s="2" t="s">
        <v>33</v>
      </c>
      <c r="DJ60" s="2" t="s">
        <v>32</v>
      </c>
      <c r="DK60" s="2" t="s">
        <v>3</v>
      </c>
      <c r="DL60" s="2" t="s">
        <v>34</v>
      </c>
      <c r="DM60" s="2" t="s">
        <v>35</v>
      </c>
      <c r="DN60" s="2">
        <v>0</v>
      </c>
      <c r="DO60" s="2">
        <v>0</v>
      </c>
      <c r="DP60" s="2">
        <v>1</v>
      </c>
      <c r="DQ60" s="2">
        <v>1</v>
      </c>
      <c r="DR60" s="2"/>
      <c r="DS60" s="2"/>
      <c r="DT60" s="2"/>
      <c r="DU60" s="2">
        <v>1003</v>
      </c>
      <c r="DV60" s="2" t="s">
        <v>144</v>
      </c>
      <c r="DW60" s="2" t="s">
        <v>144</v>
      </c>
      <c r="DX60" s="2">
        <v>10</v>
      </c>
      <c r="DY60" s="2"/>
      <c r="DZ60" s="2" t="s">
        <v>3</v>
      </c>
      <c r="EA60" s="2" t="s">
        <v>3</v>
      </c>
      <c r="EB60" s="2" t="s">
        <v>3</v>
      </c>
      <c r="EC60" s="2" t="s">
        <v>3</v>
      </c>
      <c r="ED60" s="2"/>
      <c r="EE60" s="2">
        <v>80781901</v>
      </c>
      <c r="EF60" s="2">
        <v>2</v>
      </c>
      <c r="EG60" s="2" t="s">
        <v>36</v>
      </c>
      <c r="EH60" s="2">
        <v>20</v>
      </c>
      <c r="EI60" s="2" t="s">
        <v>146</v>
      </c>
      <c r="EJ60" s="2">
        <v>1</v>
      </c>
      <c r="EK60" s="2">
        <v>26001</v>
      </c>
      <c r="EL60" s="2" t="s">
        <v>146</v>
      </c>
      <c r="EM60" s="2" t="s">
        <v>147</v>
      </c>
      <c r="EN60" s="2"/>
      <c r="EO60" s="2" t="s">
        <v>40</v>
      </c>
      <c r="EP60" s="2"/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2">
        <v>2.2000000000000002</v>
      </c>
      <c r="EX60" s="2">
        <v>0.25</v>
      </c>
      <c r="EY60" s="2">
        <v>0</v>
      </c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>
        <v>0</v>
      </c>
      <c r="FR60" s="2">
        <v>0</v>
      </c>
      <c r="FS60" s="2">
        <v>0</v>
      </c>
      <c r="FT60" s="2"/>
      <c r="FU60" s="2"/>
      <c r="FV60" s="2"/>
      <c r="FW60" s="2"/>
      <c r="FX60" s="2">
        <v>87.3</v>
      </c>
      <c r="FY60" s="2">
        <v>46.75</v>
      </c>
      <c r="FZ60" s="2"/>
      <c r="GA60" s="2" t="s">
        <v>3</v>
      </c>
      <c r="GB60" s="2"/>
      <c r="GC60" s="2"/>
      <c r="GD60" s="2">
        <v>1</v>
      </c>
      <c r="GE60" s="2"/>
      <c r="GF60" s="2">
        <v>-1707848965</v>
      </c>
      <c r="GG60" s="2">
        <v>2</v>
      </c>
      <c r="GH60" s="2">
        <v>1</v>
      </c>
      <c r="GI60" s="2">
        <v>-2</v>
      </c>
      <c r="GJ60" s="2">
        <v>0</v>
      </c>
      <c r="GK60" s="2">
        <v>0</v>
      </c>
      <c r="GL60" s="2">
        <f t="shared" si="27"/>
        <v>0</v>
      </c>
      <c r="GM60" s="2">
        <f t="shared" si="28"/>
        <v>12222.55</v>
      </c>
      <c r="GN60" s="2">
        <f t="shared" si="29"/>
        <v>12222.55</v>
      </c>
      <c r="GO60" s="2">
        <f t="shared" si="30"/>
        <v>0</v>
      </c>
      <c r="GP60" s="2">
        <f t="shared" si="31"/>
        <v>0</v>
      </c>
      <c r="GQ60" s="2"/>
      <c r="GR60" s="2">
        <v>0</v>
      </c>
      <c r="GS60" s="2">
        <v>3</v>
      </c>
      <c r="GT60" s="2">
        <v>0</v>
      </c>
      <c r="GU60" s="2" t="s">
        <v>3</v>
      </c>
      <c r="GV60" s="2">
        <f t="shared" si="35"/>
        <v>0</v>
      </c>
      <c r="GW60" s="2">
        <v>1</v>
      </c>
      <c r="GX60" s="2">
        <f t="shared" si="33"/>
        <v>0</v>
      </c>
      <c r="GY60" s="2"/>
      <c r="GZ60" s="2"/>
      <c r="HA60" s="2">
        <v>0</v>
      </c>
      <c r="HB60" s="2">
        <v>0</v>
      </c>
      <c r="HC60" s="2">
        <f t="shared" si="34"/>
        <v>0</v>
      </c>
      <c r="HD60" s="2"/>
      <c r="HE60" s="2" t="s">
        <v>3</v>
      </c>
      <c r="HF60" s="2" t="s">
        <v>3</v>
      </c>
      <c r="HG60" s="2"/>
      <c r="HH60" s="2"/>
      <c r="HI60" s="2"/>
      <c r="HJ60" s="2"/>
      <c r="HK60" s="2"/>
      <c r="HL60" s="2"/>
      <c r="HM60" s="2" t="s">
        <v>3</v>
      </c>
      <c r="HN60" s="2" t="s">
        <v>148</v>
      </c>
      <c r="HO60" s="2" t="s">
        <v>149</v>
      </c>
      <c r="HP60" s="2" t="s">
        <v>146</v>
      </c>
      <c r="HQ60" s="2" t="s">
        <v>146</v>
      </c>
      <c r="HR60" s="2"/>
      <c r="HS60" s="2">
        <v>0</v>
      </c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>
        <v>0</v>
      </c>
      <c r="IL60" s="2"/>
      <c r="IM60" s="2"/>
      <c r="IN60" s="2"/>
      <c r="IO60" s="2"/>
      <c r="IP60" s="2"/>
      <c r="IQ60" s="2"/>
      <c r="IR60" s="2"/>
      <c r="IS60" s="2"/>
      <c r="IT60" s="2"/>
      <c r="IU60" s="2"/>
    </row>
    <row r="61" spans="1:255" x14ac:dyDescent="0.2">
      <c r="A61" s="2">
        <v>18</v>
      </c>
      <c r="B61" s="2">
        <v>1</v>
      </c>
      <c r="C61" s="2">
        <v>114</v>
      </c>
      <c r="D61" s="2"/>
      <c r="E61" s="2" t="s">
        <v>150</v>
      </c>
      <c r="F61" s="2" t="s">
        <v>151</v>
      </c>
      <c r="G61" s="2" t="s">
        <v>152</v>
      </c>
      <c r="H61" s="2" t="s">
        <v>72</v>
      </c>
      <c r="I61" s="2">
        <f>I60*J61</f>
        <v>16.5</v>
      </c>
      <c r="J61" s="2">
        <v>11</v>
      </c>
      <c r="K61" s="2">
        <v>11</v>
      </c>
      <c r="L61" s="2"/>
      <c r="M61" s="2"/>
      <c r="N61" s="2"/>
      <c r="O61" s="2">
        <f t="shared" si="14"/>
        <v>3175.1</v>
      </c>
      <c r="P61" s="2">
        <f>ROUND(CQ61*I61,2)</f>
        <v>3175.1</v>
      </c>
      <c r="Q61" s="2">
        <f>ROUND(CR61*I61,2)</f>
        <v>0</v>
      </c>
      <c r="R61" s="2">
        <f>ROUND(CS61*I61,2)</f>
        <v>0</v>
      </c>
      <c r="S61" s="2">
        <f>ROUND(CT61*I61,2)</f>
        <v>0</v>
      </c>
      <c r="T61" s="2">
        <f t="shared" si="15"/>
        <v>0</v>
      </c>
      <c r="U61" s="2">
        <f>ROUND(CV61*I61,7)</f>
        <v>0</v>
      </c>
      <c r="V61" s="2">
        <f>ROUND(CW61*I61,7)</f>
        <v>0</v>
      </c>
      <c r="W61" s="2">
        <f t="shared" si="16"/>
        <v>0</v>
      </c>
      <c r="X61" s="2">
        <f t="shared" si="17"/>
        <v>0</v>
      </c>
      <c r="Y61" s="2">
        <f t="shared" si="18"/>
        <v>0</v>
      </c>
      <c r="Z61" s="2"/>
      <c r="AA61" s="2">
        <v>82813384</v>
      </c>
      <c r="AB61" s="2">
        <f t="shared" si="19"/>
        <v>139.44</v>
      </c>
      <c r="AC61" s="2">
        <f>ROUND((ES61),6)</f>
        <v>139.44</v>
      </c>
      <c r="AD61" s="2">
        <f>ROUND((((ET61)-(EU61))+AE61),6)</f>
        <v>0</v>
      </c>
      <c r="AE61" s="2">
        <f>ROUND((EU61),6)</f>
        <v>0</v>
      </c>
      <c r="AF61" s="2">
        <f>ROUND((EV61),6)</f>
        <v>0</v>
      </c>
      <c r="AG61" s="2">
        <f t="shared" si="20"/>
        <v>0</v>
      </c>
      <c r="AH61" s="2">
        <f>(EW61)</f>
        <v>0</v>
      </c>
      <c r="AI61" s="2">
        <f>(EX61)</f>
        <v>0</v>
      </c>
      <c r="AJ61" s="2">
        <f t="shared" si="21"/>
        <v>0</v>
      </c>
      <c r="AK61" s="2">
        <v>139.44</v>
      </c>
      <c r="AL61" s="2">
        <v>139.44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97</v>
      </c>
      <c r="AU61" s="2">
        <v>55</v>
      </c>
      <c r="AV61" s="2">
        <v>1</v>
      </c>
      <c r="AW61" s="2">
        <v>1</v>
      </c>
      <c r="AX61" s="2"/>
      <c r="AY61" s="2"/>
      <c r="AZ61" s="2">
        <v>1</v>
      </c>
      <c r="BA61" s="2">
        <v>1</v>
      </c>
      <c r="BB61" s="2">
        <v>1</v>
      </c>
      <c r="BC61" s="2">
        <v>1.38</v>
      </c>
      <c r="BD61" s="2" t="s">
        <v>3</v>
      </c>
      <c r="BE61" s="2" t="s">
        <v>3</v>
      </c>
      <c r="BF61" s="2" t="s">
        <v>3</v>
      </c>
      <c r="BG61" s="2" t="s">
        <v>3</v>
      </c>
      <c r="BH61" s="2">
        <v>3</v>
      </c>
      <c r="BI61" s="2">
        <v>1</v>
      </c>
      <c r="BJ61" s="2" t="s">
        <v>153</v>
      </c>
      <c r="BK61" s="2"/>
      <c r="BL61" s="2"/>
      <c r="BM61" s="2">
        <v>26001</v>
      </c>
      <c r="BN61" s="2">
        <v>0</v>
      </c>
      <c r="BO61" s="2" t="s">
        <v>151</v>
      </c>
      <c r="BP61" s="2">
        <v>1</v>
      </c>
      <c r="BQ61" s="2">
        <v>2</v>
      </c>
      <c r="BR61" s="2">
        <v>0</v>
      </c>
      <c r="BS61" s="2">
        <v>1</v>
      </c>
      <c r="BT61" s="2">
        <v>1</v>
      </c>
      <c r="BU61" s="2">
        <v>1</v>
      </c>
      <c r="BV61" s="2">
        <v>1</v>
      </c>
      <c r="BW61" s="2">
        <v>1</v>
      </c>
      <c r="BX61" s="2">
        <v>1</v>
      </c>
      <c r="BY61" s="2" t="s">
        <v>3</v>
      </c>
      <c r="BZ61" s="2">
        <v>97</v>
      </c>
      <c r="CA61" s="2">
        <v>55</v>
      </c>
      <c r="CB61" s="2" t="s">
        <v>3</v>
      </c>
      <c r="CC61" s="2"/>
      <c r="CD61" s="2"/>
      <c r="CE61" s="2">
        <v>0</v>
      </c>
      <c r="CF61" s="2">
        <v>0</v>
      </c>
      <c r="CG61" s="2">
        <v>0</v>
      </c>
      <c r="CH61" s="2"/>
      <c r="CI61" s="2"/>
      <c r="CJ61" s="2"/>
      <c r="CK61" s="2"/>
      <c r="CL61" s="2"/>
      <c r="CM61" s="2">
        <v>0</v>
      </c>
      <c r="CN61" s="2" t="s">
        <v>3</v>
      </c>
      <c r="CO61" s="2">
        <v>0</v>
      </c>
      <c r="CP61" s="2">
        <f t="shared" si="22"/>
        <v>3175.1</v>
      </c>
      <c r="CQ61" s="2">
        <f>ROUND(AL61*BC61,2)</f>
        <v>192.43</v>
      </c>
      <c r="CR61" s="2">
        <f>ROUND(AM61*BB61,2)</f>
        <v>0</v>
      </c>
      <c r="CS61" s="2">
        <f>ROUND(AN61*BS61,2)</f>
        <v>0</v>
      </c>
      <c r="CT61" s="2">
        <f>ROUND(AO61*BA61,2)</f>
        <v>0</v>
      </c>
      <c r="CU61" s="2">
        <f t="shared" si="23"/>
        <v>0</v>
      </c>
      <c r="CV61" s="2">
        <f>AH61</f>
        <v>0</v>
      </c>
      <c r="CW61" s="2">
        <f>AI61</f>
        <v>0</v>
      </c>
      <c r="CX61" s="2">
        <f t="shared" si="24"/>
        <v>0</v>
      </c>
      <c r="CY61" s="2">
        <f t="shared" si="25"/>
        <v>0</v>
      </c>
      <c r="CZ61" s="2">
        <f t="shared" si="26"/>
        <v>0</v>
      </c>
      <c r="DA61" s="2"/>
      <c r="DB61" s="2"/>
      <c r="DC61" s="2" t="s">
        <v>3</v>
      </c>
      <c r="DD61" s="2" t="s">
        <v>3</v>
      </c>
      <c r="DE61" s="2" t="s">
        <v>3</v>
      </c>
      <c r="DF61" s="2" t="s">
        <v>3</v>
      </c>
      <c r="DG61" s="2" t="s">
        <v>3</v>
      </c>
      <c r="DH61" s="2" t="s">
        <v>3</v>
      </c>
      <c r="DI61" s="2" t="s">
        <v>3</v>
      </c>
      <c r="DJ61" s="2" t="s">
        <v>3</v>
      </c>
      <c r="DK61" s="2" t="s">
        <v>3</v>
      </c>
      <c r="DL61" s="2" t="s">
        <v>3</v>
      </c>
      <c r="DM61" s="2" t="s">
        <v>3</v>
      </c>
      <c r="DN61" s="2">
        <v>0</v>
      </c>
      <c r="DO61" s="2">
        <v>0</v>
      </c>
      <c r="DP61" s="2">
        <v>1</v>
      </c>
      <c r="DQ61" s="2">
        <v>1</v>
      </c>
      <c r="DR61" s="2"/>
      <c r="DS61" s="2"/>
      <c r="DT61" s="2"/>
      <c r="DU61" s="2">
        <v>1003</v>
      </c>
      <c r="DV61" s="2" t="s">
        <v>72</v>
      </c>
      <c r="DW61" s="2" t="s">
        <v>72</v>
      </c>
      <c r="DX61" s="2">
        <v>1</v>
      </c>
      <c r="DY61" s="2"/>
      <c r="DZ61" s="2" t="s">
        <v>3</v>
      </c>
      <c r="EA61" s="2" t="s">
        <v>3</v>
      </c>
      <c r="EB61" s="2" t="s">
        <v>3</v>
      </c>
      <c r="EC61" s="2" t="s">
        <v>3</v>
      </c>
      <c r="ED61" s="2"/>
      <c r="EE61" s="2">
        <v>80781901</v>
      </c>
      <c r="EF61" s="2">
        <v>2</v>
      </c>
      <c r="EG61" s="2" t="s">
        <v>36</v>
      </c>
      <c r="EH61" s="2">
        <v>20</v>
      </c>
      <c r="EI61" s="2" t="s">
        <v>146</v>
      </c>
      <c r="EJ61" s="2">
        <v>1</v>
      </c>
      <c r="EK61" s="2">
        <v>26001</v>
      </c>
      <c r="EL61" s="2" t="s">
        <v>146</v>
      </c>
      <c r="EM61" s="2" t="s">
        <v>147</v>
      </c>
      <c r="EN61" s="2"/>
      <c r="EO61" s="2" t="s">
        <v>3</v>
      </c>
      <c r="EP61" s="2"/>
      <c r="EQ61" s="2">
        <v>0</v>
      </c>
      <c r="ER61" s="2">
        <v>139.44</v>
      </c>
      <c r="ES61" s="2">
        <v>139.44</v>
      </c>
      <c r="ET61" s="2">
        <v>0</v>
      </c>
      <c r="EU61" s="2">
        <v>0</v>
      </c>
      <c r="EV61" s="2">
        <v>0</v>
      </c>
      <c r="EW61" s="2">
        <v>0</v>
      </c>
      <c r="EX61" s="2">
        <v>0</v>
      </c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>
        <v>0</v>
      </c>
      <c r="FR61" s="2">
        <v>0</v>
      </c>
      <c r="FS61" s="2">
        <v>0</v>
      </c>
      <c r="FT61" s="2"/>
      <c r="FU61" s="2"/>
      <c r="FV61" s="2"/>
      <c r="FW61" s="2"/>
      <c r="FX61" s="2">
        <v>97</v>
      </c>
      <c r="FY61" s="2">
        <v>55</v>
      </c>
      <c r="FZ61" s="2"/>
      <c r="GA61" s="2" t="s">
        <v>3</v>
      </c>
      <c r="GB61" s="2"/>
      <c r="GC61" s="2"/>
      <c r="GD61" s="2">
        <v>1</v>
      </c>
      <c r="GE61" s="2"/>
      <c r="GF61" s="2">
        <v>2054648080</v>
      </c>
      <c r="GG61" s="2">
        <v>2</v>
      </c>
      <c r="GH61" s="2">
        <v>1</v>
      </c>
      <c r="GI61" s="2">
        <v>2</v>
      </c>
      <c r="GJ61" s="2">
        <v>0</v>
      </c>
      <c r="GK61" s="2">
        <v>0</v>
      </c>
      <c r="GL61" s="2">
        <f t="shared" si="27"/>
        <v>0</v>
      </c>
      <c r="GM61" s="2">
        <f t="shared" si="28"/>
        <v>3175.1</v>
      </c>
      <c r="GN61" s="2">
        <f t="shared" si="29"/>
        <v>3175.1</v>
      </c>
      <c r="GO61" s="2">
        <f t="shared" si="30"/>
        <v>0</v>
      </c>
      <c r="GP61" s="2">
        <f t="shared" si="31"/>
        <v>0</v>
      </c>
      <c r="GQ61" s="2"/>
      <c r="GR61" s="2">
        <v>0</v>
      </c>
      <c r="GS61" s="2">
        <v>3</v>
      </c>
      <c r="GT61" s="2">
        <v>0</v>
      </c>
      <c r="GU61" s="2" t="s">
        <v>3</v>
      </c>
      <c r="GV61" s="2">
        <f t="shared" si="35"/>
        <v>0</v>
      </c>
      <c r="GW61" s="2">
        <v>1</v>
      </c>
      <c r="GX61" s="2">
        <f t="shared" si="33"/>
        <v>0</v>
      </c>
      <c r="GY61" s="2"/>
      <c r="GZ61" s="2"/>
      <c r="HA61" s="2">
        <v>0</v>
      </c>
      <c r="HB61" s="2">
        <v>0</v>
      </c>
      <c r="HC61" s="2">
        <f t="shared" si="34"/>
        <v>0</v>
      </c>
      <c r="HD61" s="2"/>
      <c r="HE61" s="2" t="s">
        <v>3</v>
      </c>
      <c r="HF61" s="2" t="s">
        <v>3</v>
      </c>
      <c r="HG61" s="2"/>
      <c r="HH61" s="2"/>
      <c r="HI61" s="2"/>
      <c r="HJ61" s="2"/>
      <c r="HK61" s="2"/>
      <c r="HL61" s="2"/>
      <c r="HM61" s="2" t="s">
        <v>3</v>
      </c>
      <c r="HN61" s="2" t="s">
        <v>148</v>
      </c>
      <c r="HO61" s="2" t="s">
        <v>149</v>
      </c>
      <c r="HP61" s="2" t="s">
        <v>146</v>
      </c>
      <c r="HQ61" s="2" t="s">
        <v>146</v>
      </c>
      <c r="HR61" s="2"/>
      <c r="HS61" s="2">
        <v>0</v>
      </c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>
        <v>0</v>
      </c>
      <c r="IL61" s="2"/>
      <c r="IM61" s="2"/>
      <c r="IN61" s="2"/>
      <c r="IO61" s="2"/>
      <c r="IP61" s="2"/>
      <c r="IQ61" s="2"/>
      <c r="IR61" s="2"/>
      <c r="IS61" s="2"/>
      <c r="IT61" s="2"/>
      <c r="IU61" s="2"/>
    </row>
    <row r="63" spans="1:255" x14ac:dyDescent="0.2">
      <c r="A63" s="3">
        <v>51</v>
      </c>
      <c r="B63" s="3">
        <f>B20</f>
        <v>1</v>
      </c>
      <c r="C63" s="3">
        <f>A20</f>
        <v>3</v>
      </c>
      <c r="D63" s="3">
        <f>ROW(A20)</f>
        <v>20</v>
      </c>
      <c r="E63" s="3"/>
      <c r="F63" s="3" t="str">
        <f>IF(F20&lt;&gt;"",F20,"")</f>
        <v>1</v>
      </c>
      <c r="G63" s="3" t="str">
        <f>IF(G20&lt;&gt;"",G20,"")</f>
        <v>Аварийный ремонт труб ЦО в ХК</v>
      </c>
      <c r="H63" s="3">
        <v>0</v>
      </c>
      <c r="I63" s="3"/>
      <c r="J63" s="3"/>
      <c r="K63" s="3"/>
      <c r="L63" s="3"/>
      <c r="M63" s="3"/>
      <c r="N63" s="3"/>
      <c r="O63" s="3">
        <f t="shared" ref="O63:T63" si="45">ROUND(AB63,2)</f>
        <v>62193.24</v>
      </c>
      <c r="P63" s="3">
        <f t="shared" si="45"/>
        <v>18760.73</v>
      </c>
      <c r="Q63" s="3">
        <f t="shared" si="45"/>
        <v>864.65</v>
      </c>
      <c r="R63" s="3">
        <f t="shared" si="45"/>
        <v>778.03</v>
      </c>
      <c r="S63" s="3">
        <f t="shared" si="45"/>
        <v>41789.83</v>
      </c>
      <c r="T63" s="3">
        <f t="shared" si="45"/>
        <v>0</v>
      </c>
      <c r="U63" s="3">
        <f>AH63</f>
        <v>56.871787500000003</v>
      </c>
      <c r="V63" s="3">
        <f>AI63</f>
        <v>1.0361251</v>
      </c>
      <c r="W63" s="3">
        <f>ROUND(AJ63,2)</f>
        <v>0</v>
      </c>
      <c r="X63" s="3">
        <f>ROUND(AK63,2)</f>
        <v>43036.99</v>
      </c>
      <c r="Y63" s="3">
        <f>ROUND(AL63,2)</f>
        <v>23290.33</v>
      </c>
      <c r="Z63" s="3"/>
      <c r="AA63" s="3"/>
      <c r="AB63" s="3">
        <f>ROUND(SUMIF(AA24:AA61,"=82813384",O24:O61),2)</f>
        <v>62193.24</v>
      </c>
      <c r="AC63" s="3">
        <f>ROUND(SUMIF(AA24:AA61,"=82813384",P24:P61),2)</f>
        <v>18760.73</v>
      </c>
      <c r="AD63" s="3">
        <f>ROUND(SUMIF(AA24:AA61,"=82813384",Q24:Q61),2)</f>
        <v>864.65</v>
      </c>
      <c r="AE63" s="3">
        <f>ROUND(SUMIF(AA24:AA61,"=82813384",R24:R61),2)</f>
        <v>778.03</v>
      </c>
      <c r="AF63" s="3">
        <f>ROUND(SUMIF(AA24:AA61,"=82813384",S24:S61),2)</f>
        <v>41789.83</v>
      </c>
      <c r="AG63" s="3">
        <f>ROUND(SUMIF(AA24:AA61,"=82813384",T24:T61),2)</f>
        <v>0</v>
      </c>
      <c r="AH63" s="3">
        <f>SUMIF(AA24:AA61,"=82813384",U24:U61)</f>
        <v>56.871787500000003</v>
      </c>
      <c r="AI63" s="3">
        <f>SUMIF(AA24:AA61,"=82813384",V24:V61)</f>
        <v>1.0361251</v>
      </c>
      <c r="AJ63" s="3">
        <f>ROUND(SUMIF(AA24:AA61,"=82813384",W24:W61),2)</f>
        <v>0</v>
      </c>
      <c r="AK63" s="3">
        <f>ROUND(SUMIF(AA24:AA61,"=82813384",X24:X61),2)</f>
        <v>43036.99</v>
      </c>
      <c r="AL63" s="3">
        <f>ROUND(SUMIF(AA24:AA61,"=82813384",Y24:Y61),2)</f>
        <v>23290.33</v>
      </c>
      <c r="AM63" s="3"/>
      <c r="AN63" s="3"/>
      <c r="AO63" s="3">
        <f t="shared" ref="AO63:BD63" si="46">ROUND(BX63,2)</f>
        <v>0</v>
      </c>
      <c r="AP63" s="3">
        <f t="shared" si="46"/>
        <v>0</v>
      </c>
      <c r="AQ63" s="3">
        <f t="shared" si="46"/>
        <v>0</v>
      </c>
      <c r="AR63" s="3">
        <f t="shared" si="46"/>
        <v>128520.56</v>
      </c>
      <c r="AS63" s="3">
        <f t="shared" si="46"/>
        <v>128520.56</v>
      </c>
      <c r="AT63" s="3">
        <f t="shared" si="46"/>
        <v>0</v>
      </c>
      <c r="AU63" s="3">
        <f t="shared" si="46"/>
        <v>0</v>
      </c>
      <c r="AV63" s="3">
        <f t="shared" si="46"/>
        <v>18760.73</v>
      </c>
      <c r="AW63" s="3">
        <f t="shared" si="46"/>
        <v>18760.73</v>
      </c>
      <c r="AX63" s="3">
        <f t="shared" si="46"/>
        <v>0</v>
      </c>
      <c r="AY63" s="3">
        <f t="shared" si="46"/>
        <v>18760.73</v>
      </c>
      <c r="AZ63" s="3">
        <f t="shared" si="46"/>
        <v>0</v>
      </c>
      <c r="BA63" s="3">
        <f t="shared" si="46"/>
        <v>0</v>
      </c>
      <c r="BB63" s="3">
        <f t="shared" si="46"/>
        <v>0</v>
      </c>
      <c r="BC63" s="3">
        <f t="shared" si="46"/>
        <v>0</v>
      </c>
      <c r="BD63" s="3">
        <f t="shared" si="46"/>
        <v>0</v>
      </c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>
        <f>ROUND(SUMIF(AA24:AA61,"=82813384",FQ24:FQ61),2)</f>
        <v>0</v>
      </c>
      <c r="BY63" s="3">
        <f>ROUND(SUMIF(AA24:AA61,"=82813384",FR24:FR61),2)</f>
        <v>0</v>
      </c>
      <c r="BZ63" s="3">
        <f>ROUND(SUMIF(AA24:AA61,"=82813384",GL24:GL61),2)</f>
        <v>0</v>
      </c>
      <c r="CA63" s="3">
        <f>ROUND(SUMIF(AA24:AA61,"=82813384",GM24:GM61),2)</f>
        <v>128520.56</v>
      </c>
      <c r="CB63" s="3">
        <f>ROUND(SUMIF(AA24:AA61,"=82813384",GN24:GN61),2)</f>
        <v>128520.56</v>
      </c>
      <c r="CC63" s="3">
        <f>ROUND(SUMIF(AA24:AA61,"=82813384",GO24:GO61),2)</f>
        <v>0</v>
      </c>
      <c r="CD63" s="3">
        <f>ROUND(SUMIF(AA24:AA61,"=82813384",GP24:GP61),2)</f>
        <v>0</v>
      </c>
      <c r="CE63" s="3">
        <f>AC63-BX63</f>
        <v>18760.73</v>
      </c>
      <c r="CF63" s="3">
        <f>AC63-BY63</f>
        <v>18760.73</v>
      </c>
      <c r="CG63" s="3">
        <f>BX63-BZ63</f>
        <v>0</v>
      </c>
      <c r="CH63" s="3">
        <f>AC63-BX63-BY63+BZ63</f>
        <v>18760.73</v>
      </c>
      <c r="CI63" s="3">
        <f>BY63-BZ63</f>
        <v>0</v>
      </c>
      <c r="CJ63" s="3">
        <f>ROUND(SUMIF(AA24:AA61,"=82813384",GX24:GX61),2)</f>
        <v>0</v>
      </c>
      <c r="CK63" s="3">
        <f>ROUND(SUMIF(AA24:AA61,"=82813384",GY24:GY61),2)</f>
        <v>0</v>
      </c>
      <c r="CL63" s="3">
        <f>ROUND(SUMIF(AA24:AA61,"=82813384",GZ24:GZ61),2)</f>
        <v>0</v>
      </c>
      <c r="CM63" s="3">
        <f>ROUND(SUMIF(AA24:AA61,"=82813384",HD24:HD61),2)</f>
        <v>0</v>
      </c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>
        <v>0</v>
      </c>
    </row>
    <row r="65" spans="1:28" x14ac:dyDescent="0.2">
      <c r="A65" s="5">
        <v>50</v>
      </c>
      <c r="B65" s="5">
        <v>0</v>
      </c>
      <c r="C65" s="5">
        <v>0</v>
      </c>
      <c r="D65" s="5">
        <v>1</v>
      </c>
      <c r="E65" s="5">
        <v>201</v>
      </c>
      <c r="F65" s="5">
        <f>ROUND(Source!O63,O65)</f>
        <v>62193.24</v>
      </c>
      <c r="G65" s="5" t="s">
        <v>154</v>
      </c>
      <c r="H65" s="5" t="s">
        <v>155</v>
      </c>
      <c r="I65" s="5"/>
      <c r="J65" s="5"/>
      <c r="K65" s="5">
        <v>201</v>
      </c>
      <c r="L65" s="5">
        <v>1</v>
      </c>
      <c r="M65" s="5">
        <v>3</v>
      </c>
      <c r="N65" s="5" t="s">
        <v>3</v>
      </c>
      <c r="O65" s="5">
        <v>2</v>
      </c>
      <c r="P65" s="5"/>
      <c r="Q65" s="5"/>
      <c r="R65" s="5"/>
      <c r="S65" s="5"/>
      <c r="T65" s="5"/>
      <c r="U65" s="5"/>
      <c r="V65" s="5"/>
      <c r="W65" s="5">
        <v>62193.24</v>
      </c>
      <c r="X65" s="5">
        <v>1</v>
      </c>
      <c r="Y65" s="5">
        <v>62193.24</v>
      </c>
      <c r="Z65" s="5"/>
      <c r="AA65" s="5"/>
      <c r="AB65" s="5"/>
    </row>
    <row r="66" spans="1:28" x14ac:dyDescent="0.2">
      <c r="A66" s="5">
        <v>50</v>
      </c>
      <c r="B66" s="5">
        <v>0</v>
      </c>
      <c r="C66" s="5">
        <v>0</v>
      </c>
      <c r="D66" s="5">
        <v>1</v>
      </c>
      <c r="E66" s="5">
        <v>202</v>
      </c>
      <c r="F66" s="5">
        <f>ROUND(Source!P63,O66)</f>
        <v>18760.73</v>
      </c>
      <c r="G66" s="5" t="s">
        <v>156</v>
      </c>
      <c r="H66" s="5" t="s">
        <v>157</v>
      </c>
      <c r="I66" s="5"/>
      <c r="J66" s="5"/>
      <c r="K66" s="5">
        <v>202</v>
      </c>
      <c r="L66" s="5">
        <v>2</v>
      </c>
      <c r="M66" s="5">
        <v>3</v>
      </c>
      <c r="N66" s="5" t="s">
        <v>3</v>
      </c>
      <c r="O66" s="5">
        <v>2</v>
      </c>
      <c r="P66" s="5"/>
      <c r="Q66" s="5"/>
      <c r="R66" s="5"/>
      <c r="S66" s="5"/>
      <c r="T66" s="5"/>
      <c r="U66" s="5"/>
      <c r="V66" s="5"/>
      <c r="W66" s="5">
        <v>18760.73</v>
      </c>
      <c r="X66" s="5">
        <v>1</v>
      </c>
      <c r="Y66" s="5">
        <v>18760.73</v>
      </c>
      <c r="Z66" s="5"/>
      <c r="AA66" s="5"/>
      <c r="AB66" s="5"/>
    </row>
    <row r="67" spans="1:28" x14ac:dyDescent="0.2">
      <c r="A67" s="5">
        <v>50</v>
      </c>
      <c r="B67" s="5">
        <v>0</v>
      </c>
      <c r="C67" s="5">
        <v>0</v>
      </c>
      <c r="D67" s="5">
        <v>1</v>
      </c>
      <c r="E67" s="5">
        <v>222</v>
      </c>
      <c r="F67" s="5">
        <f>ROUND(Source!AO63,O67)</f>
        <v>0</v>
      </c>
      <c r="G67" s="5" t="s">
        <v>158</v>
      </c>
      <c r="H67" s="5" t="s">
        <v>159</v>
      </c>
      <c r="I67" s="5"/>
      <c r="J67" s="5"/>
      <c r="K67" s="5">
        <v>222</v>
      </c>
      <c r="L67" s="5">
        <v>3</v>
      </c>
      <c r="M67" s="5">
        <v>3</v>
      </c>
      <c r="N67" s="5" t="s">
        <v>3</v>
      </c>
      <c r="O67" s="5">
        <v>2</v>
      </c>
      <c r="P67" s="5"/>
      <c r="Q67" s="5"/>
      <c r="R67" s="5"/>
      <c r="S67" s="5"/>
      <c r="T67" s="5"/>
      <c r="U67" s="5"/>
      <c r="V67" s="5"/>
      <c r="W67" s="5">
        <v>0</v>
      </c>
      <c r="X67" s="5">
        <v>1</v>
      </c>
      <c r="Y67" s="5">
        <v>0</v>
      </c>
      <c r="Z67" s="5"/>
      <c r="AA67" s="5"/>
      <c r="AB67" s="5"/>
    </row>
    <row r="68" spans="1:28" x14ac:dyDescent="0.2">
      <c r="A68" s="5">
        <v>50</v>
      </c>
      <c r="B68" s="5">
        <v>0</v>
      </c>
      <c r="C68" s="5">
        <v>0</v>
      </c>
      <c r="D68" s="5">
        <v>1</v>
      </c>
      <c r="E68" s="5">
        <v>225</v>
      </c>
      <c r="F68" s="5">
        <f>ROUND(Source!AV63,O68)</f>
        <v>18760.73</v>
      </c>
      <c r="G68" s="5" t="s">
        <v>160</v>
      </c>
      <c r="H68" s="5" t="s">
        <v>161</v>
      </c>
      <c r="I68" s="5"/>
      <c r="J68" s="5"/>
      <c r="K68" s="5">
        <v>225</v>
      </c>
      <c r="L68" s="5">
        <v>4</v>
      </c>
      <c r="M68" s="5">
        <v>3</v>
      </c>
      <c r="N68" s="5" t="s">
        <v>3</v>
      </c>
      <c r="O68" s="5">
        <v>2</v>
      </c>
      <c r="P68" s="5"/>
      <c r="Q68" s="5"/>
      <c r="R68" s="5"/>
      <c r="S68" s="5"/>
      <c r="T68" s="5"/>
      <c r="U68" s="5"/>
      <c r="V68" s="5"/>
      <c r="W68" s="5">
        <v>18760.73</v>
      </c>
      <c r="X68" s="5">
        <v>1</v>
      </c>
      <c r="Y68" s="5">
        <v>18760.73</v>
      </c>
      <c r="Z68" s="5"/>
      <c r="AA68" s="5"/>
      <c r="AB68" s="5"/>
    </row>
    <row r="69" spans="1:28" x14ac:dyDescent="0.2">
      <c r="A69" s="5">
        <v>50</v>
      </c>
      <c r="B69" s="5">
        <v>0</v>
      </c>
      <c r="C69" s="5">
        <v>0</v>
      </c>
      <c r="D69" s="5">
        <v>1</v>
      </c>
      <c r="E69" s="5">
        <v>226</v>
      </c>
      <c r="F69" s="5">
        <f>ROUND(Source!AW63,O69)</f>
        <v>18760.73</v>
      </c>
      <c r="G69" s="5" t="s">
        <v>162</v>
      </c>
      <c r="H69" s="5" t="s">
        <v>163</v>
      </c>
      <c r="I69" s="5"/>
      <c r="J69" s="5"/>
      <c r="K69" s="5">
        <v>226</v>
      </c>
      <c r="L69" s="5">
        <v>5</v>
      </c>
      <c r="M69" s="5">
        <v>3</v>
      </c>
      <c r="N69" s="5" t="s">
        <v>3</v>
      </c>
      <c r="O69" s="5">
        <v>2</v>
      </c>
      <c r="P69" s="5"/>
      <c r="Q69" s="5"/>
      <c r="R69" s="5"/>
      <c r="S69" s="5"/>
      <c r="T69" s="5"/>
      <c r="U69" s="5"/>
      <c r="V69" s="5"/>
      <c r="W69" s="5">
        <v>18760.73</v>
      </c>
      <c r="X69" s="5">
        <v>1</v>
      </c>
      <c r="Y69" s="5">
        <v>18760.73</v>
      </c>
      <c r="Z69" s="5"/>
      <c r="AA69" s="5"/>
      <c r="AB69" s="5"/>
    </row>
    <row r="70" spans="1:28" x14ac:dyDescent="0.2">
      <c r="A70" s="5">
        <v>50</v>
      </c>
      <c r="B70" s="5">
        <v>0</v>
      </c>
      <c r="C70" s="5">
        <v>0</v>
      </c>
      <c r="D70" s="5">
        <v>1</v>
      </c>
      <c r="E70" s="5">
        <v>227</v>
      </c>
      <c r="F70" s="5">
        <f>ROUND(Source!AX63,O70)</f>
        <v>0</v>
      </c>
      <c r="G70" s="5" t="s">
        <v>164</v>
      </c>
      <c r="H70" s="5" t="s">
        <v>165</v>
      </c>
      <c r="I70" s="5"/>
      <c r="J70" s="5"/>
      <c r="K70" s="5">
        <v>227</v>
      </c>
      <c r="L70" s="5">
        <v>6</v>
      </c>
      <c r="M70" s="5">
        <v>3</v>
      </c>
      <c r="N70" s="5" t="s">
        <v>3</v>
      </c>
      <c r="O70" s="5">
        <v>2</v>
      </c>
      <c r="P70" s="5"/>
      <c r="Q70" s="5"/>
      <c r="R70" s="5"/>
      <c r="S70" s="5"/>
      <c r="T70" s="5"/>
      <c r="U70" s="5"/>
      <c r="V70" s="5"/>
      <c r="W70" s="5">
        <v>0</v>
      </c>
      <c r="X70" s="5">
        <v>1</v>
      </c>
      <c r="Y70" s="5">
        <v>0</v>
      </c>
      <c r="Z70" s="5"/>
      <c r="AA70" s="5"/>
      <c r="AB70" s="5"/>
    </row>
    <row r="71" spans="1:28" x14ac:dyDescent="0.2">
      <c r="A71" s="5">
        <v>50</v>
      </c>
      <c r="B71" s="5">
        <v>0</v>
      </c>
      <c r="C71" s="5">
        <v>0</v>
      </c>
      <c r="D71" s="5">
        <v>1</v>
      </c>
      <c r="E71" s="5">
        <v>228</v>
      </c>
      <c r="F71" s="5">
        <f>ROUND(Source!AY63,O71)</f>
        <v>18760.73</v>
      </c>
      <c r="G71" s="5" t="s">
        <v>166</v>
      </c>
      <c r="H71" s="5" t="s">
        <v>167</v>
      </c>
      <c r="I71" s="5"/>
      <c r="J71" s="5"/>
      <c r="K71" s="5">
        <v>228</v>
      </c>
      <c r="L71" s="5">
        <v>7</v>
      </c>
      <c r="M71" s="5">
        <v>3</v>
      </c>
      <c r="N71" s="5" t="s">
        <v>3</v>
      </c>
      <c r="O71" s="5">
        <v>2</v>
      </c>
      <c r="P71" s="5"/>
      <c r="Q71" s="5"/>
      <c r="R71" s="5"/>
      <c r="S71" s="5"/>
      <c r="T71" s="5"/>
      <c r="U71" s="5"/>
      <c r="V71" s="5"/>
      <c r="W71" s="5">
        <v>18760.73</v>
      </c>
      <c r="X71" s="5">
        <v>1</v>
      </c>
      <c r="Y71" s="5">
        <v>18760.73</v>
      </c>
      <c r="Z71" s="5"/>
      <c r="AA71" s="5"/>
      <c r="AB71" s="5"/>
    </row>
    <row r="72" spans="1:28" x14ac:dyDescent="0.2">
      <c r="A72" s="5">
        <v>50</v>
      </c>
      <c r="B72" s="5">
        <v>0</v>
      </c>
      <c r="C72" s="5">
        <v>0</v>
      </c>
      <c r="D72" s="5">
        <v>1</v>
      </c>
      <c r="E72" s="5">
        <v>216</v>
      </c>
      <c r="F72" s="5">
        <f>ROUND(Source!AP63,O72)</f>
        <v>0</v>
      </c>
      <c r="G72" s="5" t="s">
        <v>168</v>
      </c>
      <c r="H72" s="5" t="s">
        <v>169</v>
      </c>
      <c r="I72" s="5"/>
      <c r="J72" s="5"/>
      <c r="K72" s="5">
        <v>216</v>
      </c>
      <c r="L72" s="5">
        <v>8</v>
      </c>
      <c r="M72" s="5">
        <v>3</v>
      </c>
      <c r="N72" s="5" t="s">
        <v>3</v>
      </c>
      <c r="O72" s="5">
        <v>2</v>
      </c>
      <c r="P72" s="5"/>
      <c r="Q72" s="5"/>
      <c r="R72" s="5"/>
      <c r="S72" s="5"/>
      <c r="T72" s="5"/>
      <c r="U72" s="5"/>
      <c r="V72" s="5"/>
      <c r="W72" s="5">
        <v>0</v>
      </c>
      <c r="X72" s="5">
        <v>1</v>
      </c>
      <c r="Y72" s="5">
        <v>0</v>
      </c>
      <c r="Z72" s="5"/>
      <c r="AA72" s="5"/>
      <c r="AB72" s="5"/>
    </row>
    <row r="73" spans="1:28" x14ac:dyDescent="0.2">
      <c r="A73" s="5">
        <v>50</v>
      </c>
      <c r="B73" s="5">
        <v>0</v>
      </c>
      <c r="C73" s="5">
        <v>0</v>
      </c>
      <c r="D73" s="5">
        <v>1</v>
      </c>
      <c r="E73" s="5">
        <v>223</v>
      </c>
      <c r="F73" s="5">
        <f>ROUND(Source!AQ63,O73)</f>
        <v>0</v>
      </c>
      <c r="G73" s="5" t="s">
        <v>170</v>
      </c>
      <c r="H73" s="5" t="s">
        <v>171</v>
      </c>
      <c r="I73" s="5"/>
      <c r="J73" s="5"/>
      <c r="K73" s="5">
        <v>223</v>
      </c>
      <c r="L73" s="5">
        <v>9</v>
      </c>
      <c r="M73" s="5">
        <v>3</v>
      </c>
      <c r="N73" s="5" t="s">
        <v>3</v>
      </c>
      <c r="O73" s="5">
        <v>2</v>
      </c>
      <c r="P73" s="5"/>
      <c r="Q73" s="5"/>
      <c r="R73" s="5"/>
      <c r="S73" s="5"/>
      <c r="T73" s="5"/>
      <c r="U73" s="5"/>
      <c r="V73" s="5"/>
      <c r="W73" s="5">
        <v>0</v>
      </c>
      <c r="X73" s="5">
        <v>1</v>
      </c>
      <c r="Y73" s="5">
        <v>0</v>
      </c>
      <c r="Z73" s="5"/>
      <c r="AA73" s="5"/>
      <c r="AB73" s="5"/>
    </row>
    <row r="74" spans="1:28" x14ac:dyDescent="0.2">
      <c r="A74" s="5">
        <v>50</v>
      </c>
      <c r="B74" s="5">
        <v>0</v>
      </c>
      <c r="C74" s="5">
        <v>0</v>
      </c>
      <c r="D74" s="5">
        <v>1</v>
      </c>
      <c r="E74" s="5">
        <v>229</v>
      </c>
      <c r="F74" s="5">
        <f>ROUND(Source!AZ63,O74)</f>
        <v>0</v>
      </c>
      <c r="G74" s="5" t="s">
        <v>172</v>
      </c>
      <c r="H74" s="5" t="s">
        <v>173</v>
      </c>
      <c r="I74" s="5"/>
      <c r="J74" s="5"/>
      <c r="K74" s="5">
        <v>229</v>
      </c>
      <c r="L74" s="5">
        <v>10</v>
      </c>
      <c r="M74" s="5">
        <v>3</v>
      </c>
      <c r="N74" s="5" t="s">
        <v>3</v>
      </c>
      <c r="O74" s="5">
        <v>2</v>
      </c>
      <c r="P74" s="5"/>
      <c r="Q74" s="5"/>
      <c r="R74" s="5"/>
      <c r="S74" s="5"/>
      <c r="T74" s="5"/>
      <c r="U74" s="5"/>
      <c r="V74" s="5"/>
      <c r="W74" s="5">
        <v>0</v>
      </c>
      <c r="X74" s="5">
        <v>1</v>
      </c>
      <c r="Y74" s="5">
        <v>0</v>
      </c>
      <c r="Z74" s="5"/>
      <c r="AA74" s="5"/>
      <c r="AB74" s="5"/>
    </row>
    <row r="75" spans="1:28" x14ac:dyDescent="0.2">
      <c r="A75" s="5">
        <v>50</v>
      </c>
      <c r="B75" s="5">
        <v>0</v>
      </c>
      <c r="C75" s="5">
        <v>0</v>
      </c>
      <c r="D75" s="5">
        <v>1</v>
      </c>
      <c r="E75" s="5">
        <v>203</v>
      </c>
      <c r="F75" s="5">
        <f>ROUND(Source!Q63,O75)</f>
        <v>864.65</v>
      </c>
      <c r="G75" s="5" t="s">
        <v>174</v>
      </c>
      <c r="H75" s="5" t="s">
        <v>175</v>
      </c>
      <c r="I75" s="5"/>
      <c r="J75" s="5"/>
      <c r="K75" s="5">
        <v>203</v>
      </c>
      <c r="L75" s="5">
        <v>11</v>
      </c>
      <c r="M75" s="5">
        <v>3</v>
      </c>
      <c r="N75" s="5" t="s">
        <v>3</v>
      </c>
      <c r="O75" s="5">
        <v>2</v>
      </c>
      <c r="P75" s="5"/>
      <c r="Q75" s="5"/>
      <c r="R75" s="5"/>
      <c r="S75" s="5"/>
      <c r="T75" s="5"/>
      <c r="U75" s="5"/>
      <c r="V75" s="5"/>
      <c r="W75" s="5">
        <v>864.65</v>
      </c>
      <c r="X75" s="5">
        <v>1</v>
      </c>
      <c r="Y75" s="5">
        <v>864.65</v>
      </c>
      <c r="Z75" s="5"/>
      <c r="AA75" s="5"/>
      <c r="AB75" s="5"/>
    </row>
    <row r="76" spans="1:28" x14ac:dyDescent="0.2">
      <c r="A76" s="5">
        <v>50</v>
      </c>
      <c r="B76" s="5">
        <v>0</v>
      </c>
      <c r="C76" s="5">
        <v>0</v>
      </c>
      <c r="D76" s="5">
        <v>1</v>
      </c>
      <c r="E76" s="5">
        <v>231</v>
      </c>
      <c r="F76" s="5">
        <f>ROUND(Source!BB63,O76)</f>
        <v>0</v>
      </c>
      <c r="G76" s="5" t="s">
        <v>176</v>
      </c>
      <c r="H76" s="5" t="s">
        <v>177</v>
      </c>
      <c r="I76" s="5"/>
      <c r="J76" s="5"/>
      <c r="K76" s="5">
        <v>231</v>
      </c>
      <c r="L76" s="5">
        <v>12</v>
      </c>
      <c r="M76" s="5">
        <v>3</v>
      </c>
      <c r="N76" s="5" t="s">
        <v>3</v>
      </c>
      <c r="O76" s="5">
        <v>2</v>
      </c>
      <c r="P76" s="5"/>
      <c r="Q76" s="5"/>
      <c r="R76" s="5"/>
      <c r="S76" s="5"/>
      <c r="T76" s="5"/>
      <c r="U76" s="5"/>
      <c r="V76" s="5"/>
      <c r="W76" s="5">
        <v>0</v>
      </c>
      <c r="X76" s="5">
        <v>1</v>
      </c>
      <c r="Y76" s="5">
        <v>0</v>
      </c>
      <c r="Z76" s="5"/>
      <c r="AA76" s="5"/>
      <c r="AB76" s="5"/>
    </row>
    <row r="77" spans="1:28" x14ac:dyDescent="0.2">
      <c r="A77" s="5">
        <v>50</v>
      </c>
      <c r="B77" s="5">
        <v>0</v>
      </c>
      <c r="C77" s="5">
        <v>0</v>
      </c>
      <c r="D77" s="5">
        <v>1</v>
      </c>
      <c r="E77" s="5">
        <v>204</v>
      </c>
      <c r="F77" s="5">
        <f>ROUND(Source!R63,O77)</f>
        <v>778.03</v>
      </c>
      <c r="G77" s="5" t="s">
        <v>178</v>
      </c>
      <c r="H77" s="5" t="s">
        <v>179</v>
      </c>
      <c r="I77" s="5"/>
      <c r="J77" s="5"/>
      <c r="K77" s="5">
        <v>204</v>
      </c>
      <c r="L77" s="5">
        <v>13</v>
      </c>
      <c r="M77" s="5">
        <v>3</v>
      </c>
      <c r="N77" s="5" t="s">
        <v>3</v>
      </c>
      <c r="O77" s="5">
        <v>2</v>
      </c>
      <c r="P77" s="5"/>
      <c r="Q77" s="5"/>
      <c r="R77" s="5"/>
      <c r="S77" s="5"/>
      <c r="T77" s="5"/>
      <c r="U77" s="5"/>
      <c r="V77" s="5"/>
      <c r="W77" s="5">
        <v>778.03</v>
      </c>
      <c r="X77" s="5">
        <v>1</v>
      </c>
      <c r="Y77" s="5">
        <v>778.03</v>
      </c>
      <c r="Z77" s="5"/>
      <c r="AA77" s="5"/>
      <c r="AB77" s="5"/>
    </row>
    <row r="78" spans="1:28" x14ac:dyDescent="0.2">
      <c r="A78" s="5">
        <v>50</v>
      </c>
      <c r="B78" s="5">
        <v>0</v>
      </c>
      <c r="C78" s="5">
        <v>0</v>
      </c>
      <c r="D78" s="5">
        <v>1</v>
      </c>
      <c r="E78" s="5">
        <v>205</v>
      </c>
      <c r="F78" s="5">
        <f>ROUND(Source!S63,O78)</f>
        <v>41789.83</v>
      </c>
      <c r="G78" s="5" t="s">
        <v>180</v>
      </c>
      <c r="H78" s="5" t="s">
        <v>181</v>
      </c>
      <c r="I78" s="5"/>
      <c r="J78" s="5"/>
      <c r="K78" s="5">
        <v>205</v>
      </c>
      <c r="L78" s="5">
        <v>14</v>
      </c>
      <c r="M78" s="5">
        <v>3</v>
      </c>
      <c r="N78" s="5" t="s">
        <v>3</v>
      </c>
      <c r="O78" s="5">
        <v>2</v>
      </c>
      <c r="P78" s="5"/>
      <c r="Q78" s="5"/>
      <c r="R78" s="5"/>
      <c r="S78" s="5"/>
      <c r="T78" s="5"/>
      <c r="U78" s="5"/>
      <c r="V78" s="5"/>
      <c r="W78" s="5">
        <v>41789.83</v>
      </c>
      <c r="X78" s="5">
        <v>1</v>
      </c>
      <c r="Y78" s="5">
        <v>41789.83</v>
      </c>
      <c r="Z78" s="5"/>
      <c r="AA78" s="5"/>
      <c r="AB78" s="5"/>
    </row>
    <row r="79" spans="1:28" x14ac:dyDescent="0.2">
      <c r="A79" s="5">
        <v>50</v>
      </c>
      <c r="B79" s="5">
        <v>0</v>
      </c>
      <c r="C79" s="5">
        <v>0</v>
      </c>
      <c r="D79" s="5">
        <v>1</v>
      </c>
      <c r="E79" s="5">
        <v>232</v>
      </c>
      <c r="F79" s="5">
        <f>ROUND(Source!BC63,O79)</f>
        <v>0</v>
      </c>
      <c r="G79" s="5" t="s">
        <v>182</v>
      </c>
      <c r="H79" s="5" t="s">
        <v>183</v>
      </c>
      <c r="I79" s="5"/>
      <c r="J79" s="5"/>
      <c r="K79" s="5">
        <v>232</v>
      </c>
      <c r="L79" s="5">
        <v>15</v>
      </c>
      <c r="M79" s="5">
        <v>3</v>
      </c>
      <c r="N79" s="5" t="s">
        <v>3</v>
      </c>
      <c r="O79" s="5">
        <v>2</v>
      </c>
      <c r="P79" s="5"/>
      <c r="Q79" s="5"/>
      <c r="R79" s="5"/>
      <c r="S79" s="5"/>
      <c r="T79" s="5"/>
      <c r="U79" s="5"/>
      <c r="V79" s="5"/>
      <c r="W79" s="5">
        <v>0</v>
      </c>
      <c r="X79" s="5">
        <v>1</v>
      </c>
      <c r="Y79" s="5">
        <v>0</v>
      </c>
      <c r="Z79" s="5"/>
      <c r="AA79" s="5"/>
      <c r="AB79" s="5"/>
    </row>
    <row r="80" spans="1:28" x14ac:dyDescent="0.2">
      <c r="A80" s="5">
        <v>50</v>
      </c>
      <c r="B80" s="5">
        <v>0</v>
      </c>
      <c r="C80" s="5">
        <v>0</v>
      </c>
      <c r="D80" s="5">
        <v>1</v>
      </c>
      <c r="E80" s="5">
        <v>214</v>
      </c>
      <c r="F80" s="5">
        <f>ROUND(Source!AS63,O80)</f>
        <v>128520.56</v>
      </c>
      <c r="G80" s="5" t="s">
        <v>184</v>
      </c>
      <c r="H80" s="5" t="s">
        <v>185</v>
      </c>
      <c r="I80" s="5"/>
      <c r="J80" s="5"/>
      <c r="K80" s="5">
        <v>214</v>
      </c>
      <c r="L80" s="5">
        <v>16</v>
      </c>
      <c r="M80" s="5">
        <v>3</v>
      </c>
      <c r="N80" s="5" t="s">
        <v>3</v>
      </c>
      <c r="O80" s="5">
        <v>2</v>
      </c>
      <c r="P80" s="5"/>
      <c r="Q80" s="5"/>
      <c r="R80" s="5"/>
      <c r="S80" s="5"/>
      <c r="T80" s="5"/>
      <c r="U80" s="5"/>
      <c r="V80" s="5"/>
      <c r="W80" s="5">
        <v>128520.56</v>
      </c>
      <c r="X80" s="5">
        <v>1</v>
      </c>
      <c r="Y80" s="5">
        <v>128520.56</v>
      </c>
      <c r="Z80" s="5"/>
      <c r="AA80" s="5"/>
      <c r="AB80" s="5"/>
    </row>
    <row r="81" spans="1:206" x14ac:dyDescent="0.2">
      <c r="A81" s="5">
        <v>50</v>
      </c>
      <c r="B81" s="5">
        <v>0</v>
      </c>
      <c r="C81" s="5">
        <v>0</v>
      </c>
      <c r="D81" s="5">
        <v>1</v>
      </c>
      <c r="E81" s="5">
        <v>215</v>
      </c>
      <c r="F81" s="5">
        <f>ROUND(Source!AT63,O81)</f>
        <v>0</v>
      </c>
      <c r="G81" s="5" t="s">
        <v>186</v>
      </c>
      <c r="H81" s="5" t="s">
        <v>187</v>
      </c>
      <c r="I81" s="5"/>
      <c r="J81" s="5"/>
      <c r="K81" s="5">
        <v>215</v>
      </c>
      <c r="L81" s="5">
        <v>17</v>
      </c>
      <c r="M81" s="5">
        <v>3</v>
      </c>
      <c r="N81" s="5" t="s">
        <v>3</v>
      </c>
      <c r="O81" s="5">
        <v>2</v>
      </c>
      <c r="P81" s="5"/>
      <c r="Q81" s="5"/>
      <c r="R81" s="5"/>
      <c r="S81" s="5"/>
      <c r="T81" s="5"/>
      <c r="U81" s="5"/>
      <c r="V81" s="5"/>
      <c r="W81" s="5">
        <v>0</v>
      </c>
      <c r="X81" s="5">
        <v>1</v>
      </c>
      <c r="Y81" s="5">
        <v>0</v>
      </c>
      <c r="Z81" s="5"/>
      <c r="AA81" s="5"/>
      <c r="AB81" s="5"/>
    </row>
    <row r="82" spans="1:206" x14ac:dyDescent="0.2">
      <c r="A82" s="5">
        <v>50</v>
      </c>
      <c r="B82" s="5">
        <v>0</v>
      </c>
      <c r="C82" s="5">
        <v>0</v>
      </c>
      <c r="D82" s="5">
        <v>1</v>
      </c>
      <c r="E82" s="5">
        <v>217</v>
      </c>
      <c r="F82" s="5">
        <f>ROUND(Source!AU63,O82)</f>
        <v>0</v>
      </c>
      <c r="G82" s="5" t="s">
        <v>188</v>
      </c>
      <c r="H82" s="5" t="s">
        <v>189</v>
      </c>
      <c r="I82" s="5"/>
      <c r="J82" s="5"/>
      <c r="K82" s="5">
        <v>217</v>
      </c>
      <c r="L82" s="5">
        <v>18</v>
      </c>
      <c r="M82" s="5">
        <v>3</v>
      </c>
      <c r="N82" s="5" t="s">
        <v>3</v>
      </c>
      <c r="O82" s="5">
        <v>2</v>
      </c>
      <c r="P82" s="5"/>
      <c r="Q82" s="5"/>
      <c r="R82" s="5"/>
      <c r="S82" s="5"/>
      <c r="T82" s="5"/>
      <c r="U82" s="5"/>
      <c r="V82" s="5"/>
      <c r="W82" s="5">
        <v>0</v>
      </c>
      <c r="X82" s="5">
        <v>1</v>
      </c>
      <c r="Y82" s="5">
        <v>0</v>
      </c>
      <c r="Z82" s="5"/>
      <c r="AA82" s="5"/>
      <c r="AB82" s="5"/>
    </row>
    <row r="83" spans="1:206" x14ac:dyDescent="0.2">
      <c r="A83" s="5">
        <v>50</v>
      </c>
      <c r="B83" s="5">
        <v>0</v>
      </c>
      <c r="C83" s="5">
        <v>0</v>
      </c>
      <c r="D83" s="5">
        <v>1</v>
      </c>
      <c r="E83" s="5">
        <v>230</v>
      </c>
      <c r="F83" s="5">
        <f>ROUND(Source!BA63,O83)</f>
        <v>0</v>
      </c>
      <c r="G83" s="5" t="s">
        <v>190</v>
      </c>
      <c r="H83" s="5" t="s">
        <v>191</v>
      </c>
      <c r="I83" s="5"/>
      <c r="J83" s="5"/>
      <c r="K83" s="5">
        <v>230</v>
      </c>
      <c r="L83" s="5">
        <v>19</v>
      </c>
      <c r="M83" s="5">
        <v>3</v>
      </c>
      <c r="N83" s="5" t="s">
        <v>3</v>
      </c>
      <c r="O83" s="5">
        <v>2</v>
      </c>
      <c r="P83" s="5"/>
      <c r="Q83" s="5"/>
      <c r="R83" s="5"/>
      <c r="S83" s="5"/>
      <c r="T83" s="5"/>
      <c r="U83" s="5"/>
      <c r="V83" s="5"/>
      <c r="W83" s="5">
        <v>0</v>
      </c>
      <c r="X83" s="5">
        <v>1</v>
      </c>
      <c r="Y83" s="5">
        <v>0</v>
      </c>
      <c r="Z83" s="5"/>
      <c r="AA83" s="5"/>
      <c r="AB83" s="5"/>
    </row>
    <row r="84" spans="1:206" x14ac:dyDescent="0.2">
      <c r="A84" s="5">
        <v>50</v>
      </c>
      <c r="B84" s="5">
        <v>0</v>
      </c>
      <c r="C84" s="5">
        <v>0</v>
      </c>
      <c r="D84" s="5">
        <v>1</v>
      </c>
      <c r="E84" s="5">
        <v>206</v>
      </c>
      <c r="F84" s="5">
        <f>ROUND(Source!T63,O84)</f>
        <v>0</v>
      </c>
      <c r="G84" s="5" t="s">
        <v>192</v>
      </c>
      <c r="H84" s="5" t="s">
        <v>193</v>
      </c>
      <c r="I84" s="5"/>
      <c r="J84" s="5"/>
      <c r="K84" s="5">
        <v>206</v>
      </c>
      <c r="L84" s="5">
        <v>20</v>
      </c>
      <c r="M84" s="5">
        <v>3</v>
      </c>
      <c r="N84" s="5" t="s">
        <v>3</v>
      </c>
      <c r="O84" s="5">
        <v>2</v>
      </c>
      <c r="P84" s="5"/>
      <c r="Q84" s="5"/>
      <c r="R84" s="5"/>
      <c r="S84" s="5"/>
      <c r="T84" s="5"/>
      <c r="U84" s="5"/>
      <c r="V84" s="5"/>
      <c r="W84" s="5">
        <v>0</v>
      </c>
      <c r="X84" s="5">
        <v>1</v>
      </c>
      <c r="Y84" s="5">
        <v>0</v>
      </c>
      <c r="Z84" s="5"/>
      <c r="AA84" s="5"/>
      <c r="AB84" s="5"/>
    </row>
    <row r="85" spans="1:206" x14ac:dyDescent="0.2">
      <c r="A85" s="5">
        <v>50</v>
      </c>
      <c r="B85" s="5">
        <v>0</v>
      </c>
      <c r="C85" s="5">
        <v>0</v>
      </c>
      <c r="D85" s="5">
        <v>1</v>
      </c>
      <c r="E85" s="5">
        <v>207</v>
      </c>
      <c r="F85" s="5">
        <f>ROUND(Source!U63,O85)</f>
        <v>56.871787500000003</v>
      </c>
      <c r="G85" s="5" t="s">
        <v>194</v>
      </c>
      <c r="H85" s="5" t="s">
        <v>195</v>
      </c>
      <c r="I85" s="5"/>
      <c r="J85" s="5"/>
      <c r="K85" s="5">
        <v>207</v>
      </c>
      <c r="L85" s="5">
        <v>21</v>
      </c>
      <c r="M85" s="5">
        <v>3</v>
      </c>
      <c r="N85" s="5" t="s">
        <v>3</v>
      </c>
      <c r="O85" s="5">
        <v>7</v>
      </c>
      <c r="P85" s="5"/>
      <c r="Q85" s="5"/>
      <c r="R85" s="5"/>
      <c r="S85" s="5"/>
      <c r="T85" s="5"/>
      <c r="U85" s="5"/>
      <c r="V85" s="5"/>
      <c r="W85" s="5">
        <v>56.871787500000003</v>
      </c>
      <c r="X85" s="5">
        <v>1</v>
      </c>
      <c r="Y85" s="5">
        <v>56.871787500000003</v>
      </c>
      <c r="Z85" s="5"/>
      <c r="AA85" s="5"/>
      <c r="AB85" s="5"/>
    </row>
    <row r="86" spans="1:206" x14ac:dyDescent="0.2">
      <c r="A86" s="5">
        <v>50</v>
      </c>
      <c r="B86" s="5">
        <v>0</v>
      </c>
      <c r="C86" s="5">
        <v>0</v>
      </c>
      <c r="D86" s="5">
        <v>1</v>
      </c>
      <c r="E86" s="5">
        <v>208</v>
      </c>
      <c r="F86" s="5">
        <f>ROUND(Source!V63,O86)</f>
        <v>1.0361251</v>
      </c>
      <c r="G86" s="5" t="s">
        <v>196</v>
      </c>
      <c r="H86" s="5" t="s">
        <v>197</v>
      </c>
      <c r="I86" s="5"/>
      <c r="J86" s="5"/>
      <c r="K86" s="5">
        <v>208</v>
      </c>
      <c r="L86" s="5">
        <v>22</v>
      </c>
      <c r="M86" s="5">
        <v>3</v>
      </c>
      <c r="N86" s="5" t="s">
        <v>3</v>
      </c>
      <c r="O86" s="5">
        <v>7</v>
      </c>
      <c r="P86" s="5"/>
      <c r="Q86" s="5"/>
      <c r="R86" s="5"/>
      <c r="S86" s="5"/>
      <c r="T86" s="5"/>
      <c r="U86" s="5"/>
      <c r="V86" s="5"/>
      <c r="W86" s="5">
        <v>1.0361251</v>
      </c>
      <c r="X86" s="5">
        <v>1</v>
      </c>
      <c r="Y86" s="5">
        <v>1.0361251</v>
      </c>
      <c r="Z86" s="5"/>
      <c r="AA86" s="5"/>
      <c r="AB86" s="5"/>
    </row>
    <row r="87" spans="1:206" x14ac:dyDescent="0.2">
      <c r="A87" s="5">
        <v>50</v>
      </c>
      <c r="B87" s="5">
        <v>0</v>
      </c>
      <c r="C87" s="5">
        <v>0</v>
      </c>
      <c r="D87" s="5">
        <v>1</v>
      </c>
      <c r="E87" s="5">
        <v>209</v>
      </c>
      <c r="F87" s="5">
        <f>ROUND(Source!W63,O87)</f>
        <v>0</v>
      </c>
      <c r="G87" s="5" t="s">
        <v>198</v>
      </c>
      <c r="H87" s="5" t="s">
        <v>199</v>
      </c>
      <c r="I87" s="5"/>
      <c r="J87" s="5"/>
      <c r="K87" s="5">
        <v>209</v>
      </c>
      <c r="L87" s="5">
        <v>23</v>
      </c>
      <c r="M87" s="5">
        <v>3</v>
      </c>
      <c r="N87" s="5" t="s">
        <v>3</v>
      </c>
      <c r="O87" s="5">
        <v>2</v>
      </c>
      <c r="P87" s="5"/>
      <c r="Q87" s="5"/>
      <c r="R87" s="5"/>
      <c r="S87" s="5"/>
      <c r="T87" s="5"/>
      <c r="U87" s="5"/>
      <c r="V87" s="5"/>
      <c r="W87" s="5">
        <v>0</v>
      </c>
      <c r="X87" s="5">
        <v>1</v>
      </c>
      <c r="Y87" s="5">
        <v>0</v>
      </c>
      <c r="Z87" s="5"/>
      <c r="AA87" s="5"/>
      <c r="AB87" s="5"/>
    </row>
    <row r="88" spans="1:206" x14ac:dyDescent="0.2">
      <c r="A88" s="5">
        <v>50</v>
      </c>
      <c r="B88" s="5">
        <v>0</v>
      </c>
      <c r="C88" s="5">
        <v>0</v>
      </c>
      <c r="D88" s="5">
        <v>1</v>
      </c>
      <c r="E88" s="5">
        <v>233</v>
      </c>
      <c r="F88" s="5">
        <f>ROUND(Source!BD63,O88)</f>
        <v>0</v>
      </c>
      <c r="G88" s="5" t="s">
        <v>200</v>
      </c>
      <c r="H88" s="5" t="s">
        <v>201</v>
      </c>
      <c r="I88" s="5"/>
      <c r="J88" s="5"/>
      <c r="K88" s="5">
        <v>233</v>
      </c>
      <c r="L88" s="5">
        <v>24</v>
      </c>
      <c r="M88" s="5">
        <v>3</v>
      </c>
      <c r="N88" s="5" t="s">
        <v>3</v>
      </c>
      <c r="O88" s="5">
        <v>2</v>
      </c>
      <c r="P88" s="5"/>
      <c r="Q88" s="5"/>
      <c r="R88" s="5"/>
      <c r="S88" s="5"/>
      <c r="T88" s="5"/>
      <c r="U88" s="5"/>
      <c r="V88" s="5"/>
      <c r="W88" s="5">
        <v>0</v>
      </c>
      <c r="X88" s="5">
        <v>1</v>
      </c>
      <c r="Y88" s="5">
        <v>0</v>
      </c>
      <c r="Z88" s="5"/>
      <c r="AA88" s="5"/>
      <c r="AB88" s="5"/>
    </row>
    <row r="89" spans="1:206" x14ac:dyDescent="0.2">
      <c r="A89" s="5">
        <v>50</v>
      </c>
      <c r="B89" s="5">
        <v>0</v>
      </c>
      <c r="C89" s="5">
        <v>0</v>
      </c>
      <c r="D89" s="5">
        <v>1</v>
      </c>
      <c r="E89" s="5">
        <v>210</v>
      </c>
      <c r="F89" s="5">
        <f>ROUND(Source!X63,O89)</f>
        <v>43036.99</v>
      </c>
      <c r="G89" s="5" t="s">
        <v>202</v>
      </c>
      <c r="H89" s="5" t="s">
        <v>203</v>
      </c>
      <c r="I89" s="5"/>
      <c r="J89" s="5"/>
      <c r="K89" s="5">
        <v>210</v>
      </c>
      <c r="L89" s="5">
        <v>25</v>
      </c>
      <c r="M89" s="5">
        <v>3</v>
      </c>
      <c r="N89" s="5" t="s">
        <v>3</v>
      </c>
      <c r="O89" s="5">
        <v>2</v>
      </c>
      <c r="P89" s="5"/>
      <c r="Q89" s="5"/>
      <c r="R89" s="5"/>
      <c r="S89" s="5"/>
      <c r="T89" s="5"/>
      <c r="U89" s="5"/>
      <c r="V89" s="5"/>
      <c r="W89" s="5">
        <v>43036.99</v>
      </c>
      <c r="X89" s="5">
        <v>1</v>
      </c>
      <c r="Y89" s="5">
        <v>43036.99</v>
      </c>
      <c r="Z89" s="5"/>
      <c r="AA89" s="5"/>
      <c r="AB89" s="5"/>
    </row>
    <row r="90" spans="1:206" x14ac:dyDescent="0.2">
      <c r="A90" s="5">
        <v>50</v>
      </c>
      <c r="B90" s="5">
        <v>0</v>
      </c>
      <c r="C90" s="5">
        <v>0</v>
      </c>
      <c r="D90" s="5">
        <v>1</v>
      </c>
      <c r="E90" s="5">
        <v>211</v>
      </c>
      <c r="F90" s="5">
        <f>ROUND(Source!Y63,O90)</f>
        <v>23290.33</v>
      </c>
      <c r="G90" s="5" t="s">
        <v>204</v>
      </c>
      <c r="H90" s="5" t="s">
        <v>205</v>
      </c>
      <c r="I90" s="5"/>
      <c r="J90" s="5"/>
      <c r="K90" s="5">
        <v>211</v>
      </c>
      <c r="L90" s="5">
        <v>26</v>
      </c>
      <c r="M90" s="5">
        <v>3</v>
      </c>
      <c r="N90" s="5" t="s">
        <v>3</v>
      </c>
      <c r="O90" s="5">
        <v>2</v>
      </c>
      <c r="P90" s="5"/>
      <c r="Q90" s="5"/>
      <c r="R90" s="5"/>
      <c r="S90" s="5"/>
      <c r="T90" s="5"/>
      <c r="U90" s="5"/>
      <c r="V90" s="5"/>
      <c r="W90" s="5">
        <v>23290.33</v>
      </c>
      <c r="X90" s="5">
        <v>1</v>
      </c>
      <c r="Y90" s="5">
        <v>23290.33</v>
      </c>
      <c r="Z90" s="5"/>
      <c r="AA90" s="5"/>
      <c r="AB90" s="5"/>
    </row>
    <row r="91" spans="1:206" x14ac:dyDescent="0.2">
      <c r="A91" s="5">
        <v>50</v>
      </c>
      <c r="B91" s="5">
        <v>0</v>
      </c>
      <c r="C91" s="5">
        <v>0</v>
      </c>
      <c r="D91" s="5">
        <v>1</v>
      </c>
      <c r="E91" s="5">
        <v>0</v>
      </c>
      <c r="F91" s="5">
        <f>ROUND(Source!AR63,O91)</f>
        <v>128520.56</v>
      </c>
      <c r="G91" s="5" t="s">
        <v>206</v>
      </c>
      <c r="H91" s="5" t="s">
        <v>207</v>
      </c>
      <c r="I91" s="5"/>
      <c r="J91" s="5"/>
      <c r="K91" s="5">
        <v>224</v>
      </c>
      <c r="L91" s="5">
        <v>27</v>
      </c>
      <c r="M91" s="5">
        <v>3</v>
      </c>
      <c r="N91" s="5" t="s">
        <v>3</v>
      </c>
      <c r="O91" s="5">
        <v>2</v>
      </c>
      <c r="P91" s="5"/>
      <c r="Q91" s="5"/>
      <c r="R91" s="5"/>
      <c r="S91" s="5"/>
      <c r="T91" s="5"/>
      <c r="U91" s="5"/>
      <c r="V91" s="5"/>
      <c r="W91" s="5">
        <v>128520.56</v>
      </c>
      <c r="X91" s="5">
        <v>1</v>
      </c>
      <c r="Y91" s="5">
        <v>128520.56</v>
      </c>
      <c r="Z91" s="5"/>
      <c r="AA91" s="5"/>
      <c r="AB91" s="5"/>
    </row>
    <row r="92" spans="1:206" x14ac:dyDescent="0.2">
      <c r="A92" s="5">
        <v>50</v>
      </c>
      <c r="B92" s="5">
        <v>1</v>
      </c>
      <c r="C92" s="5">
        <v>0</v>
      </c>
      <c r="D92" s="5">
        <v>2</v>
      </c>
      <c r="E92" s="5">
        <v>0</v>
      </c>
      <c r="F92" s="5">
        <f>ROUND(F91,O92)</f>
        <v>128520.56</v>
      </c>
      <c r="G92" s="5" t="s">
        <v>14</v>
      </c>
      <c r="H92" s="5" t="s">
        <v>206</v>
      </c>
      <c r="I92" s="5"/>
      <c r="J92" s="5"/>
      <c r="K92" s="5">
        <v>212</v>
      </c>
      <c r="L92" s="5">
        <v>28</v>
      </c>
      <c r="M92" s="5">
        <v>0</v>
      </c>
      <c r="N92" s="5" t="s">
        <v>3</v>
      </c>
      <c r="O92" s="5">
        <v>2</v>
      </c>
      <c r="P92" s="5"/>
      <c r="Q92" s="5"/>
      <c r="R92" s="5"/>
      <c r="S92" s="5"/>
      <c r="T92" s="5"/>
      <c r="U92" s="5"/>
      <c r="V92" s="5"/>
      <c r="W92" s="5">
        <v>128520.56</v>
      </c>
      <c r="X92" s="5">
        <v>1</v>
      </c>
      <c r="Y92" s="5">
        <v>128520.56</v>
      </c>
      <c r="Z92" s="5"/>
      <c r="AA92" s="5"/>
      <c r="AB92" s="5"/>
    </row>
    <row r="93" spans="1:206" x14ac:dyDescent="0.2">
      <c r="A93" s="5">
        <v>50</v>
      </c>
      <c r="B93" s="5">
        <v>1</v>
      </c>
      <c r="C93" s="5">
        <v>0</v>
      </c>
      <c r="D93" s="5">
        <v>2</v>
      </c>
      <c r="E93" s="5">
        <v>0</v>
      </c>
      <c r="F93" s="5">
        <f>ROUND(F92*0.22,O93)</f>
        <v>28274.52</v>
      </c>
      <c r="G93" s="5" t="s">
        <v>27</v>
      </c>
      <c r="H93" s="5" t="s">
        <v>208</v>
      </c>
      <c r="I93" s="5"/>
      <c r="J93" s="5"/>
      <c r="K93" s="5">
        <v>212</v>
      </c>
      <c r="L93" s="5">
        <v>29</v>
      </c>
      <c r="M93" s="5">
        <v>0</v>
      </c>
      <c r="N93" s="5" t="s">
        <v>3</v>
      </c>
      <c r="O93" s="5">
        <v>2</v>
      </c>
      <c r="P93" s="5"/>
      <c r="Q93" s="5"/>
      <c r="R93" s="5"/>
      <c r="S93" s="5"/>
      <c r="T93" s="5"/>
      <c r="U93" s="5"/>
      <c r="V93" s="5"/>
      <c r="W93" s="5">
        <v>28274.52</v>
      </c>
      <c r="X93" s="5">
        <v>1</v>
      </c>
      <c r="Y93" s="5">
        <v>28274.52</v>
      </c>
      <c r="Z93" s="5"/>
      <c r="AA93" s="5"/>
      <c r="AB93" s="5"/>
    </row>
    <row r="94" spans="1:206" x14ac:dyDescent="0.2">
      <c r="A94" s="5">
        <v>50</v>
      </c>
      <c r="B94" s="5">
        <v>1</v>
      </c>
      <c r="C94" s="5">
        <v>0</v>
      </c>
      <c r="D94" s="5">
        <v>2</v>
      </c>
      <c r="E94" s="5">
        <v>224</v>
      </c>
      <c r="F94" s="5">
        <f>ROUND(F92+F93,O94)</f>
        <v>156795.07999999999</v>
      </c>
      <c r="G94" s="5" t="s">
        <v>76</v>
      </c>
      <c r="H94" s="5" t="s">
        <v>209</v>
      </c>
      <c r="I94" s="5"/>
      <c r="J94" s="5"/>
      <c r="K94" s="5">
        <v>212</v>
      </c>
      <c r="L94" s="5">
        <v>30</v>
      </c>
      <c r="M94" s="5">
        <v>0</v>
      </c>
      <c r="N94" s="5" t="s">
        <v>3</v>
      </c>
      <c r="O94" s="5">
        <v>2</v>
      </c>
      <c r="P94" s="5"/>
      <c r="Q94" s="5"/>
      <c r="R94" s="5"/>
      <c r="S94" s="5"/>
      <c r="T94" s="5"/>
      <c r="U94" s="5"/>
      <c r="V94" s="5"/>
      <c r="W94" s="5">
        <v>156795.07999999999</v>
      </c>
      <c r="X94" s="5">
        <v>1</v>
      </c>
      <c r="Y94" s="5">
        <v>156795.07999999999</v>
      </c>
      <c r="Z94" s="5"/>
      <c r="AA94" s="5"/>
      <c r="AB94" s="5"/>
    </row>
    <row r="96" spans="1:206" x14ac:dyDescent="0.2">
      <c r="A96" s="3">
        <v>51</v>
      </c>
      <c r="B96" s="3">
        <f>B12</f>
        <v>156</v>
      </c>
      <c r="C96" s="3">
        <f>A12</f>
        <v>1</v>
      </c>
      <c r="D96" s="3">
        <f>ROW(A12)</f>
        <v>12</v>
      </c>
      <c r="E96" s="3"/>
      <c r="F96" s="3" t="str">
        <f>IF(F12&lt;&gt;"",F12,"")</f>
        <v>Новый объект</v>
      </c>
      <c r="G96" s="3" t="str">
        <f>IF(G12&lt;&gt;"",G12,"")</f>
        <v>Аварийный ремонт труб ЦО в ХК</v>
      </c>
      <c r="H96" s="3">
        <v>0</v>
      </c>
      <c r="I96" s="3"/>
      <c r="J96" s="3"/>
      <c r="K96" s="3"/>
      <c r="L96" s="3"/>
      <c r="M96" s="3"/>
      <c r="N96" s="3"/>
      <c r="O96" s="3">
        <f t="shared" ref="O96:T96" si="47">ROUND(O63,2)</f>
        <v>62193.24</v>
      </c>
      <c r="P96" s="3">
        <f t="shared" si="47"/>
        <v>18760.73</v>
      </c>
      <c r="Q96" s="3">
        <f t="shared" si="47"/>
        <v>864.65</v>
      </c>
      <c r="R96" s="3">
        <f t="shared" si="47"/>
        <v>778.03</v>
      </c>
      <c r="S96" s="3">
        <f t="shared" si="47"/>
        <v>41789.83</v>
      </c>
      <c r="T96" s="3">
        <f t="shared" si="47"/>
        <v>0</v>
      </c>
      <c r="U96" s="3">
        <f>U63</f>
        <v>56.871787500000003</v>
      </c>
      <c r="V96" s="3">
        <f>V63</f>
        <v>1.0361251</v>
      </c>
      <c r="W96" s="3">
        <f>ROUND(W63,2)</f>
        <v>0</v>
      </c>
      <c r="X96" s="3">
        <f>ROUND(X63,2)</f>
        <v>43036.99</v>
      </c>
      <c r="Y96" s="3">
        <f>ROUND(Y63,2)</f>
        <v>23290.33</v>
      </c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>
        <f t="shared" ref="AO96:BD96" si="48">ROUND(AO63,2)</f>
        <v>0</v>
      </c>
      <c r="AP96" s="3">
        <f t="shared" si="48"/>
        <v>0</v>
      </c>
      <c r="AQ96" s="3">
        <f t="shared" si="48"/>
        <v>0</v>
      </c>
      <c r="AR96" s="3">
        <f t="shared" si="48"/>
        <v>128520.56</v>
      </c>
      <c r="AS96" s="3">
        <f t="shared" si="48"/>
        <v>128520.56</v>
      </c>
      <c r="AT96" s="3">
        <f t="shared" si="48"/>
        <v>0</v>
      </c>
      <c r="AU96" s="3">
        <f t="shared" si="48"/>
        <v>0</v>
      </c>
      <c r="AV96" s="3">
        <f t="shared" si="48"/>
        <v>18760.73</v>
      </c>
      <c r="AW96" s="3">
        <f t="shared" si="48"/>
        <v>18760.73</v>
      </c>
      <c r="AX96" s="3">
        <f t="shared" si="48"/>
        <v>0</v>
      </c>
      <c r="AY96" s="3">
        <f t="shared" si="48"/>
        <v>18760.73</v>
      </c>
      <c r="AZ96" s="3">
        <f t="shared" si="48"/>
        <v>0</v>
      </c>
      <c r="BA96" s="3">
        <f t="shared" si="48"/>
        <v>0</v>
      </c>
      <c r="BB96" s="3">
        <f t="shared" si="48"/>
        <v>0</v>
      </c>
      <c r="BC96" s="3">
        <f t="shared" si="48"/>
        <v>0</v>
      </c>
      <c r="BD96" s="3">
        <f t="shared" si="48"/>
        <v>0</v>
      </c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>
        <v>0</v>
      </c>
    </row>
    <row r="98" spans="1:28" x14ac:dyDescent="0.2">
      <c r="A98" s="5">
        <v>50</v>
      </c>
      <c r="B98" s="5">
        <v>0</v>
      </c>
      <c r="C98" s="5">
        <v>0</v>
      </c>
      <c r="D98" s="5">
        <v>1</v>
      </c>
      <c r="E98" s="5">
        <v>201</v>
      </c>
      <c r="F98" s="5">
        <f>ROUND(Source!O96,O98)</f>
        <v>62193.24</v>
      </c>
      <c r="G98" s="5" t="s">
        <v>154</v>
      </c>
      <c r="H98" s="5" t="s">
        <v>155</v>
      </c>
      <c r="I98" s="5"/>
      <c r="J98" s="5"/>
      <c r="K98" s="5">
        <v>201</v>
      </c>
      <c r="L98" s="5">
        <v>1</v>
      </c>
      <c r="M98" s="5">
        <v>3</v>
      </c>
      <c r="N98" s="5" t="s">
        <v>3</v>
      </c>
      <c r="O98" s="5">
        <v>2</v>
      </c>
      <c r="P98" s="5"/>
      <c r="Q98" s="5"/>
      <c r="R98" s="5"/>
      <c r="S98" s="5"/>
      <c r="T98" s="5"/>
      <c r="U98" s="5"/>
      <c r="V98" s="5"/>
      <c r="W98" s="5">
        <v>62193.24</v>
      </c>
      <c r="X98" s="5">
        <v>1</v>
      </c>
      <c r="Y98" s="5">
        <v>62193.24</v>
      </c>
      <c r="Z98" s="5"/>
      <c r="AA98" s="5"/>
      <c r="AB98" s="5"/>
    </row>
    <row r="99" spans="1:28" x14ac:dyDescent="0.2">
      <c r="A99" s="5">
        <v>50</v>
      </c>
      <c r="B99" s="5">
        <v>0</v>
      </c>
      <c r="C99" s="5">
        <v>0</v>
      </c>
      <c r="D99" s="5">
        <v>1</v>
      </c>
      <c r="E99" s="5">
        <v>202</v>
      </c>
      <c r="F99" s="5">
        <f>ROUND(Source!P96,O99)</f>
        <v>18760.73</v>
      </c>
      <c r="G99" s="5" t="s">
        <v>156</v>
      </c>
      <c r="H99" s="5" t="s">
        <v>157</v>
      </c>
      <c r="I99" s="5"/>
      <c r="J99" s="5"/>
      <c r="K99" s="5">
        <v>202</v>
      </c>
      <c r="L99" s="5">
        <v>2</v>
      </c>
      <c r="M99" s="5">
        <v>3</v>
      </c>
      <c r="N99" s="5" t="s">
        <v>3</v>
      </c>
      <c r="O99" s="5">
        <v>2</v>
      </c>
      <c r="P99" s="5"/>
      <c r="Q99" s="5"/>
      <c r="R99" s="5"/>
      <c r="S99" s="5"/>
      <c r="T99" s="5"/>
      <c r="U99" s="5"/>
      <c r="V99" s="5"/>
      <c r="W99" s="5">
        <v>18760.73</v>
      </c>
      <c r="X99" s="5">
        <v>1</v>
      </c>
      <c r="Y99" s="5">
        <v>18760.73</v>
      </c>
      <c r="Z99" s="5"/>
      <c r="AA99" s="5"/>
      <c r="AB99" s="5"/>
    </row>
    <row r="100" spans="1:28" x14ac:dyDescent="0.2">
      <c r="A100" s="5">
        <v>50</v>
      </c>
      <c r="B100" s="5">
        <v>0</v>
      </c>
      <c r="C100" s="5">
        <v>0</v>
      </c>
      <c r="D100" s="5">
        <v>1</v>
      </c>
      <c r="E100" s="5">
        <v>222</v>
      </c>
      <c r="F100" s="5">
        <f>ROUND(Source!AO96,O100)</f>
        <v>0</v>
      </c>
      <c r="G100" s="5" t="s">
        <v>158</v>
      </c>
      <c r="H100" s="5" t="s">
        <v>159</v>
      </c>
      <c r="I100" s="5"/>
      <c r="J100" s="5"/>
      <c r="K100" s="5">
        <v>222</v>
      </c>
      <c r="L100" s="5">
        <v>3</v>
      </c>
      <c r="M100" s="5">
        <v>3</v>
      </c>
      <c r="N100" s="5" t="s">
        <v>3</v>
      </c>
      <c r="O100" s="5">
        <v>2</v>
      </c>
      <c r="P100" s="5"/>
      <c r="Q100" s="5"/>
      <c r="R100" s="5"/>
      <c r="S100" s="5"/>
      <c r="T100" s="5"/>
      <c r="U100" s="5"/>
      <c r="V100" s="5"/>
      <c r="W100" s="5">
        <v>0</v>
      </c>
      <c r="X100" s="5">
        <v>1</v>
      </c>
      <c r="Y100" s="5">
        <v>0</v>
      </c>
      <c r="Z100" s="5"/>
      <c r="AA100" s="5"/>
      <c r="AB100" s="5"/>
    </row>
    <row r="101" spans="1:28" x14ac:dyDescent="0.2">
      <c r="A101" s="5">
        <v>50</v>
      </c>
      <c r="B101" s="5">
        <v>0</v>
      </c>
      <c r="C101" s="5">
        <v>0</v>
      </c>
      <c r="D101" s="5">
        <v>1</v>
      </c>
      <c r="E101" s="5">
        <v>225</v>
      </c>
      <c r="F101" s="5">
        <f>ROUND(Source!AV96,O101)</f>
        <v>18760.73</v>
      </c>
      <c r="G101" s="5" t="s">
        <v>160</v>
      </c>
      <c r="H101" s="5" t="s">
        <v>161</v>
      </c>
      <c r="I101" s="5"/>
      <c r="J101" s="5"/>
      <c r="K101" s="5">
        <v>225</v>
      </c>
      <c r="L101" s="5">
        <v>4</v>
      </c>
      <c r="M101" s="5">
        <v>3</v>
      </c>
      <c r="N101" s="5" t="s">
        <v>3</v>
      </c>
      <c r="O101" s="5">
        <v>2</v>
      </c>
      <c r="P101" s="5"/>
      <c r="Q101" s="5"/>
      <c r="R101" s="5"/>
      <c r="S101" s="5"/>
      <c r="T101" s="5"/>
      <c r="U101" s="5"/>
      <c r="V101" s="5"/>
      <c r="W101" s="5">
        <v>18760.73</v>
      </c>
      <c r="X101" s="5">
        <v>1</v>
      </c>
      <c r="Y101" s="5">
        <v>18760.73</v>
      </c>
      <c r="Z101" s="5"/>
      <c r="AA101" s="5"/>
      <c r="AB101" s="5"/>
    </row>
    <row r="102" spans="1:28" x14ac:dyDescent="0.2">
      <c r="A102" s="5">
        <v>50</v>
      </c>
      <c r="B102" s="5">
        <v>0</v>
      </c>
      <c r="C102" s="5">
        <v>0</v>
      </c>
      <c r="D102" s="5">
        <v>1</v>
      </c>
      <c r="E102" s="5">
        <v>226</v>
      </c>
      <c r="F102" s="5">
        <f>ROUND(Source!AW96,O102)</f>
        <v>18760.73</v>
      </c>
      <c r="G102" s="5" t="s">
        <v>162</v>
      </c>
      <c r="H102" s="5" t="s">
        <v>163</v>
      </c>
      <c r="I102" s="5"/>
      <c r="J102" s="5"/>
      <c r="K102" s="5">
        <v>226</v>
      </c>
      <c r="L102" s="5">
        <v>5</v>
      </c>
      <c r="M102" s="5">
        <v>3</v>
      </c>
      <c r="N102" s="5" t="s">
        <v>3</v>
      </c>
      <c r="O102" s="5">
        <v>2</v>
      </c>
      <c r="P102" s="5"/>
      <c r="Q102" s="5"/>
      <c r="R102" s="5"/>
      <c r="S102" s="5"/>
      <c r="T102" s="5"/>
      <c r="U102" s="5"/>
      <c r="V102" s="5"/>
      <c r="W102" s="5">
        <v>18760.73</v>
      </c>
      <c r="X102" s="5">
        <v>1</v>
      </c>
      <c r="Y102" s="5">
        <v>18760.73</v>
      </c>
      <c r="Z102" s="5"/>
      <c r="AA102" s="5"/>
      <c r="AB102" s="5"/>
    </row>
    <row r="103" spans="1:28" x14ac:dyDescent="0.2">
      <c r="A103" s="5">
        <v>50</v>
      </c>
      <c r="B103" s="5">
        <v>0</v>
      </c>
      <c r="C103" s="5">
        <v>0</v>
      </c>
      <c r="D103" s="5">
        <v>1</v>
      </c>
      <c r="E103" s="5">
        <v>227</v>
      </c>
      <c r="F103" s="5">
        <f>ROUND(Source!AX96,O103)</f>
        <v>0</v>
      </c>
      <c r="G103" s="5" t="s">
        <v>164</v>
      </c>
      <c r="H103" s="5" t="s">
        <v>165</v>
      </c>
      <c r="I103" s="5"/>
      <c r="J103" s="5"/>
      <c r="K103" s="5">
        <v>227</v>
      </c>
      <c r="L103" s="5">
        <v>6</v>
      </c>
      <c r="M103" s="5">
        <v>3</v>
      </c>
      <c r="N103" s="5" t="s">
        <v>3</v>
      </c>
      <c r="O103" s="5">
        <v>2</v>
      </c>
      <c r="P103" s="5"/>
      <c r="Q103" s="5"/>
      <c r="R103" s="5"/>
      <c r="S103" s="5"/>
      <c r="T103" s="5"/>
      <c r="U103" s="5"/>
      <c r="V103" s="5"/>
      <c r="W103" s="5">
        <v>0</v>
      </c>
      <c r="X103" s="5">
        <v>1</v>
      </c>
      <c r="Y103" s="5">
        <v>0</v>
      </c>
      <c r="Z103" s="5"/>
      <c r="AA103" s="5"/>
      <c r="AB103" s="5"/>
    </row>
    <row r="104" spans="1:28" x14ac:dyDescent="0.2">
      <c r="A104" s="5">
        <v>50</v>
      </c>
      <c r="B104" s="5">
        <v>0</v>
      </c>
      <c r="C104" s="5">
        <v>0</v>
      </c>
      <c r="D104" s="5">
        <v>1</v>
      </c>
      <c r="E104" s="5">
        <v>228</v>
      </c>
      <c r="F104" s="5">
        <f>ROUND(Source!AY96,O104)</f>
        <v>18760.73</v>
      </c>
      <c r="G104" s="5" t="s">
        <v>166</v>
      </c>
      <c r="H104" s="5" t="s">
        <v>167</v>
      </c>
      <c r="I104" s="5"/>
      <c r="J104" s="5"/>
      <c r="K104" s="5">
        <v>228</v>
      </c>
      <c r="L104" s="5">
        <v>7</v>
      </c>
      <c r="M104" s="5">
        <v>3</v>
      </c>
      <c r="N104" s="5" t="s">
        <v>3</v>
      </c>
      <c r="O104" s="5">
        <v>2</v>
      </c>
      <c r="P104" s="5"/>
      <c r="Q104" s="5"/>
      <c r="R104" s="5"/>
      <c r="S104" s="5"/>
      <c r="T104" s="5"/>
      <c r="U104" s="5"/>
      <c r="V104" s="5"/>
      <c r="W104" s="5">
        <v>18760.73</v>
      </c>
      <c r="X104" s="5">
        <v>1</v>
      </c>
      <c r="Y104" s="5">
        <v>18760.73</v>
      </c>
      <c r="Z104" s="5"/>
      <c r="AA104" s="5"/>
      <c r="AB104" s="5"/>
    </row>
    <row r="105" spans="1:28" x14ac:dyDescent="0.2">
      <c r="A105" s="5">
        <v>50</v>
      </c>
      <c r="B105" s="5">
        <v>0</v>
      </c>
      <c r="C105" s="5">
        <v>0</v>
      </c>
      <c r="D105" s="5">
        <v>1</v>
      </c>
      <c r="E105" s="5">
        <v>216</v>
      </c>
      <c r="F105" s="5">
        <f>ROUND(Source!AP96,O105)</f>
        <v>0</v>
      </c>
      <c r="G105" s="5" t="s">
        <v>168</v>
      </c>
      <c r="H105" s="5" t="s">
        <v>169</v>
      </c>
      <c r="I105" s="5"/>
      <c r="J105" s="5"/>
      <c r="K105" s="5">
        <v>216</v>
      </c>
      <c r="L105" s="5">
        <v>8</v>
      </c>
      <c r="M105" s="5">
        <v>3</v>
      </c>
      <c r="N105" s="5" t="s">
        <v>3</v>
      </c>
      <c r="O105" s="5">
        <v>2</v>
      </c>
      <c r="P105" s="5"/>
      <c r="Q105" s="5"/>
      <c r="R105" s="5"/>
      <c r="S105" s="5"/>
      <c r="T105" s="5"/>
      <c r="U105" s="5"/>
      <c r="V105" s="5"/>
      <c r="W105" s="5">
        <v>0</v>
      </c>
      <c r="X105" s="5">
        <v>1</v>
      </c>
      <c r="Y105" s="5">
        <v>0</v>
      </c>
      <c r="Z105" s="5"/>
      <c r="AA105" s="5"/>
      <c r="AB105" s="5"/>
    </row>
    <row r="106" spans="1:28" x14ac:dyDescent="0.2">
      <c r="A106" s="5">
        <v>50</v>
      </c>
      <c r="B106" s="5">
        <v>0</v>
      </c>
      <c r="C106" s="5">
        <v>0</v>
      </c>
      <c r="D106" s="5">
        <v>1</v>
      </c>
      <c r="E106" s="5">
        <v>223</v>
      </c>
      <c r="F106" s="5">
        <f>ROUND(Source!AQ96,O106)</f>
        <v>0</v>
      </c>
      <c r="G106" s="5" t="s">
        <v>170</v>
      </c>
      <c r="H106" s="5" t="s">
        <v>171</v>
      </c>
      <c r="I106" s="5"/>
      <c r="J106" s="5"/>
      <c r="K106" s="5">
        <v>223</v>
      </c>
      <c r="L106" s="5">
        <v>9</v>
      </c>
      <c r="M106" s="5">
        <v>3</v>
      </c>
      <c r="N106" s="5" t="s">
        <v>3</v>
      </c>
      <c r="O106" s="5">
        <v>2</v>
      </c>
      <c r="P106" s="5"/>
      <c r="Q106" s="5"/>
      <c r="R106" s="5"/>
      <c r="S106" s="5"/>
      <c r="T106" s="5"/>
      <c r="U106" s="5"/>
      <c r="V106" s="5"/>
      <c r="W106" s="5">
        <v>0</v>
      </c>
      <c r="X106" s="5">
        <v>1</v>
      </c>
      <c r="Y106" s="5">
        <v>0</v>
      </c>
      <c r="Z106" s="5"/>
      <c r="AA106" s="5"/>
      <c r="AB106" s="5"/>
    </row>
    <row r="107" spans="1:28" x14ac:dyDescent="0.2">
      <c r="A107" s="5">
        <v>50</v>
      </c>
      <c r="B107" s="5">
        <v>0</v>
      </c>
      <c r="C107" s="5">
        <v>0</v>
      </c>
      <c r="D107" s="5">
        <v>1</v>
      </c>
      <c r="E107" s="5">
        <v>229</v>
      </c>
      <c r="F107" s="5">
        <f>ROUND(Source!AZ96,O107)</f>
        <v>0</v>
      </c>
      <c r="G107" s="5" t="s">
        <v>172</v>
      </c>
      <c r="H107" s="5" t="s">
        <v>173</v>
      </c>
      <c r="I107" s="5"/>
      <c r="J107" s="5"/>
      <c r="K107" s="5">
        <v>229</v>
      </c>
      <c r="L107" s="5">
        <v>10</v>
      </c>
      <c r="M107" s="5">
        <v>3</v>
      </c>
      <c r="N107" s="5" t="s">
        <v>3</v>
      </c>
      <c r="O107" s="5">
        <v>2</v>
      </c>
      <c r="P107" s="5"/>
      <c r="Q107" s="5"/>
      <c r="R107" s="5"/>
      <c r="S107" s="5"/>
      <c r="T107" s="5"/>
      <c r="U107" s="5"/>
      <c r="V107" s="5"/>
      <c r="W107" s="5">
        <v>0</v>
      </c>
      <c r="X107" s="5">
        <v>1</v>
      </c>
      <c r="Y107" s="5">
        <v>0</v>
      </c>
      <c r="Z107" s="5"/>
      <c r="AA107" s="5"/>
      <c r="AB107" s="5"/>
    </row>
    <row r="108" spans="1:28" x14ac:dyDescent="0.2">
      <c r="A108" s="5">
        <v>50</v>
      </c>
      <c r="B108" s="5">
        <v>0</v>
      </c>
      <c r="C108" s="5">
        <v>0</v>
      </c>
      <c r="D108" s="5">
        <v>1</v>
      </c>
      <c r="E108" s="5">
        <v>203</v>
      </c>
      <c r="F108" s="5">
        <f>ROUND(Source!Q96,O108)</f>
        <v>864.65</v>
      </c>
      <c r="G108" s="5" t="s">
        <v>174</v>
      </c>
      <c r="H108" s="5" t="s">
        <v>175</v>
      </c>
      <c r="I108" s="5"/>
      <c r="J108" s="5"/>
      <c r="K108" s="5">
        <v>203</v>
      </c>
      <c r="L108" s="5">
        <v>11</v>
      </c>
      <c r="M108" s="5">
        <v>3</v>
      </c>
      <c r="N108" s="5" t="s">
        <v>3</v>
      </c>
      <c r="O108" s="5">
        <v>2</v>
      </c>
      <c r="P108" s="5"/>
      <c r="Q108" s="5"/>
      <c r="R108" s="5"/>
      <c r="S108" s="5"/>
      <c r="T108" s="5"/>
      <c r="U108" s="5"/>
      <c r="V108" s="5"/>
      <c r="W108" s="5">
        <v>864.65</v>
      </c>
      <c r="X108" s="5">
        <v>1</v>
      </c>
      <c r="Y108" s="5">
        <v>864.65</v>
      </c>
      <c r="Z108" s="5"/>
      <c r="AA108" s="5"/>
      <c r="AB108" s="5"/>
    </row>
    <row r="109" spans="1:28" x14ac:dyDescent="0.2">
      <c r="A109" s="5">
        <v>50</v>
      </c>
      <c r="B109" s="5">
        <v>0</v>
      </c>
      <c r="C109" s="5">
        <v>0</v>
      </c>
      <c r="D109" s="5">
        <v>1</v>
      </c>
      <c r="E109" s="5">
        <v>231</v>
      </c>
      <c r="F109" s="5">
        <f>ROUND(Source!BB96,O109)</f>
        <v>0</v>
      </c>
      <c r="G109" s="5" t="s">
        <v>176</v>
      </c>
      <c r="H109" s="5" t="s">
        <v>177</v>
      </c>
      <c r="I109" s="5"/>
      <c r="J109" s="5"/>
      <c r="K109" s="5">
        <v>231</v>
      </c>
      <c r="L109" s="5">
        <v>12</v>
      </c>
      <c r="M109" s="5">
        <v>3</v>
      </c>
      <c r="N109" s="5" t="s">
        <v>3</v>
      </c>
      <c r="O109" s="5">
        <v>2</v>
      </c>
      <c r="P109" s="5"/>
      <c r="Q109" s="5"/>
      <c r="R109" s="5"/>
      <c r="S109" s="5"/>
      <c r="T109" s="5"/>
      <c r="U109" s="5"/>
      <c r="V109" s="5"/>
      <c r="W109" s="5">
        <v>0</v>
      </c>
      <c r="X109" s="5">
        <v>1</v>
      </c>
      <c r="Y109" s="5">
        <v>0</v>
      </c>
      <c r="Z109" s="5"/>
      <c r="AA109" s="5"/>
      <c r="AB109" s="5"/>
    </row>
    <row r="110" spans="1:28" x14ac:dyDescent="0.2">
      <c r="A110" s="5">
        <v>50</v>
      </c>
      <c r="B110" s="5">
        <v>0</v>
      </c>
      <c r="C110" s="5">
        <v>0</v>
      </c>
      <c r="D110" s="5">
        <v>1</v>
      </c>
      <c r="E110" s="5">
        <v>204</v>
      </c>
      <c r="F110" s="5">
        <f>ROUND(Source!R96,O110)</f>
        <v>778.03</v>
      </c>
      <c r="G110" s="5" t="s">
        <v>178</v>
      </c>
      <c r="H110" s="5" t="s">
        <v>179</v>
      </c>
      <c r="I110" s="5"/>
      <c r="J110" s="5"/>
      <c r="K110" s="5">
        <v>204</v>
      </c>
      <c r="L110" s="5">
        <v>13</v>
      </c>
      <c r="M110" s="5">
        <v>3</v>
      </c>
      <c r="N110" s="5" t="s">
        <v>3</v>
      </c>
      <c r="O110" s="5">
        <v>2</v>
      </c>
      <c r="P110" s="5"/>
      <c r="Q110" s="5"/>
      <c r="R110" s="5"/>
      <c r="S110" s="5"/>
      <c r="T110" s="5"/>
      <c r="U110" s="5"/>
      <c r="V110" s="5"/>
      <c r="W110" s="5">
        <v>778.03</v>
      </c>
      <c r="X110" s="5">
        <v>1</v>
      </c>
      <c r="Y110" s="5">
        <v>778.03</v>
      </c>
      <c r="Z110" s="5"/>
      <c r="AA110" s="5"/>
      <c r="AB110" s="5"/>
    </row>
    <row r="111" spans="1:28" x14ac:dyDescent="0.2">
      <c r="A111" s="5">
        <v>50</v>
      </c>
      <c r="B111" s="5">
        <v>0</v>
      </c>
      <c r="C111" s="5">
        <v>0</v>
      </c>
      <c r="D111" s="5">
        <v>1</v>
      </c>
      <c r="E111" s="5">
        <v>205</v>
      </c>
      <c r="F111" s="5">
        <f>ROUND(Source!S96,O111)</f>
        <v>41789.83</v>
      </c>
      <c r="G111" s="5" t="s">
        <v>180</v>
      </c>
      <c r="H111" s="5" t="s">
        <v>181</v>
      </c>
      <c r="I111" s="5"/>
      <c r="J111" s="5"/>
      <c r="K111" s="5">
        <v>205</v>
      </c>
      <c r="L111" s="5">
        <v>14</v>
      </c>
      <c r="M111" s="5">
        <v>3</v>
      </c>
      <c r="N111" s="5" t="s">
        <v>3</v>
      </c>
      <c r="O111" s="5">
        <v>2</v>
      </c>
      <c r="P111" s="5"/>
      <c r="Q111" s="5"/>
      <c r="R111" s="5"/>
      <c r="S111" s="5"/>
      <c r="T111" s="5"/>
      <c r="U111" s="5"/>
      <c r="V111" s="5"/>
      <c r="W111" s="5">
        <v>41789.83</v>
      </c>
      <c r="X111" s="5">
        <v>1</v>
      </c>
      <c r="Y111" s="5">
        <v>41789.83</v>
      </c>
      <c r="Z111" s="5"/>
      <c r="AA111" s="5"/>
      <c r="AB111" s="5"/>
    </row>
    <row r="112" spans="1:28" x14ac:dyDescent="0.2">
      <c r="A112" s="5">
        <v>50</v>
      </c>
      <c r="B112" s="5">
        <v>0</v>
      </c>
      <c r="C112" s="5">
        <v>0</v>
      </c>
      <c r="D112" s="5">
        <v>1</v>
      </c>
      <c r="E112" s="5">
        <v>232</v>
      </c>
      <c r="F112" s="5">
        <f>ROUND(Source!BC96,O112)</f>
        <v>0</v>
      </c>
      <c r="G112" s="5" t="s">
        <v>182</v>
      </c>
      <c r="H112" s="5" t="s">
        <v>183</v>
      </c>
      <c r="I112" s="5"/>
      <c r="J112" s="5"/>
      <c r="K112" s="5">
        <v>232</v>
      </c>
      <c r="L112" s="5">
        <v>15</v>
      </c>
      <c r="M112" s="5">
        <v>3</v>
      </c>
      <c r="N112" s="5" t="s">
        <v>3</v>
      </c>
      <c r="O112" s="5">
        <v>2</v>
      </c>
      <c r="P112" s="5"/>
      <c r="Q112" s="5"/>
      <c r="R112" s="5"/>
      <c r="S112" s="5"/>
      <c r="T112" s="5"/>
      <c r="U112" s="5"/>
      <c r="V112" s="5"/>
      <c r="W112" s="5">
        <v>0</v>
      </c>
      <c r="X112" s="5">
        <v>1</v>
      </c>
      <c r="Y112" s="5">
        <v>0</v>
      </c>
      <c r="Z112" s="5"/>
      <c r="AA112" s="5"/>
      <c r="AB112" s="5"/>
    </row>
    <row r="113" spans="1:28" x14ac:dyDescent="0.2">
      <c r="A113" s="5">
        <v>50</v>
      </c>
      <c r="B113" s="5">
        <v>0</v>
      </c>
      <c r="C113" s="5">
        <v>0</v>
      </c>
      <c r="D113" s="5">
        <v>1</v>
      </c>
      <c r="E113" s="5">
        <v>214</v>
      </c>
      <c r="F113" s="5">
        <f>ROUND(Source!AS96,O113)</f>
        <v>128520.56</v>
      </c>
      <c r="G113" s="5" t="s">
        <v>184</v>
      </c>
      <c r="H113" s="5" t="s">
        <v>185</v>
      </c>
      <c r="I113" s="5"/>
      <c r="J113" s="5"/>
      <c r="K113" s="5">
        <v>214</v>
      </c>
      <c r="L113" s="5">
        <v>16</v>
      </c>
      <c r="M113" s="5">
        <v>3</v>
      </c>
      <c r="N113" s="5" t="s">
        <v>3</v>
      </c>
      <c r="O113" s="5">
        <v>2</v>
      </c>
      <c r="P113" s="5"/>
      <c r="Q113" s="5"/>
      <c r="R113" s="5"/>
      <c r="S113" s="5"/>
      <c r="T113" s="5"/>
      <c r="U113" s="5"/>
      <c r="V113" s="5"/>
      <c r="W113" s="5">
        <v>128520.56</v>
      </c>
      <c r="X113" s="5">
        <v>1</v>
      </c>
      <c r="Y113" s="5">
        <v>128520.56</v>
      </c>
      <c r="Z113" s="5"/>
      <c r="AA113" s="5"/>
      <c r="AB113" s="5"/>
    </row>
    <row r="114" spans="1:28" x14ac:dyDescent="0.2">
      <c r="A114" s="5">
        <v>50</v>
      </c>
      <c r="B114" s="5">
        <v>0</v>
      </c>
      <c r="C114" s="5">
        <v>0</v>
      </c>
      <c r="D114" s="5">
        <v>1</v>
      </c>
      <c r="E114" s="5">
        <v>215</v>
      </c>
      <c r="F114" s="5">
        <f>ROUND(Source!AT96,O114)</f>
        <v>0</v>
      </c>
      <c r="G114" s="5" t="s">
        <v>186</v>
      </c>
      <c r="H114" s="5" t="s">
        <v>187</v>
      </c>
      <c r="I114" s="5"/>
      <c r="J114" s="5"/>
      <c r="K114" s="5">
        <v>215</v>
      </c>
      <c r="L114" s="5">
        <v>17</v>
      </c>
      <c r="M114" s="5">
        <v>3</v>
      </c>
      <c r="N114" s="5" t="s">
        <v>3</v>
      </c>
      <c r="O114" s="5">
        <v>2</v>
      </c>
      <c r="P114" s="5"/>
      <c r="Q114" s="5"/>
      <c r="R114" s="5"/>
      <c r="S114" s="5"/>
      <c r="T114" s="5"/>
      <c r="U114" s="5"/>
      <c r="V114" s="5"/>
      <c r="W114" s="5">
        <v>0</v>
      </c>
      <c r="X114" s="5">
        <v>1</v>
      </c>
      <c r="Y114" s="5">
        <v>0</v>
      </c>
      <c r="Z114" s="5"/>
      <c r="AA114" s="5"/>
      <c r="AB114" s="5"/>
    </row>
    <row r="115" spans="1:28" x14ac:dyDescent="0.2">
      <c r="A115" s="5">
        <v>50</v>
      </c>
      <c r="B115" s="5">
        <v>0</v>
      </c>
      <c r="C115" s="5">
        <v>0</v>
      </c>
      <c r="D115" s="5">
        <v>1</v>
      </c>
      <c r="E115" s="5">
        <v>217</v>
      </c>
      <c r="F115" s="5">
        <f>ROUND(Source!AU96,O115)</f>
        <v>0</v>
      </c>
      <c r="G115" s="5" t="s">
        <v>188</v>
      </c>
      <c r="H115" s="5" t="s">
        <v>189</v>
      </c>
      <c r="I115" s="5"/>
      <c r="J115" s="5"/>
      <c r="K115" s="5">
        <v>217</v>
      </c>
      <c r="L115" s="5">
        <v>18</v>
      </c>
      <c r="M115" s="5">
        <v>3</v>
      </c>
      <c r="N115" s="5" t="s">
        <v>3</v>
      </c>
      <c r="O115" s="5">
        <v>2</v>
      </c>
      <c r="P115" s="5"/>
      <c r="Q115" s="5"/>
      <c r="R115" s="5"/>
      <c r="S115" s="5"/>
      <c r="T115" s="5"/>
      <c r="U115" s="5"/>
      <c r="V115" s="5"/>
      <c r="W115" s="5">
        <v>0</v>
      </c>
      <c r="X115" s="5">
        <v>1</v>
      </c>
      <c r="Y115" s="5">
        <v>0</v>
      </c>
      <c r="Z115" s="5"/>
      <c r="AA115" s="5"/>
      <c r="AB115" s="5"/>
    </row>
    <row r="116" spans="1:28" x14ac:dyDescent="0.2">
      <c r="A116" s="5">
        <v>50</v>
      </c>
      <c r="B116" s="5">
        <v>0</v>
      </c>
      <c r="C116" s="5">
        <v>0</v>
      </c>
      <c r="D116" s="5">
        <v>1</v>
      </c>
      <c r="E116" s="5">
        <v>230</v>
      </c>
      <c r="F116" s="5">
        <f>ROUND(Source!BA96,O116)</f>
        <v>0</v>
      </c>
      <c r="G116" s="5" t="s">
        <v>190</v>
      </c>
      <c r="H116" s="5" t="s">
        <v>191</v>
      </c>
      <c r="I116" s="5"/>
      <c r="J116" s="5"/>
      <c r="K116" s="5">
        <v>230</v>
      </c>
      <c r="L116" s="5">
        <v>19</v>
      </c>
      <c r="M116" s="5">
        <v>3</v>
      </c>
      <c r="N116" s="5" t="s">
        <v>3</v>
      </c>
      <c r="O116" s="5">
        <v>2</v>
      </c>
      <c r="P116" s="5"/>
      <c r="Q116" s="5"/>
      <c r="R116" s="5"/>
      <c r="S116" s="5"/>
      <c r="T116" s="5"/>
      <c r="U116" s="5"/>
      <c r="V116" s="5"/>
      <c r="W116" s="5">
        <v>0</v>
      </c>
      <c r="X116" s="5">
        <v>1</v>
      </c>
      <c r="Y116" s="5">
        <v>0</v>
      </c>
      <c r="Z116" s="5"/>
      <c r="AA116" s="5"/>
      <c r="AB116" s="5"/>
    </row>
    <row r="117" spans="1:28" x14ac:dyDescent="0.2">
      <c r="A117" s="5">
        <v>50</v>
      </c>
      <c r="B117" s="5">
        <v>0</v>
      </c>
      <c r="C117" s="5">
        <v>0</v>
      </c>
      <c r="D117" s="5">
        <v>1</v>
      </c>
      <c r="E117" s="5">
        <v>206</v>
      </c>
      <c r="F117" s="5">
        <f>ROUND(Source!T96,O117)</f>
        <v>0</v>
      </c>
      <c r="G117" s="5" t="s">
        <v>192</v>
      </c>
      <c r="H117" s="5" t="s">
        <v>193</v>
      </c>
      <c r="I117" s="5"/>
      <c r="J117" s="5"/>
      <c r="K117" s="5">
        <v>206</v>
      </c>
      <c r="L117" s="5">
        <v>20</v>
      </c>
      <c r="M117" s="5">
        <v>3</v>
      </c>
      <c r="N117" s="5" t="s">
        <v>3</v>
      </c>
      <c r="O117" s="5">
        <v>2</v>
      </c>
      <c r="P117" s="5"/>
      <c r="Q117" s="5"/>
      <c r="R117" s="5"/>
      <c r="S117" s="5"/>
      <c r="T117" s="5"/>
      <c r="U117" s="5"/>
      <c r="V117" s="5"/>
      <c r="W117" s="5">
        <v>0</v>
      </c>
      <c r="X117" s="5">
        <v>1</v>
      </c>
      <c r="Y117" s="5">
        <v>0</v>
      </c>
      <c r="Z117" s="5"/>
      <c r="AA117" s="5"/>
      <c r="AB117" s="5"/>
    </row>
    <row r="118" spans="1:28" x14ac:dyDescent="0.2">
      <c r="A118" s="5">
        <v>50</v>
      </c>
      <c r="B118" s="5">
        <v>0</v>
      </c>
      <c r="C118" s="5">
        <v>0</v>
      </c>
      <c r="D118" s="5">
        <v>1</v>
      </c>
      <c r="E118" s="5">
        <v>207</v>
      </c>
      <c r="F118" s="5">
        <f>ROUND(Source!U96,O118)</f>
        <v>56.871787500000003</v>
      </c>
      <c r="G118" s="5" t="s">
        <v>194</v>
      </c>
      <c r="H118" s="5" t="s">
        <v>195</v>
      </c>
      <c r="I118" s="5"/>
      <c r="J118" s="5"/>
      <c r="K118" s="5">
        <v>207</v>
      </c>
      <c r="L118" s="5">
        <v>21</v>
      </c>
      <c r="M118" s="5">
        <v>3</v>
      </c>
      <c r="N118" s="5" t="s">
        <v>3</v>
      </c>
      <c r="O118" s="5">
        <v>7</v>
      </c>
      <c r="P118" s="5"/>
      <c r="Q118" s="5"/>
      <c r="R118" s="5"/>
      <c r="S118" s="5"/>
      <c r="T118" s="5"/>
      <c r="U118" s="5"/>
      <c r="V118" s="5"/>
      <c r="W118" s="5">
        <v>56.871787500000003</v>
      </c>
      <c r="X118" s="5">
        <v>1</v>
      </c>
      <c r="Y118" s="5">
        <v>56.871787500000003</v>
      </c>
      <c r="Z118" s="5"/>
      <c r="AA118" s="5"/>
      <c r="AB118" s="5"/>
    </row>
    <row r="119" spans="1:28" x14ac:dyDescent="0.2">
      <c r="A119" s="5">
        <v>50</v>
      </c>
      <c r="B119" s="5">
        <v>0</v>
      </c>
      <c r="C119" s="5">
        <v>0</v>
      </c>
      <c r="D119" s="5">
        <v>1</v>
      </c>
      <c r="E119" s="5">
        <v>208</v>
      </c>
      <c r="F119" s="5">
        <f>ROUND(Source!V96,O119)</f>
        <v>1.0361251</v>
      </c>
      <c r="G119" s="5" t="s">
        <v>196</v>
      </c>
      <c r="H119" s="5" t="s">
        <v>197</v>
      </c>
      <c r="I119" s="5"/>
      <c r="J119" s="5"/>
      <c r="K119" s="5">
        <v>208</v>
      </c>
      <c r="L119" s="5">
        <v>22</v>
      </c>
      <c r="M119" s="5">
        <v>3</v>
      </c>
      <c r="N119" s="5" t="s">
        <v>3</v>
      </c>
      <c r="O119" s="5">
        <v>7</v>
      </c>
      <c r="P119" s="5"/>
      <c r="Q119" s="5"/>
      <c r="R119" s="5"/>
      <c r="S119" s="5"/>
      <c r="T119" s="5"/>
      <c r="U119" s="5"/>
      <c r="V119" s="5"/>
      <c r="W119" s="5">
        <v>1.0361251</v>
      </c>
      <c r="X119" s="5">
        <v>1</v>
      </c>
      <c r="Y119" s="5">
        <v>1.0361251</v>
      </c>
      <c r="Z119" s="5"/>
      <c r="AA119" s="5"/>
      <c r="AB119" s="5"/>
    </row>
    <row r="120" spans="1:28" x14ac:dyDescent="0.2">
      <c r="A120" s="5">
        <v>50</v>
      </c>
      <c r="B120" s="5">
        <v>0</v>
      </c>
      <c r="C120" s="5">
        <v>0</v>
      </c>
      <c r="D120" s="5">
        <v>1</v>
      </c>
      <c r="E120" s="5">
        <v>209</v>
      </c>
      <c r="F120" s="5">
        <f>ROUND(Source!W96,O120)</f>
        <v>0</v>
      </c>
      <c r="G120" s="5" t="s">
        <v>198</v>
      </c>
      <c r="H120" s="5" t="s">
        <v>199</v>
      </c>
      <c r="I120" s="5"/>
      <c r="J120" s="5"/>
      <c r="K120" s="5">
        <v>209</v>
      </c>
      <c r="L120" s="5">
        <v>23</v>
      </c>
      <c r="M120" s="5">
        <v>3</v>
      </c>
      <c r="N120" s="5" t="s">
        <v>3</v>
      </c>
      <c r="O120" s="5">
        <v>2</v>
      </c>
      <c r="P120" s="5"/>
      <c r="Q120" s="5"/>
      <c r="R120" s="5"/>
      <c r="S120" s="5"/>
      <c r="T120" s="5"/>
      <c r="U120" s="5"/>
      <c r="V120" s="5"/>
      <c r="W120" s="5">
        <v>0</v>
      </c>
      <c r="X120" s="5">
        <v>1</v>
      </c>
      <c r="Y120" s="5">
        <v>0</v>
      </c>
      <c r="Z120" s="5"/>
      <c r="AA120" s="5"/>
      <c r="AB120" s="5"/>
    </row>
    <row r="121" spans="1:28" x14ac:dyDescent="0.2">
      <c r="A121" s="5">
        <v>50</v>
      </c>
      <c r="B121" s="5">
        <v>0</v>
      </c>
      <c r="C121" s="5">
        <v>0</v>
      </c>
      <c r="D121" s="5">
        <v>1</v>
      </c>
      <c r="E121" s="5">
        <v>233</v>
      </c>
      <c r="F121" s="5">
        <f>ROUND(Source!BD96,O121)</f>
        <v>0</v>
      </c>
      <c r="G121" s="5" t="s">
        <v>200</v>
      </c>
      <c r="H121" s="5" t="s">
        <v>201</v>
      </c>
      <c r="I121" s="5"/>
      <c r="J121" s="5"/>
      <c r="K121" s="5">
        <v>233</v>
      </c>
      <c r="L121" s="5">
        <v>24</v>
      </c>
      <c r="M121" s="5">
        <v>3</v>
      </c>
      <c r="N121" s="5" t="s">
        <v>3</v>
      </c>
      <c r="O121" s="5">
        <v>2</v>
      </c>
      <c r="P121" s="5"/>
      <c r="Q121" s="5"/>
      <c r="R121" s="5"/>
      <c r="S121" s="5"/>
      <c r="T121" s="5"/>
      <c r="U121" s="5"/>
      <c r="V121" s="5"/>
      <c r="W121" s="5">
        <v>0</v>
      </c>
      <c r="X121" s="5">
        <v>1</v>
      </c>
      <c r="Y121" s="5">
        <v>0</v>
      </c>
      <c r="Z121" s="5"/>
      <c r="AA121" s="5"/>
      <c r="AB121" s="5"/>
    </row>
    <row r="122" spans="1:28" x14ac:dyDescent="0.2">
      <c r="A122" s="5">
        <v>50</v>
      </c>
      <c r="B122" s="5">
        <v>0</v>
      </c>
      <c r="C122" s="5">
        <v>0</v>
      </c>
      <c r="D122" s="5">
        <v>1</v>
      </c>
      <c r="E122" s="5">
        <v>210</v>
      </c>
      <c r="F122" s="5">
        <f>ROUND(Source!X96,O122)</f>
        <v>43036.99</v>
      </c>
      <c r="G122" s="5" t="s">
        <v>202</v>
      </c>
      <c r="H122" s="5" t="s">
        <v>203</v>
      </c>
      <c r="I122" s="5"/>
      <c r="J122" s="5"/>
      <c r="K122" s="5">
        <v>210</v>
      </c>
      <c r="L122" s="5">
        <v>25</v>
      </c>
      <c r="M122" s="5">
        <v>3</v>
      </c>
      <c r="N122" s="5" t="s">
        <v>3</v>
      </c>
      <c r="O122" s="5">
        <v>2</v>
      </c>
      <c r="P122" s="5"/>
      <c r="Q122" s="5"/>
      <c r="R122" s="5"/>
      <c r="S122" s="5"/>
      <c r="T122" s="5"/>
      <c r="U122" s="5"/>
      <c r="V122" s="5"/>
      <c r="W122" s="5">
        <v>43036.99</v>
      </c>
      <c r="X122" s="5">
        <v>1</v>
      </c>
      <c r="Y122" s="5">
        <v>43036.99</v>
      </c>
      <c r="Z122" s="5"/>
      <c r="AA122" s="5"/>
      <c r="AB122" s="5"/>
    </row>
    <row r="123" spans="1:28" x14ac:dyDescent="0.2">
      <c r="A123" s="5">
        <v>50</v>
      </c>
      <c r="B123" s="5">
        <v>0</v>
      </c>
      <c r="C123" s="5">
        <v>0</v>
      </c>
      <c r="D123" s="5">
        <v>1</v>
      </c>
      <c r="E123" s="5">
        <v>211</v>
      </c>
      <c r="F123" s="5">
        <f>ROUND(Source!Y96,O123)</f>
        <v>23290.33</v>
      </c>
      <c r="G123" s="5" t="s">
        <v>204</v>
      </c>
      <c r="H123" s="5" t="s">
        <v>205</v>
      </c>
      <c r="I123" s="5"/>
      <c r="J123" s="5"/>
      <c r="K123" s="5">
        <v>211</v>
      </c>
      <c r="L123" s="5">
        <v>26</v>
      </c>
      <c r="M123" s="5">
        <v>3</v>
      </c>
      <c r="N123" s="5" t="s">
        <v>3</v>
      </c>
      <c r="O123" s="5">
        <v>2</v>
      </c>
      <c r="P123" s="5"/>
      <c r="Q123" s="5"/>
      <c r="R123" s="5"/>
      <c r="S123" s="5"/>
      <c r="T123" s="5"/>
      <c r="U123" s="5"/>
      <c r="V123" s="5"/>
      <c r="W123" s="5">
        <v>23290.33</v>
      </c>
      <c r="X123" s="5">
        <v>1</v>
      </c>
      <c r="Y123" s="5">
        <v>23290.33</v>
      </c>
      <c r="Z123" s="5"/>
      <c r="AA123" s="5"/>
      <c r="AB123" s="5"/>
    </row>
    <row r="124" spans="1:28" x14ac:dyDescent="0.2">
      <c r="A124" s="5">
        <v>50</v>
      </c>
      <c r="B124" s="5">
        <v>0</v>
      </c>
      <c r="C124" s="5">
        <v>0</v>
      </c>
      <c r="D124" s="5">
        <v>1</v>
      </c>
      <c r="E124" s="5">
        <v>224</v>
      </c>
      <c r="F124" s="5">
        <f>ROUND(Source!AR96,O124)</f>
        <v>128520.56</v>
      </c>
      <c r="G124" s="5" t="s">
        <v>206</v>
      </c>
      <c r="H124" s="5" t="s">
        <v>207</v>
      </c>
      <c r="I124" s="5"/>
      <c r="J124" s="5"/>
      <c r="K124" s="5">
        <v>224</v>
      </c>
      <c r="L124" s="5">
        <v>27</v>
      </c>
      <c r="M124" s="5">
        <v>3</v>
      </c>
      <c r="N124" s="5" t="s">
        <v>3</v>
      </c>
      <c r="O124" s="5">
        <v>2</v>
      </c>
      <c r="P124" s="5"/>
      <c r="Q124" s="5"/>
      <c r="R124" s="5"/>
      <c r="S124" s="5"/>
      <c r="T124" s="5"/>
      <c r="U124" s="5"/>
      <c r="V124" s="5"/>
      <c r="W124" s="5">
        <v>128520.56</v>
      </c>
      <c r="X124" s="5">
        <v>1</v>
      </c>
      <c r="Y124" s="5">
        <v>128520.56</v>
      </c>
      <c r="Z124" s="5"/>
      <c r="AA124" s="5"/>
      <c r="AB124" s="5"/>
    </row>
    <row r="125" spans="1:28" x14ac:dyDescent="0.2">
      <c r="A125" s="5">
        <v>50</v>
      </c>
      <c r="B125" s="5">
        <v>1</v>
      </c>
      <c r="C125" s="5">
        <v>0</v>
      </c>
      <c r="D125" s="5">
        <v>2</v>
      </c>
      <c r="E125" s="5">
        <v>0</v>
      </c>
      <c r="F125" s="5">
        <f>ROUND(F124,O125)</f>
        <v>128520.56</v>
      </c>
      <c r="G125" s="5" t="s">
        <v>14</v>
      </c>
      <c r="H125" s="5" t="s">
        <v>206</v>
      </c>
      <c r="I125" s="5"/>
      <c r="J125" s="5"/>
      <c r="K125" s="5">
        <v>212</v>
      </c>
      <c r="L125" s="5">
        <v>28</v>
      </c>
      <c r="M125" s="5">
        <v>0</v>
      </c>
      <c r="N125" s="5" t="s">
        <v>3</v>
      </c>
      <c r="O125" s="5">
        <v>2</v>
      </c>
      <c r="P125" s="5"/>
      <c r="Q125" s="5"/>
      <c r="R125" s="5"/>
      <c r="S125" s="5"/>
      <c r="T125" s="5"/>
      <c r="U125" s="5"/>
      <c r="V125" s="5"/>
      <c r="W125" s="5">
        <v>128520.56</v>
      </c>
      <c r="X125" s="5">
        <v>1</v>
      </c>
      <c r="Y125" s="5">
        <v>128520.56</v>
      </c>
      <c r="Z125" s="5"/>
      <c r="AA125" s="5"/>
      <c r="AB125" s="5"/>
    </row>
    <row r="126" spans="1:28" x14ac:dyDescent="0.2">
      <c r="A126" s="5">
        <v>50</v>
      </c>
      <c r="B126" s="5">
        <v>1</v>
      </c>
      <c r="C126" s="5">
        <v>0</v>
      </c>
      <c r="D126" s="5">
        <v>2</v>
      </c>
      <c r="E126" s="5">
        <v>0</v>
      </c>
      <c r="F126" s="5">
        <f>ROUND(F125*0.22,O126)</f>
        <v>28274.52</v>
      </c>
      <c r="G126" s="5" t="s">
        <v>27</v>
      </c>
      <c r="H126" s="5" t="s">
        <v>208</v>
      </c>
      <c r="I126" s="5"/>
      <c r="J126" s="5"/>
      <c r="K126" s="5">
        <v>212</v>
      </c>
      <c r="L126" s="5">
        <v>29</v>
      </c>
      <c r="M126" s="5">
        <v>0</v>
      </c>
      <c r="N126" s="5" t="s">
        <v>3</v>
      </c>
      <c r="O126" s="5">
        <v>2</v>
      </c>
      <c r="P126" s="5"/>
      <c r="Q126" s="5"/>
      <c r="R126" s="5"/>
      <c r="S126" s="5"/>
      <c r="T126" s="5"/>
      <c r="U126" s="5"/>
      <c r="V126" s="5"/>
      <c r="W126" s="5">
        <v>28274.52</v>
      </c>
      <c r="X126" s="5">
        <v>1</v>
      </c>
      <c r="Y126" s="5">
        <v>28274.52</v>
      </c>
      <c r="Z126" s="5"/>
      <c r="AA126" s="5"/>
      <c r="AB126" s="5"/>
    </row>
    <row r="127" spans="1:28" x14ac:dyDescent="0.2">
      <c r="A127" s="5">
        <v>50</v>
      </c>
      <c r="B127" s="5">
        <v>1</v>
      </c>
      <c r="C127" s="5">
        <v>0</v>
      </c>
      <c r="D127" s="5">
        <v>2</v>
      </c>
      <c r="E127" s="5">
        <v>213</v>
      </c>
      <c r="F127" s="5">
        <f>ROUND(F125+F126,O127)</f>
        <v>156795.07999999999</v>
      </c>
      <c r="G127" s="5" t="s">
        <v>76</v>
      </c>
      <c r="H127" s="5" t="s">
        <v>209</v>
      </c>
      <c r="I127" s="5"/>
      <c r="J127" s="5"/>
      <c r="K127" s="5">
        <v>212</v>
      </c>
      <c r="L127" s="5">
        <v>30</v>
      </c>
      <c r="M127" s="5">
        <v>0</v>
      </c>
      <c r="N127" s="5" t="s">
        <v>3</v>
      </c>
      <c r="O127" s="5">
        <v>2</v>
      </c>
      <c r="P127" s="5"/>
      <c r="Q127" s="5"/>
      <c r="R127" s="5"/>
      <c r="S127" s="5"/>
      <c r="T127" s="5"/>
      <c r="U127" s="5"/>
      <c r="V127" s="5"/>
      <c r="W127" s="5">
        <v>156795.07999999999</v>
      </c>
      <c r="X127" s="5">
        <v>1</v>
      </c>
      <c r="Y127" s="5">
        <v>156795.07999999999</v>
      </c>
      <c r="Z127" s="5"/>
      <c r="AA127" s="5"/>
      <c r="AB127" s="5"/>
    </row>
    <row r="130" spans="1:16" x14ac:dyDescent="0.2">
      <c r="A130">
        <v>70</v>
      </c>
      <c r="B130">
        <v>1</v>
      </c>
      <c r="D130">
        <v>1</v>
      </c>
      <c r="E130" t="s">
        <v>210</v>
      </c>
      <c r="F130" t="s">
        <v>211</v>
      </c>
      <c r="G130">
        <v>0</v>
      </c>
      <c r="H130">
        <v>0</v>
      </c>
      <c r="I130" t="s">
        <v>3</v>
      </c>
      <c r="J130">
        <v>1</v>
      </c>
      <c r="K130">
        <v>0</v>
      </c>
      <c r="L130" t="s">
        <v>3</v>
      </c>
      <c r="M130" t="s">
        <v>3</v>
      </c>
      <c r="N130">
        <v>0</v>
      </c>
      <c r="P130" t="s">
        <v>212</v>
      </c>
    </row>
    <row r="131" spans="1:16" x14ac:dyDescent="0.2">
      <c r="A131">
        <v>70</v>
      </c>
      <c r="B131">
        <v>1</v>
      </c>
      <c r="D131">
        <v>2</v>
      </c>
      <c r="E131" t="s">
        <v>213</v>
      </c>
      <c r="F131" t="s">
        <v>214</v>
      </c>
      <c r="G131">
        <v>1</v>
      </c>
      <c r="H131">
        <v>0</v>
      </c>
      <c r="I131" t="s">
        <v>3</v>
      </c>
      <c r="J131">
        <v>1</v>
      </c>
      <c r="K131">
        <v>0</v>
      </c>
      <c r="L131" t="s">
        <v>3</v>
      </c>
      <c r="M131" t="s">
        <v>3</v>
      </c>
      <c r="N131">
        <v>0</v>
      </c>
      <c r="P131" t="s">
        <v>215</v>
      </c>
    </row>
    <row r="132" spans="1:16" x14ac:dyDescent="0.2">
      <c r="A132">
        <v>70</v>
      </c>
      <c r="B132">
        <v>1</v>
      </c>
      <c r="D132">
        <v>3</v>
      </c>
      <c r="E132" t="s">
        <v>216</v>
      </c>
      <c r="F132" t="s">
        <v>217</v>
      </c>
      <c r="G132">
        <v>0</v>
      </c>
      <c r="H132">
        <v>0</v>
      </c>
      <c r="I132" t="s">
        <v>3</v>
      </c>
      <c r="J132">
        <v>1</v>
      </c>
      <c r="K132">
        <v>0</v>
      </c>
      <c r="L132" t="s">
        <v>3</v>
      </c>
      <c r="M132" t="s">
        <v>3</v>
      </c>
      <c r="N132">
        <v>0</v>
      </c>
      <c r="P132" t="s">
        <v>218</v>
      </c>
    </row>
    <row r="133" spans="1:16" x14ac:dyDescent="0.2">
      <c r="A133">
        <v>70</v>
      </c>
      <c r="B133">
        <v>1</v>
      </c>
      <c r="D133">
        <v>4</v>
      </c>
      <c r="E133" t="s">
        <v>219</v>
      </c>
      <c r="F133" t="s">
        <v>220</v>
      </c>
      <c r="G133">
        <v>1</v>
      </c>
      <c r="H133">
        <v>0</v>
      </c>
      <c r="I133" t="s">
        <v>3</v>
      </c>
      <c r="J133">
        <v>2</v>
      </c>
      <c r="K133">
        <v>0</v>
      </c>
      <c r="L133" t="s">
        <v>3</v>
      </c>
      <c r="M133" t="s">
        <v>3</v>
      </c>
      <c r="N133">
        <v>0</v>
      </c>
      <c r="P133" t="s">
        <v>3</v>
      </c>
    </row>
    <row r="134" spans="1:16" x14ac:dyDescent="0.2">
      <c r="A134">
        <v>70</v>
      </c>
      <c r="B134">
        <v>1</v>
      </c>
      <c r="D134">
        <v>5</v>
      </c>
      <c r="E134" t="s">
        <v>221</v>
      </c>
      <c r="F134" t="s">
        <v>222</v>
      </c>
      <c r="G134">
        <v>0</v>
      </c>
      <c r="H134">
        <v>0</v>
      </c>
      <c r="I134" t="s">
        <v>3</v>
      </c>
      <c r="J134">
        <v>2</v>
      </c>
      <c r="K134">
        <v>0</v>
      </c>
      <c r="L134" t="s">
        <v>3</v>
      </c>
      <c r="M134" t="s">
        <v>3</v>
      </c>
      <c r="N134">
        <v>0</v>
      </c>
      <c r="P134" t="s">
        <v>3</v>
      </c>
    </row>
    <row r="135" spans="1:16" x14ac:dyDescent="0.2">
      <c r="A135">
        <v>70</v>
      </c>
      <c r="B135">
        <v>1</v>
      </c>
      <c r="D135">
        <v>6</v>
      </c>
      <c r="E135" t="s">
        <v>223</v>
      </c>
      <c r="F135" t="s">
        <v>224</v>
      </c>
      <c r="G135">
        <v>0</v>
      </c>
      <c r="H135">
        <v>0</v>
      </c>
      <c r="I135" t="s">
        <v>3</v>
      </c>
      <c r="J135">
        <v>2</v>
      </c>
      <c r="K135">
        <v>0</v>
      </c>
      <c r="L135" t="s">
        <v>3</v>
      </c>
      <c r="M135" t="s">
        <v>3</v>
      </c>
      <c r="N135">
        <v>0</v>
      </c>
      <c r="P135" t="s">
        <v>3</v>
      </c>
    </row>
    <row r="136" spans="1:16" x14ac:dyDescent="0.2">
      <c r="A136">
        <v>70</v>
      </c>
      <c r="B136">
        <v>1</v>
      </c>
      <c r="D136">
        <v>7</v>
      </c>
      <c r="E136" t="s">
        <v>225</v>
      </c>
      <c r="F136" t="s">
        <v>226</v>
      </c>
      <c r="G136">
        <v>0</v>
      </c>
      <c r="H136">
        <v>0</v>
      </c>
      <c r="I136" t="s">
        <v>227</v>
      </c>
      <c r="J136">
        <v>0</v>
      </c>
      <c r="K136">
        <v>0</v>
      </c>
      <c r="L136" t="s">
        <v>3</v>
      </c>
      <c r="M136" t="s">
        <v>3</v>
      </c>
      <c r="N136">
        <v>0</v>
      </c>
      <c r="P136" t="s">
        <v>228</v>
      </c>
    </row>
    <row r="137" spans="1:16" x14ac:dyDescent="0.2">
      <c r="A137">
        <v>70</v>
      </c>
      <c r="B137">
        <v>1</v>
      </c>
      <c r="D137">
        <v>8</v>
      </c>
      <c r="E137" t="s">
        <v>229</v>
      </c>
      <c r="F137" t="s">
        <v>230</v>
      </c>
      <c r="G137">
        <v>1</v>
      </c>
      <c r="H137">
        <v>0</v>
      </c>
      <c r="I137" t="s">
        <v>3</v>
      </c>
      <c r="J137">
        <v>5</v>
      </c>
      <c r="K137">
        <v>0</v>
      </c>
      <c r="L137" t="s">
        <v>3</v>
      </c>
      <c r="M137" t="s">
        <v>3</v>
      </c>
      <c r="N137">
        <v>0</v>
      </c>
      <c r="P137" t="s">
        <v>3</v>
      </c>
    </row>
    <row r="138" spans="1:16" x14ac:dyDescent="0.2">
      <c r="A138">
        <v>70</v>
      </c>
      <c r="B138">
        <v>1</v>
      </c>
      <c r="D138">
        <v>9</v>
      </c>
      <c r="E138" t="s">
        <v>231</v>
      </c>
      <c r="F138" t="s">
        <v>232</v>
      </c>
      <c r="G138">
        <v>0</v>
      </c>
      <c r="H138">
        <v>0</v>
      </c>
      <c r="I138" t="s">
        <v>3</v>
      </c>
      <c r="J138">
        <v>5</v>
      </c>
      <c r="K138">
        <v>0</v>
      </c>
      <c r="L138" t="s">
        <v>3</v>
      </c>
      <c r="M138" t="s">
        <v>3</v>
      </c>
      <c r="N138">
        <v>0</v>
      </c>
      <c r="P138" t="s">
        <v>233</v>
      </c>
    </row>
    <row r="139" spans="1:16" x14ac:dyDescent="0.2">
      <c r="A139">
        <v>70</v>
      </c>
      <c r="B139">
        <v>1</v>
      </c>
      <c r="D139">
        <v>10</v>
      </c>
      <c r="E139" t="s">
        <v>234</v>
      </c>
      <c r="F139" t="s">
        <v>235</v>
      </c>
      <c r="G139">
        <v>0</v>
      </c>
      <c r="H139">
        <v>0</v>
      </c>
      <c r="I139" t="s">
        <v>236</v>
      </c>
      <c r="J139">
        <v>5</v>
      </c>
      <c r="K139">
        <v>0</v>
      </c>
      <c r="L139" t="s">
        <v>3</v>
      </c>
      <c r="M139" t="s">
        <v>3</v>
      </c>
      <c r="N139">
        <v>0</v>
      </c>
      <c r="P139" t="s">
        <v>237</v>
      </c>
    </row>
    <row r="140" spans="1:16" x14ac:dyDescent="0.2">
      <c r="A140">
        <v>70</v>
      </c>
      <c r="B140">
        <v>1</v>
      </c>
      <c r="D140">
        <v>11</v>
      </c>
      <c r="E140" t="s">
        <v>238</v>
      </c>
      <c r="F140" t="s">
        <v>239</v>
      </c>
      <c r="G140">
        <v>0</v>
      </c>
      <c r="H140">
        <v>0</v>
      </c>
      <c r="I140" t="s">
        <v>240</v>
      </c>
      <c r="J140">
        <v>0</v>
      </c>
      <c r="K140">
        <v>0</v>
      </c>
      <c r="L140" t="s">
        <v>3</v>
      </c>
      <c r="M140" t="s">
        <v>3</v>
      </c>
      <c r="N140">
        <v>0</v>
      </c>
      <c r="P140" t="s">
        <v>241</v>
      </c>
    </row>
    <row r="141" spans="1:16" x14ac:dyDescent="0.2">
      <c r="A141">
        <v>70</v>
      </c>
      <c r="B141">
        <v>1</v>
      </c>
      <c r="D141">
        <v>12</v>
      </c>
      <c r="E141" t="s">
        <v>242</v>
      </c>
      <c r="F141" t="s">
        <v>243</v>
      </c>
      <c r="G141">
        <v>0</v>
      </c>
      <c r="H141">
        <v>0</v>
      </c>
      <c r="I141" t="s">
        <v>244</v>
      </c>
      <c r="J141">
        <v>0</v>
      </c>
      <c r="K141">
        <v>0</v>
      </c>
      <c r="L141" t="s">
        <v>3</v>
      </c>
      <c r="M141" t="s">
        <v>3</v>
      </c>
      <c r="N141">
        <v>0</v>
      </c>
      <c r="P141" t="s">
        <v>245</v>
      </c>
    </row>
    <row r="142" spans="1:16" x14ac:dyDescent="0.2">
      <c r="A142">
        <v>70</v>
      </c>
      <c r="B142">
        <v>1</v>
      </c>
      <c r="D142">
        <v>13</v>
      </c>
      <c r="E142" t="s">
        <v>246</v>
      </c>
      <c r="F142" t="s">
        <v>247</v>
      </c>
      <c r="G142">
        <v>0</v>
      </c>
      <c r="H142">
        <v>0</v>
      </c>
      <c r="I142" t="s">
        <v>248</v>
      </c>
      <c r="J142">
        <v>0</v>
      </c>
      <c r="K142">
        <v>0</v>
      </c>
      <c r="L142" t="s">
        <v>3</v>
      </c>
      <c r="M142" t="s">
        <v>3</v>
      </c>
      <c r="N142">
        <v>0</v>
      </c>
      <c r="P142" t="s">
        <v>249</v>
      </c>
    </row>
    <row r="143" spans="1:16" x14ac:dyDescent="0.2">
      <c r="A143">
        <v>70</v>
      </c>
      <c r="B143">
        <v>1</v>
      </c>
      <c r="D143">
        <v>14</v>
      </c>
      <c r="E143" t="s">
        <v>250</v>
      </c>
      <c r="F143" t="s">
        <v>251</v>
      </c>
      <c r="G143">
        <v>0</v>
      </c>
      <c r="H143">
        <v>0</v>
      </c>
      <c r="I143" t="s">
        <v>3</v>
      </c>
      <c r="J143">
        <v>0</v>
      </c>
      <c r="K143">
        <v>0</v>
      </c>
      <c r="L143" t="s">
        <v>3</v>
      </c>
      <c r="M143" t="s">
        <v>3</v>
      </c>
      <c r="N143">
        <v>0</v>
      </c>
      <c r="P143" t="s">
        <v>3</v>
      </c>
    </row>
    <row r="144" spans="1:16" x14ac:dyDescent="0.2">
      <c r="A144">
        <v>70</v>
      </c>
      <c r="B144">
        <v>1</v>
      </c>
      <c r="D144">
        <v>15</v>
      </c>
      <c r="E144" t="s">
        <v>252</v>
      </c>
      <c r="F144" t="s">
        <v>253</v>
      </c>
      <c r="G144">
        <v>0</v>
      </c>
      <c r="H144">
        <v>0</v>
      </c>
      <c r="I144" t="s">
        <v>3</v>
      </c>
      <c r="J144">
        <v>0</v>
      </c>
      <c r="K144">
        <v>0</v>
      </c>
      <c r="L144" t="s">
        <v>3</v>
      </c>
      <c r="M144" t="s">
        <v>3</v>
      </c>
      <c r="N144">
        <v>0</v>
      </c>
      <c r="P144" t="s">
        <v>254</v>
      </c>
    </row>
    <row r="145" spans="1:50" x14ac:dyDescent="0.2">
      <c r="A145">
        <v>70</v>
      </c>
      <c r="B145">
        <v>1</v>
      </c>
      <c r="D145">
        <v>16</v>
      </c>
      <c r="E145" t="s">
        <v>255</v>
      </c>
      <c r="F145" t="s">
        <v>256</v>
      </c>
      <c r="G145">
        <v>0</v>
      </c>
      <c r="H145">
        <v>0</v>
      </c>
      <c r="I145" t="s">
        <v>3</v>
      </c>
      <c r="J145">
        <v>3</v>
      </c>
      <c r="K145">
        <v>0</v>
      </c>
      <c r="L145" t="s">
        <v>3</v>
      </c>
      <c r="M145" t="s">
        <v>3</v>
      </c>
      <c r="N145">
        <v>0</v>
      </c>
      <c r="P145" t="s">
        <v>3</v>
      </c>
    </row>
    <row r="146" spans="1:50" x14ac:dyDescent="0.2">
      <c r="A146">
        <v>70</v>
      </c>
      <c r="B146">
        <v>1</v>
      </c>
      <c r="D146">
        <v>17</v>
      </c>
      <c r="E146" t="s">
        <v>257</v>
      </c>
      <c r="F146" t="s">
        <v>258</v>
      </c>
      <c r="G146">
        <v>1</v>
      </c>
      <c r="H146">
        <v>0</v>
      </c>
      <c r="I146" t="s">
        <v>3</v>
      </c>
      <c r="J146">
        <v>3</v>
      </c>
      <c r="K146">
        <v>0</v>
      </c>
      <c r="L146" t="s">
        <v>3</v>
      </c>
      <c r="M146" t="s">
        <v>3</v>
      </c>
      <c r="N146">
        <v>0</v>
      </c>
      <c r="P146" t="s">
        <v>3</v>
      </c>
    </row>
    <row r="147" spans="1:50" x14ac:dyDescent="0.2">
      <c r="A147">
        <v>70</v>
      </c>
      <c r="B147">
        <v>1</v>
      </c>
      <c r="D147">
        <v>1</v>
      </c>
      <c r="E147" t="s">
        <v>259</v>
      </c>
      <c r="F147" t="s">
        <v>260</v>
      </c>
      <c r="G147">
        <v>0.9</v>
      </c>
      <c r="H147">
        <v>1</v>
      </c>
      <c r="I147" t="s">
        <v>261</v>
      </c>
      <c r="J147">
        <v>0</v>
      </c>
      <c r="K147">
        <v>0</v>
      </c>
      <c r="L147" t="s">
        <v>3</v>
      </c>
      <c r="M147" t="s">
        <v>3</v>
      </c>
      <c r="N147">
        <v>0</v>
      </c>
      <c r="P147" t="s">
        <v>262</v>
      </c>
    </row>
    <row r="148" spans="1:50" x14ac:dyDescent="0.2">
      <c r="A148">
        <v>70</v>
      </c>
      <c r="B148">
        <v>1</v>
      </c>
      <c r="D148">
        <v>2</v>
      </c>
      <c r="E148" t="s">
        <v>263</v>
      </c>
      <c r="F148" t="s">
        <v>264</v>
      </c>
      <c r="G148">
        <v>0.85</v>
      </c>
      <c r="H148">
        <v>1</v>
      </c>
      <c r="I148" t="s">
        <v>265</v>
      </c>
      <c r="J148">
        <v>0</v>
      </c>
      <c r="K148">
        <v>0</v>
      </c>
      <c r="L148" t="s">
        <v>3</v>
      </c>
      <c r="M148" t="s">
        <v>3</v>
      </c>
      <c r="N148">
        <v>0</v>
      </c>
      <c r="P148" t="s">
        <v>266</v>
      </c>
    </row>
    <row r="149" spans="1:50" x14ac:dyDescent="0.2">
      <c r="A149">
        <v>70</v>
      </c>
      <c r="B149">
        <v>1</v>
      </c>
      <c r="D149">
        <v>3</v>
      </c>
      <c r="E149" t="s">
        <v>267</v>
      </c>
      <c r="F149" t="s">
        <v>268</v>
      </c>
      <c r="G149">
        <v>1.03</v>
      </c>
      <c r="H149">
        <v>0</v>
      </c>
      <c r="I149" t="s">
        <v>3</v>
      </c>
      <c r="J149">
        <v>0</v>
      </c>
      <c r="K149">
        <v>0</v>
      </c>
      <c r="L149" t="s">
        <v>3</v>
      </c>
      <c r="M149" t="s">
        <v>3</v>
      </c>
      <c r="N149">
        <v>0</v>
      </c>
      <c r="P149" t="s">
        <v>269</v>
      </c>
    </row>
    <row r="150" spans="1:50" x14ac:dyDescent="0.2">
      <c r="A150">
        <v>70</v>
      </c>
      <c r="B150">
        <v>1</v>
      </c>
      <c r="D150">
        <v>4</v>
      </c>
      <c r="E150" t="s">
        <v>270</v>
      </c>
      <c r="F150" t="s">
        <v>271</v>
      </c>
      <c r="G150">
        <v>1.1499999999999999</v>
      </c>
      <c r="H150">
        <v>0</v>
      </c>
      <c r="I150" t="s">
        <v>3</v>
      </c>
      <c r="J150">
        <v>0</v>
      </c>
      <c r="K150">
        <v>0</v>
      </c>
      <c r="L150" t="s">
        <v>3</v>
      </c>
      <c r="M150" t="s">
        <v>3</v>
      </c>
      <c r="N150">
        <v>0</v>
      </c>
      <c r="P150" t="s">
        <v>272</v>
      </c>
    </row>
    <row r="151" spans="1:50" x14ac:dyDescent="0.2">
      <c r="A151">
        <v>70</v>
      </c>
      <c r="B151">
        <v>1</v>
      </c>
      <c r="D151">
        <v>5</v>
      </c>
      <c r="E151" t="s">
        <v>273</v>
      </c>
      <c r="F151" t="s">
        <v>274</v>
      </c>
      <c r="G151">
        <v>7</v>
      </c>
      <c r="H151">
        <v>0</v>
      </c>
      <c r="I151" t="s">
        <v>3</v>
      </c>
      <c r="J151">
        <v>0</v>
      </c>
      <c r="K151">
        <v>0</v>
      </c>
      <c r="L151" t="s">
        <v>3</v>
      </c>
      <c r="M151" t="s">
        <v>3</v>
      </c>
      <c r="N151">
        <v>0</v>
      </c>
      <c r="P151" t="s">
        <v>3</v>
      </c>
    </row>
    <row r="152" spans="1:50" x14ac:dyDescent="0.2">
      <c r="A152">
        <v>70</v>
      </c>
      <c r="B152">
        <v>1</v>
      </c>
      <c r="D152">
        <v>6</v>
      </c>
      <c r="E152" t="s">
        <v>275</v>
      </c>
      <c r="F152" t="s">
        <v>3</v>
      </c>
      <c r="G152">
        <v>2</v>
      </c>
      <c r="H152">
        <v>0</v>
      </c>
      <c r="I152" t="s">
        <v>3</v>
      </c>
      <c r="J152">
        <v>0</v>
      </c>
      <c r="K152">
        <v>0</v>
      </c>
      <c r="L152" t="s">
        <v>3</v>
      </c>
      <c r="M152" t="s">
        <v>3</v>
      </c>
      <c r="N152">
        <v>0</v>
      </c>
      <c r="P152" t="s">
        <v>3</v>
      </c>
    </row>
    <row r="154" spans="1:50" x14ac:dyDescent="0.2">
      <c r="A154">
        <v>-1</v>
      </c>
    </row>
    <row r="156" spans="1:50" x14ac:dyDescent="0.2">
      <c r="A156" s="4">
        <v>75</v>
      </c>
      <c r="B156" s="4" t="s">
        <v>276</v>
      </c>
      <c r="C156" s="4">
        <v>2026</v>
      </c>
      <c r="D156" s="4">
        <v>0</v>
      </c>
      <c r="E156" s="4">
        <v>6</v>
      </c>
      <c r="F156" s="4">
        <v>1</v>
      </c>
      <c r="G156" s="4">
        <v>0</v>
      </c>
      <c r="H156" s="4">
        <v>1</v>
      </c>
      <c r="I156" s="4">
        <v>0</v>
      </c>
      <c r="J156" s="4">
        <v>1</v>
      </c>
      <c r="K156" s="4">
        <v>0</v>
      </c>
      <c r="L156" s="4">
        <v>0</v>
      </c>
      <c r="M156" s="4">
        <v>0</v>
      </c>
      <c r="N156" s="4">
        <v>82813384</v>
      </c>
      <c r="O156" s="4">
        <v>1</v>
      </c>
    </row>
    <row r="157" spans="1:50" x14ac:dyDescent="0.2">
      <c r="A157" s="6">
        <v>2</v>
      </c>
      <c r="B157" s="6" t="s">
        <v>277</v>
      </c>
      <c r="C157" s="6" t="s">
        <v>278</v>
      </c>
      <c r="D157" s="6">
        <v>0</v>
      </c>
      <c r="E157" s="6">
        <v>0</v>
      </c>
      <c r="F157" s="6">
        <v>0</v>
      </c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>
        <v>82813385</v>
      </c>
    </row>
    <row r="158" spans="1:50" x14ac:dyDescent="0.2">
      <c r="A158" s="6">
        <v>1</v>
      </c>
      <c r="B158" s="6" t="s">
        <v>279</v>
      </c>
      <c r="C158" s="6" t="s">
        <v>280</v>
      </c>
      <c r="D158" s="6">
        <v>2026</v>
      </c>
      <c r="E158" s="6">
        <v>6</v>
      </c>
      <c r="F158" s="6">
        <v>1</v>
      </c>
      <c r="G158" s="6">
        <v>1</v>
      </c>
      <c r="H158" s="6">
        <v>0</v>
      </c>
      <c r="I158" s="6">
        <v>2</v>
      </c>
      <c r="J158" s="6">
        <v>1</v>
      </c>
      <c r="K158" s="6">
        <v>1</v>
      </c>
      <c r="L158" s="6">
        <v>1</v>
      </c>
      <c r="M158" s="6">
        <v>1</v>
      </c>
      <c r="N158" s="6">
        <v>1</v>
      </c>
      <c r="O158" s="6">
        <v>1</v>
      </c>
      <c r="P158" s="6">
        <v>1</v>
      </c>
      <c r="Q158" s="6">
        <v>1</v>
      </c>
      <c r="R158" s="6" t="s">
        <v>3</v>
      </c>
      <c r="S158" s="6" t="s">
        <v>3</v>
      </c>
      <c r="T158" s="6" t="s">
        <v>3</v>
      </c>
      <c r="U158" s="6" t="s">
        <v>3</v>
      </c>
      <c r="V158" s="6" t="s">
        <v>3</v>
      </c>
      <c r="W158" s="6" t="s">
        <v>3</v>
      </c>
      <c r="X158" s="6" t="s">
        <v>3</v>
      </c>
      <c r="Y158" s="6" t="s">
        <v>3</v>
      </c>
      <c r="Z158" s="6" t="s">
        <v>3</v>
      </c>
      <c r="AA158" s="6" t="s">
        <v>3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>
        <v>82813386</v>
      </c>
      <c r="AO158" s="6" t="s">
        <v>281</v>
      </c>
      <c r="AP158" s="6" t="s">
        <v>282</v>
      </c>
      <c r="AQ158" s="6">
        <v>46164</v>
      </c>
      <c r="AR158" s="6">
        <v>417</v>
      </c>
      <c r="AS158" s="6" t="s">
        <v>283</v>
      </c>
      <c r="AT158" s="6" t="s">
        <v>3</v>
      </c>
      <c r="AU158" s="6" t="s">
        <v>282</v>
      </c>
      <c r="AV158" s="6">
        <v>45957</v>
      </c>
      <c r="AW158" s="6">
        <v>23615</v>
      </c>
      <c r="AX158" s="6" t="s">
        <v>284</v>
      </c>
    </row>
    <row r="162" spans="1:5" x14ac:dyDescent="0.2">
      <c r="A162">
        <v>65</v>
      </c>
      <c r="C162">
        <v>1</v>
      </c>
      <c r="D162">
        <v>0</v>
      </c>
      <c r="E162">
        <v>245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6"/>
  <sheetViews>
    <sheetView workbookViewId="0"/>
  </sheetViews>
  <sheetFormatPr defaultColWidth="9.140625" defaultRowHeight="12.75" x14ac:dyDescent="0.2"/>
  <cols>
    <col min="1" max="256" width="9.140625" style="2" customWidth="1"/>
    <col min="257" max="16384" width="9.140625" style="2"/>
  </cols>
  <sheetData>
    <row r="1" spans="1:133" x14ac:dyDescent="0.2">
      <c r="A1" s="2">
        <v>0</v>
      </c>
      <c r="B1" s="2" t="s">
        <v>0</v>
      </c>
      <c r="D1" s="2" t="s">
        <v>285</v>
      </c>
      <c r="F1" s="2">
        <v>0</v>
      </c>
      <c r="G1" s="2">
        <v>0</v>
      </c>
      <c r="H1" s="2">
        <v>0</v>
      </c>
      <c r="I1" s="2" t="s">
        <v>2</v>
      </c>
      <c r="J1" s="2" t="s">
        <v>3</v>
      </c>
      <c r="K1" s="2">
        <v>1</v>
      </c>
      <c r="L1" s="2">
        <v>67728</v>
      </c>
      <c r="M1" s="2">
        <v>10</v>
      </c>
      <c r="N1" s="2">
        <v>12</v>
      </c>
      <c r="O1" s="2">
        <v>1</v>
      </c>
      <c r="P1" s="2">
        <v>0</v>
      </c>
      <c r="Q1" s="2">
        <v>5</v>
      </c>
    </row>
    <row r="12" spans="1:133" x14ac:dyDescent="0.2">
      <c r="A12" s="8">
        <v>1</v>
      </c>
      <c r="B12" s="8">
        <v>54</v>
      </c>
      <c r="C12" s="8">
        <v>0</v>
      </c>
      <c r="D12" s="8"/>
      <c r="E12" s="8">
        <v>0</v>
      </c>
      <c r="F12" s="8" t="s">
        <v>4</v>
      </c>
      <c r="G12" s="8" t="s">
        <v>5</v>
      </c>
      <c r="H12" s="8" t="s">
        <v>3</v>
      </c>
      <c r="I12" s="8">
        <v>0</v>
      </c>
      <c r="J12" s="8" t="s">
        <v>3</v>
      </c>
      <c r="K12" s="8">
        <v>0</v>
      </c>
      <c r="L12" s="8">
        <v>0</v>
      </c>
      <c r="M12" s="8">
        <v>523</v>
      </c>
      <c r="N12" s="8"/>
      <c r="O12" s="8">
        <v>0</v>
      </c>
      <c r="P12" s="8">
        <v>0</v>
      </c>
      <c r="Q12" s="8">
        <v>7</v>
      </c>
      <c r="R12" s="8">
        <v>0</v>
      </c>
      <c r="S12" s="8"/>
      <c r="T12" s="8">
        <v>4</v>
      </c>
      <c r="U12" s="8" t="s">
        <v>3</v>
      </c>
      <c r="V12" s="8">
        <v>0</v>
      </c>
      <c r="W12" s="8" t="s">
        <v>3</v>
      </c>
      <c r="X12" s="8" t="s">
        <v>3</v>
      </c>
      <c r="Y12" s="8" t="s">
        <v>3</v>
      </c>
      <c r="Z12" s="8" t="s">
        <v>3</v>
      </c>
      <c r="AA12" s="8" t="s">
        <v>3</v>
      </c>
      <c r="AB12" s="8" t="s">
        <v>3</v>
      </c>
      <c r="AC12" s="8" t="s">
        <v>3</v>
      </c>
      <c r="AD12" s="8" t="s">
        <v>3</v>
      </c>
      <c r="AE12" s="8" t="s">
        <v>3</v>
      </c>
      <c r="AF12" s="8" t="s">
        <v>3</v>
      </c>
      <c r="AG12" s="8" t="s">
        <v>3</v>
      </c>
      <c r="AH12" s="8" t="s">
        <v>3</v>
      </c>
      <c r="AI12" s="8" t="s">
        <v>3</v>
      </c>
      <c r="AJ12" s="8" t="s">
        <v>3</v>
      </c>
      <c r="AK12" s="8"/>
      <c r="AL12" s="8" t="s">
        <v>3</v>
      </c>
      <c r="AM12" s="8" t="s">
        <v>3</v>
      </c>
      <c r="AN12" s="8" t="s">
        <v>3</v>
      </c>
      <c r="AO12" s="8"/>
      <c r="AP12" s="8" t="s">
        <v>3</v>
      </c>
      <c r="AQ12" s="8" t="s">
        <v>3</v>
      </c>
      <c r="AR12" s="8" t="s">
        <v>3</v>
      </c>
      <c r="AS12" s="8"/>
      <c r="AT12" s="8"/>
      <c r="AU12" s="8"/>
      <c r="AV12" s="8"/>
      <c r="AW12" s="8"/>
      <c r="AX12" s="8" t="s">
        <v>3</v>
      </c>
      <c r="AY12" s="8" t="s">
        <v>3</v>
      </c>
      <c r="AZ12" s="8" t="s">
        <v>3</v>
      </c>
      <c r="BA12" s="8"/>
      <c r="BB12" s="8">
        <v>0</v>
      </c>
      <c r="BC12" s="8"/>
      <c r="BD12" s="8"/>
      <c r="BE12" s="8"/>
      <c r="BF12" s="8"/>
      <c r="BG12" s="8"/>
      <c r="BH12" s="8" t="s">
        <v>6</v>
      </c>
      <c r="BI12" s="8" t="s">
        <v>7</v>
      </c>
      <c r="BJ12" s="8">
        <v>1</v>
      </c>
      <c r="BK12" s="8">
        <v>1</v>
      </c>
      <c r="BL12" s="8">
        <v>0</v>
      </c>
      <c r="BM12" s="8">
        <v>0</v>
      </c>
      <c r="BN12" s="8">
        <v>1</v>
      </c>
      <c r="BO12" s="8">
        <v>0</v>
      </c>
      <c r="BP12" s="8">
        <v>6</v>
      </c>
      <c r="BQ12" s="8">
        <v>2</v>
      </c>
      <c r="BR12" s="8">
        <v>1</v>
      </c>
      <c r="BS12" s="8">
        <v>1</v>
      </c>
      <c r="BT12" s="8">
        <v>0</v>
      </c>
      <c r="BU12" s="8">
        <v>0</v>
      </c>
      <c r="BV12" s="8">
        <v>0</v>
      </c>
      <c r="BW12" s="8">
        <v>0</v>
      </c>
      <c r="BX12" s="8">
        <v>0</v>
      </c>
      <c r="BY12" s="8" t="s">
        <v>8</v>
      </c>
      <c r="BZ12" s="8" t="s">
        <v>9</v>
      </c>
      <c r="CA12" s="8" t="s">
        <v>10</v>
      </c>
      <c r="CB12" s="8" t="s">
        <v>10</v>
      </c>
      <c r="CC12" s="8" t="s">
        <v>10</v>
      </c>
      <c r="CD12" s="8" t="s">
        <v>10</v>
      </c>
      <c r="CE12" s="8" t="s">
        <v>11</v>
      </c>
      <c r="CF12" s="8">
        <v>0</v>
      </c>
      <c r="CG12" s="8">
        <v>0</v>
      </c>
      <c r="CH12" s="8">
        <v>487096328</v>
      </c>
      <c r="CI12" s="8" t="s">
        <v>3</v>
      </c>
      <c r="CJ12" s="8" t="s">
        <v>3</v>
      </c>
      <c r="CK12" s="8">
        <v>18</v>
      </c>
      <c r="CL12" s="8"/>
      <c r="CM12" s="8"/>
      <c r="CN12" s="8"/>
      <c r="CO12" s="8"/>
      <c r="CP12" s="8"/>
      <c r="CQ12" s="8" t="s">
        <v>12</v>
      </c>
      <c r="CR12" s="8" t="s">
        <v>13</v>
      </c>
      <c r="CS12" s="8">
        <v>46161</v>
      </c>
      <c r="CT12" s="8">
        <v>567</v>
      </c>
      <c r="CU12" s="8">
        <v>18</v>
      </c>
      <c r="CV12" s="8" t="s">
        <v>423</v>
      </c>
      <c r="CW12" s="8"/>
      <c r="CX12" s="8"/>
      <c r="CY12" s="8">
        <v>0</v>
      </c>
      <c r="CZ12" s="8" t="s">
        <v>3</v>
      </c>
      <c r="DA12" s="8" t="s">
        <v>3</v>
      </c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>
        <v>0</v>
      </c>
    </row>
    <row r="14" spans="1:133" x14ac:dyDescent="0.2">
      <c r="A14" s="8">
        <v>22</v>
      </c>
      <c r="B14" s="8">
        <v>1</v>
      </c>
      <c r="C14" s="8">
        <v>0</v>
      </c>
      <c r="D14" s="8">
        <v>82813384</v>
      </c>
      <c r="E14" s="8">
        <v>0</v>
      </c>
      <c r="F14" s="8">
        <v>2</v>
      </c>
      <c r="G14" s="8">
        <v>1</v>
      </c>
      <c r="H14" s="8"/>
      <c r="I14" s="8"/>
      <c r="J14" s="8"/>
      <c r="K14" s="8"/>
      <c r="L14" s="8"/>
      <c r="M14" s="8"/>
      <c r="N14" s="8"/>
      <c r="O14" s="8"/>
    </row>
    <row r="16" spans="1:133" x14ac:dyDescent="0.2">
      <c r="A16" s="9">
        <v>3</v>
      </c>
      <c r="B16" s="9">
        <v>1</v>
      </c>
      <c r="C16" s="9" t="s">
        <v>14</v>
      </c>
      <c r="D16" s="9" t="s">
        <v>5</v>
      </c>
      <c r="E16" s="10">
        <f>ROUND((Source!F80)/1000,2)</f>
        <v>128.52000000000001</v>
      </c>
      <c r="F16" s="10">
        <f>ROUND((Source!F81)/1000,2)</f>
        <v>0</v>
      </c>
      <c r="G16" s="10">
        <f>ROUND((Source!F72)/1000,2)</f>
        <v>0</v>
      </c>
      <c r="H16" s="10">
        <f>ROUND((Source!F82)/1000+(Source!F83)/1000,2)</f>
        <v>0</v>
      </c>
      <c r="I16" s="10">
        <f>E16+F16+G16+H16</f>
        <v>128.52000000000001</v>
      </c>
      <c r="J16" s="10">
        <f>ROUND((Source!F78+Source!F77)/1000,2)</f>
        <v>42.57</v>
      </c>
      <c r="K16" s="10">
        <v>80.95</v>
      </c>
      <c r="L16" s="10">
        <v>0</v>
      </c>
      <c r="M16" s="10">
        <v>0</v>
      </c>
      <c r="N16" s="10">
        <f>I16+L16+M16</f>
        <v>128.52000000000001</v>
      </c>
      <c r="AI16" s="9">
        <v>0</v>
      </c>
      <c r="AJ16" s="9">
        <v>-1</v>
      </c>
      <c r="AK16" s="9" t="s">
        <v>3</v>
      </c>
      <c r="AL16" s="9" t="s">
        <v>3</v>
      </c>
      <c r="AM16" s="9" t="s">
        <v>3</v>
      </c>
      <c r="AN16" s="9">
        <v>0</v>
      </c>
      <c r="AO16" s="9" t="s">
        <v>3</v>
      </c>
      <c r="AP16" s="9" t="s">
        <v>3</v>
      </c>
      <c r="AT16" s="10">
        <v>62193.24</v>
      </c>
      <c r="AU16" s="10">
        <v>18760.73</v>
      </c>
      <c r="AV16" s="10">
        <v>0</v>
      </c>
      <c r="AW16" s="10">
        <v>0</v>
      </c>
      <c r="AX16" s="10">
        <v>0</v>
      </c>
      <c r="AY16" s="10">
        <v>864.65</v>
      </c>
      <c r="AZ16" s="10">
        <v>778.03</v>
      </c>
      <c r="BA16" s="10">
        <v>41789.83</v>
      </c>
      <c r="BB16" s="10">
        <v>128520.56</v>
      </c>
      <c r="BC16" s="10">
        <v>0</v>
      </c>
      <c r="BD16" s="10">
        <v>0</v>
      </c>
      <c r="BE16" s="10">
        <v>0</v>
      </c>
      <c r="BF16" s="10">
        <v>56.871787500000003</v>
      </c>
      <c r="BG16" s="10">
        <v>1.0361251</v>
      </c>
      <c r="BH16" s="10">
        <v>0</v>
      </c>
      <c r="BI16" s="10">
        <v>43036.99</v>
      </c>
      <c r="BJ16" s="10">
        <v>23290.33</v>
      </c>
      <c r="BK16" s="10">
        <v>156795.07999999999</v>
      </c>
    </row>
    <row r="18" spans="1:16" x14ac:dyDescent="0.2">
      <c r="A18" s="2">
        <v>51</v>
      </c>
      <c r="E18" s="2">
        <v>128.52000000000001</v>
      </c>
      <c r="F18" s="2">
        <v>0</v>
      </c>
      <c r="G18" s="2">
        <v>0</v>
      </c>
      <c r="H18" s="2">
        <v>0</v>
      </c>
      <c r="I18" s="2">
        <v>128.52000000000001</v>
      </c>
      <c r="J18" s="2">
        <v>42.57</v>
      </c>
      <c r="K18" s="2">
        <v>80.95</v>
      </c>
      <c r="L18" s="2">
        <v>0</v>
      </c>
      <c r="M18" s="2">
        <v>0</v>
      </c>
      <c r="N18" s="2">
        <v>128.52000000000001</v>
      </c>
    </row>
    <row r="20" spans="1:16" x14ac:dyDescent="0.2">
      <c r="A20" s="11">
        <v>50</v>
      </c>
      <c r="B20" s="11">
        <v>0</v>
      </c>
      <c r="C20" s="11">
        <v>0</v>
      </c>
      <c r="D20" s="11">
        <v>1</v>
      </c>
      <c r="E20" s="11">
        <v>201</v>
      </c>
      <c r="F20" s="11">
        <v>62193.24</v>
      </c>
      <c r="G20" s="11" t="s">
        <v>154</v>
      </c>
      <c r="H20" s="11" t="s">
        <v>155</v>
      </c>
      <c r="I20" s="11"/>
      <c r="J20" s="11"/>
      <c r="K20" s="11">
        <v>201</v>
      </c>
      <c r="L20" s="11">
        <v>1</v>
      </c>
      <c r="M20" s="11">
        <v>3</v>
      </c>
      <c r="N20" s="11" t="s">
        <v>3</v>
      </c>
      <c r="O20" s="11">
        <v>2</v>
      </c>
      <c r="P20" s="11"/>
    </row>
    <row r="21" spans="1:16" x14ac:dyDescent="0.2">
      <c r="A21" s="11">
        <v>50</v>
      </c>
      <c r="B21" s="11">
        <v>0</v>
      </c>
      <c r="C21" s="11">
        <v>0</v>
      </c>
      <c r="D21" s="11">
        <v>1</v>
      </c>
      <c r="E21" s="11">
        <v>202</v>
      </c>
      <c r="F21" s="11">
        <v>18760.73</v>
      </c>
      <c r="G21" s="11" t="s">
        <v>156</v>
      </c>
      <c r="H21" s="11" t="s">
        <v>157</v>
      </c>
      <c r="I21" s="11"/>
      <c r="J21" s="11"/>
      <c r="K21" s="11">
        <v>202</v>
      </c>
      <c r="L21" s="11">
        <v>2</v>
      </c>
      <c r="M21" s="11">
        <v>3</v>
      </c>
      <c r="N21" s="11" t="s">
        <v>3</v>
      </c>
      <c r="O21" s="11">
        <v>2</v>
      </c>
      <c r="P21" s="11"/>
    </row>
    <row r="22" spans="1:16" x14ac:dyDescent="0.2">
      <c r="A22" s="11">
        <v>50</v>
      </c>
      <c r="B22" s="11">
        <v>0</v>
      </c>
      <c r="C22" s="11">
        <v>0</v>
      </c>
      <c r="D22" s="11">
        <v>1</v>
      </c>
      <c r="E22" s="11">
        <v>222</v>
      </c>
      <c r="F22" s="11">
        <v>0</v>
      </c>
      <c r="G22" s="11" t="s">
        <v>158</v>
      </c>
      <c r="H22" s="11" t="s">
        <v>159</v>
      </c>
      <c r="I22" s="11"/>
      <c r="J22" s="11"/>
      <c r="K22" s="11">
        <v>222</v>
      </c>
      <c r="L22" s="11">
        <v>3</v>
      </c>
      <c r="M22" s="11">
        <v>3</v>
      </c>
      <c r="N22" s="11" t="s">
        <v>3</v>
      </c>
      <c r="O22" s="11">
        <v>2</v>
      </c>
      <c r="P22" s="11"/>
    </row>
    <row r="23" spans="1:16" x14ac:dyDescent="0.2">
      <c r="A23" s="11">
        <v>50</v>
      </c>
      <c r="B23" s="11">
        <v>0</v>
      </c>
      <c r="C23" s="11">
        <v>0</v>
      </c>
      <c r="D23" s="11">
        <v>1</v>
      </c>
      <c r="E23" s="11">
        <v>225</v>
      </c>
      <c r="F23" s="11">
        <v>18760.73</v>
      </c>
      <c r="G23" s="11" t="s">
        <v>160</v>
      </c>
      <c r="H23" s="11" t="s">
        <v>161</v>
      </c>
      <c r="I23" s="11"/>
      <c r="J23" s="11"/>
      <c r="K23" s="11">
        <v>225</v>
      </c>
      <c r="L23" s="11">
        <v>4</v>
      </c>
      <c r="M23" s="11">
        <v>3</v>
      </c>
      <c r="N23" s="11" t="s">
        <v>3</v>
      </c>
      <c r="O23" s="11">
        <v>2</v>
      </c>
      <c r="P23" s="11"/>
    </row>
    <row r="24" spans="1:16" x14ac:dyDescent="0.2">
      <c r="A24" s="11">
        <v>50</v>
      </c>
      <c r="B24" s="11">
        <v>0</v>
      </c>
      <c r="C24" s="11">
        <v>0</v>
      </c>
      <c r="D24" s="11">
        <v>1</v>
      </c>
      <c r="E24" s="11">
        <v>226</v>
      </c>
      <c r="F24" s="11">
        <v>18760.73</v>
      </c>
      <c r="G24" s="11" t="s">
        <v>162</v>
      </c>
      <c r="H24" s="11" t="s">
        <v>163</v>
      </c>
      <c r="I24" s="11"/>
      <c r="J24" s="11"/>
      <c r="K24" s="11">
        <v>226</v>
      </c>
      <c r="L24" s="11">
        <v>5</v>
      </c>
      <c r="M24" s="11">
        <v>3</v>
      </c>
      <c r="N24" s="11" t="s">
        <v>3</v>
      </c>
      <c r="O24" s="11">
        <v>2</v>
      </c>
      <c r="P24" s="11"/>
    </row>
    <row r="25" spans="1:16" x14ac:dyDescent="0.2">
      <c r="A25" s="11">
        <v>50</v>
      </c>
      <c r="B25" s="11">
        <v>0</v>
      </c>
      <c r="C25" s="11">
        <v>0</v>
      </c>
      <c r="D25" s="11">
        <v>1</v>
      </c>
      <c r="E25" s="11">
        <v>227</v>
      </c>
      <c r="F25" s="11">
        <v>0</v>
      </c>
      <c r="G25" s="11" t="s">
        <v>164</v>
      </c>
      <c r="H25" s="11" t="s">
        <v>165</v>
      </c>
      <c r="I25" s="11"/>
      <c r="J25" s="11"/>
      <c r="K25" s="11">
        <v>227</v>
      </c>
      <c r="L25" s="11">
        <v>6</v>
      </c>
      <c r="M25" s="11">
        <v>3</v>
      </c>
      <c r="N25" s="11" t="s">
        <v>3</v>
      </c>
      <c r="O25" s="11">
        <v>2</v>
      </c>
      <c r="P25" s="11"/>
    </row>
    <row r="26" spans="1:16" x14ac:dyDescent="0.2">
      <c r="A26" s="11">
        <v>50</v>
      </c>
      <c r="B26" s="11">
        <v>0</v>
      </c>
      <c r="C26" s="11">
        <v>0</v>
      </c>
      <c r="D26" s="11">
        <v>1</v>
      </c>
      <c r="E26" s="11">
        <v>228</v>
      </c>
      <c r="F26" s="11">
        <v>18760.73</v>
      </c>
      <c r="G26" s="11" t="s">
        <v>166</v>
      </c>
      <c r="H26" s="11" t="s">
        <v>167</v>
      </c>
      <c r="I26" s="11"/>
      <c r="J26" s="11"/>
      <c r="K26" s="11">
        <v>228</v>
      </c>
      <c r="L26" s="11">
        <v>7</v>
      </c>
      <c r="M26" s="11">
        <v>3</v>
      </c>
      <c r="N26" s="11" t="s">
        <v>3</v>
      </c>
      <c r="O26" s="11">
        <v>2</v>
      </c>
      <c r="P26" s="11"/>
    </row>
    <row r="27" spans="1:16" x14ac:dyDescent="0.2">
      <c r="A27" s="11">
        <v>50</v>
      </c>
      <c r="B27" s="11">
        <v>0</v>
      </c>
      <c r="C27" s="11">
        <v>0</v>
      </c>
      <c r="D27" s="11">
        <v>1</v>
      </c>
      <c r="E27" s="11">
        <v>216</v>
      </c>
      <c r="F27" s="11">
        <v>0</v>
      </c>
      <c r="G27" s="11" t="s">
        <v>168</v>
      </c>
      <c r="H27" s="11" t="s">
        <v>169</v>
      </c>
      <c r="I27" s="11"/>
      <c r="J27" s="11"/>
      <c r="K27" s="11">
        <v>216</v>
      </c>
      <c r="L27" s="11">
        <v>8</v>
      </c>
      <c r="M27" s="11">
        <v>3</v>
      </c>
      <c r="N27" s="11" t="s">
        <v>3</v>
      </c>
      <c r="O27" s="11">
        <v>2</v>
      </c>
      <c r="P27" s="11"/>
    </row>
    <row r="28" spans="1:16" x14ac:dyDescent="0.2">
      <c r="A28" s="11">
        <v>50</v>
      </c>
      <c r="B28" s="11">
        <v>0</v>
      </c>
      <c r="C28" s="11">
        <v>0</v>
      </c>
      <c r="D28" s="11">
        <v>1</v>
      </c>
      <c r="E28" s="11">
        <v>223</v>
      </c>
      <c r="F28" s="11">
        <v>0</v>
      </c>
      <c r="G28" s="11" t="s">
        <v>170</v>
      </c>
      <c r="H28" s="11" t="s">
        <v>171</v>
      </c>
      <c r="I28" s="11"/>
      <c r="J28" s="11"/>
      <c r="K28" s="11">
        <v>223</v>
      </c>
      <c r="L28" s="11">
        <v>9</v>
      </c>
      <c r="M28" s="11">
        <v>3</v>
      </c>
      <c r="N28" s="11" t="s">
        <v>3</v>
      </c>
      <c r="O28" s="11">
        <v>2</v>
      </c>
      <c r="P28" s="11"/>
    </row>
    <row r="29" spans="1:16" x14ac:dyDescent="0.2">
      <c r="A29" s="11">
        <v>50</v>
      </c>
      <c r="B29" s="11">
        <v>0</v>
      </c>
      <c r="C29" s="11">
        <v>0</v>
      </c>
      <c r="D29" s="11">
        <v>1</v>
      </c>
      <c r="E29" s="11">
        <v>229</v>
      </c>
      <c r="F29" s="11">
        <v>0</v>
      </c>
      <c r="G29" s="11" t="s">
        <v>172</v>
      </c>
      <c r="H29" s="11" t="s">
        <v>173</v>
      </c>
      <c r="I29" s="11"/>
      <c r="J29" s="11"/>
      <c r="K29" s="11">
        <v>229</v>
      </c>
      <c r="L29" s="11">
        <v>10</v>
      </c>
      <c r="M29" s="11">
        <v>3</v>
      </c>
      <c r="N29" s="11" t="s">
        <v>3</v>
      </c>
      <c r="O29" s="11">
        <v>2</v>
      </c>
      <c r="P29" s="11"/>
    </row>
    <row r="30" spans="1:16" x14ac:dyDescent="0.2">
      <c r="A30" s="11">
        <v>50</v>
      </c>
      <c r="B30" s="11">
        <v>0</v>
      </c>
      <c r="C30" s="11">
        <v>0</v>
      </c>
      <c r="D30" s="11">
        <v>1</v>
      </c>
      <c r="E30" s="11">
        <v>203</v>
      </c>
      <c r="F30" s="11">
        <v>864.65</v>
      </c>
      <c r="G30" s="11" t="s">
        <v>174</v>
      </c>
      <c r="H30" s="11" t="s">
        <v>175</v>
      </c>
      <c r="I30" s="11"/>
      <c r="J30" s="11"/>
      <c r="K30" s="11">
        <v>203</v>
      </c>
      <c r="L30" s="11">
        <v>11</v>
      </c>
      <c r="M30" s="11">
        <v>3</v>
      </c>
      <c r="N30" s="11" t="s">
        <v>3</v>
      </c>
      <c r="O30" s="11">
        <v>2</v>
      </c>
      <c r="P30" s="11"/>
    </row>
    <row r="31" spans="1:16" x14ac:dyDescent="0.2">
      <c r="A31" s="11">
        <v>50</v>
      </c>
      <c r="B31" s="11">
        <v>0</v>
      </c>
      <c r="C31" s="11">
        <v>0</v>
      </c>
      <c r="D31" s="11">
        <v>1</v>
      </c>
      <c r="E31" s="11">
        <v>231</v>
      </c>
      <c r="F31" s="11">
        <v>0</v>
      </c>
      <c r="G31" s="11" t="s">
        <v>176</v>
      </c>
      <c r="H31" s="11" t="s">
        <v>177</v>
      </c>
      <c r="I31" s="11"/>
      <c r="J31" s="11"/>
      <c r="K31" s="11">
        <v>231</v>
      </c>
      <c r="L31" s="11">
        <v>12</v>
      </c>
      <c r="M31" s="11">
        <v>3</v>
      </c>
      <c r="N31" s="11" t="s">
        <v>3</v>
      </c>
      <c r="O31" s="11">
        <v>2</v>
      </c>
      <c r="P31" s="11"/>
    </row>
    <row r="32" spans="1:16" x14ac:dyDescent="0.2">
      <c r="A32" s="11">
        <v>50</v>
      </c>
      <c r="B32" s="11">
        <v>0</v>
      </c>
      <c r="C32" s="11">
        <v>0</v>
      </c>
      <c r="D32" s="11">
        <v>1</v>
      </c>
      <c r="E32" s="11">
        <v>204</v>
      </c>
      <c r="F32" s="11">
        <v>778.03</v>
      </c>
      <c r="G32" s="11" t="s">
        <v>178</v>
      </c>
      <c r="H32" s="11" t="s">
        <v>179</v>
      </c>
      <c r="I32" s="11"/>
      <c r="J32" s="11"/>
      <c r="K32" s="11">
        <v>204</v>
      </c>
      <c r="L32" s="11">
        <v>13</v>
      </c>
      <c r="M32" s="11">
        <v>3</v>
      </c>
      <c r="N32" s="11" t="s">
        <v>3</v>
      </c>
      <c r="O32" s="11">
        <v>2</v>
      </c>
      <c r="P32" s="11"/>
    </row>
    <row r="33" spans="1:16" x14ac:dyDescent="0.2">
      <c r="A33" s="11">
        <v>50</v>
      </c>
      <c r="B33" s="11">
        <v>0</v>
      </c>
      <c r="C33" s="11">
        <v>0</v>
      </c>
      <c r="D33" s="11">
        <v>1</v>
      </c>
      <c r="E33" s="11">
        <v>205</v>
      </c>
      <c r="F33" s="11">
        <v>41789.83</v>
      </c>
      <c r="G33" s="11" t="s">
        <v>180</v>
      </c>
      <c r="H33" s="11" t="s">
        <v>181</v>
      </c>
      <c r="I33" s="11"/>
      <c r="J33" s="11"/>
      <c r="K33" s="11">
        <v>205</v>
      </c>
      <c r="L33" s="11">
        <v>14</v>
      </c>
      <c r="M33" s="11">
        <v>3</v>
      </c>
      <c r="N33" s="11" t="s">
        <v>3</v>
      </c>
      <c r="O33" s="11">
        <v>2</v>
      </c>
      <c r="P33" s="11"/>
    </row>
    <row r="34" spans="1:16" x14ac:dyDescent="0.2">
      <c r="A34" s="11">
        <v>50</v>
      </c>
      <c r="B34" s="11">
        <v>0</v>
      </c>
      <c r="C34" s="11">
        <v>0</v>
      </c>
      <c r="D34" s="11">
        <v>1</v>
      </c>
      <c r="E34" s="11">
        <v>232</v>
      </c>
      <c r="F34" s="11">
        <v>0</v>
      </c>
      <c r="G34" s="11" t="s">
        <v>182</v>
      </c>
      <c r="H34" s="11" t="s">
        <v>183</v>
      </c>
      <c r="I34" s="11"/>
      <c r="J34" s="11"/>
      <c r="K34" s="11">
        <v>232</v>
      </c>
      <c r="L34" s="11">
        <v>15</v>
      </c>
      <c r="M34" s="11">
        <v>3</v>
      </c>
      <c r="N34" s="11" t="s">
        <v>3</v>
      </c>
      <c r="O34" s="11">
        <v>2</v>
      </c>
      <c r="P34" s="11"/>
    </row>
    <row r="35" spans="1:16" x14ac:dyDescent="0.2">
      <c r="A35" s="11">
        <v>50</v>
      </c>
      <c r="B35" s="11">
        <v>0</v>
      </c>
      <c r="C35" s="11">
        <v>0</v>
      </c>
      <c r="D35" s="11">
        <v>1</v>
      </c>
      <c r="E35" s="11">
        <v>214</v>
      </c>
      <c r="F35" s="11">
        <v>128520.56</v>
      </c>
      <c r="G35" s="11" t="s">
        <v>184</v>
      </c>
      <c r="H35" s="11" t="s">
        <v>185</v>
      </c>
      <c r="I35" s="11"/>
      <c r="J35" s="11"/>
      <c r="K35" s="11">
        <v>214</v>
      </c>
      <c r="L35" s="11">
        <v>16</v>
      </c>
      <c r="M35" s="11">
        <v>3</v>
      </c>
      <c r="N35" s="11" t="s">
        <v>3</v>
      </c>
      <c r="O35" s="11">
        <v>2</v>
      </c>
      <c r="P35" s="11"/>
    </row>
    <row r="36" spans="1:16" x14ac:dyDescent="0.2">
      <c r="A36" s="11">
        <v>50</v>
      </c>
      <c r="B36" s="11">
        <v>0</v>
      </c>
      <c r="C36" s="11">
        <v>0</v>
      </c>
      <c r="D36" s="11">
        <v>1</v>
      </c>
      <c r="E36" s="11">
        <v>215</v>
      </c>
      <c r="F36" s="11">
        <v>0</v>
      </c>
      <c r="G36" s="11" t="s">
        <v>186</v>
      </c>
      <c r="H36" s="11" t="s">
        <v>187</v>
      </c>
      <c r="I36" s="11"/>
      <c r="J36" s="11"/>
      <c r="K36" s="11">
        <v>215</v>
      </c>
      <c r="L36" s="11">
        <v>17</v>
      </c>
      <c r="M36" s="11">
        <v>3</v>
      </c>
      <c r="N36" s="11" t="s">
        <v>3</v>
      </c>
      <c r="O36" s="11">
        <v>2</v>
      </c>
      <c r="P36" s="11"/>
    </row>
    <row r="37" spans="1:16" x14ac:dyDescent="0.2">
      <c r="A37" s="11">
        <v>50</v>
      </c>
      <c r="B37" s="11">
        <v>0</v>
      </c>
      <c r="C37" s="11">
        <v>0</v>
      </c>
      <c r="D37" s="11">
        <v>1</v>
      </c>
      <c r="E37" s="11">
        <v>217</v>
      </c>
      <c r="F37" s="11">
        <v>0</v>
      </c>
      <c r="G37" s="11" t="s">
        <v>188</v>
      </c>
      <c r="H37" s="11" t="s">
        <v>189</v>
      </c>
      <c r="I37" s="11"/>
      <c r="J37" s="11"/>
      <c r="K37" s="11">
        <v>217</v>
      </c>
      <c r="L37" s="11">
        <v>18</v>
      </c>
      <c r="M37" s="11">
        <v>3</v>
      </c>
      <c r="N37" s="11" t="s">
        <v>3</v>
      </c>
      <c r="O37" s="11">
        <v>2</v>
      </c>
      <c r="P37" s="11"/>
    </row>
    <row r="38" spans="1:16" x14ac:dyDescent="0.2">
      <c r="A38" s="11">
        <v>50</v>
      </c>
      <c r="B38" s="11">
        <v>0</v>
      </c>
      <c r="C38" s="11">
        <v>0</v>
      </c>
      <c r="D38" s="11">
        <v>1</v>
      </c>
      <c r="E38" s="11">
        <v>230</v>
      </c>
      <c r="F38" s="11">
        <v>0</v>
      </c>
      <c r="G38" s="11" t="s">
        <v>190</v>
      </c>
      <c r="H38" s="11" t="s">
        <v>191</v>
      </c>
      <c r="I38" s="11"/>
      <c r="J38" s="11"/>
      <c r="K38" s="11">
        <v>230</v>
      </c>
      <c r="L38" s="11">
        <v>19</v>
      </c>
      <c r="M38" s="11">
        <v>3</v>
      </c>
      <c r="N38" s="11" t="s">
        <v>3</v>
      </c>
      <c r="O38" s="11">
        <v>2</v>
      </c>
      <c r="P38" s="11"/>
    </row>
    <row r="39" spans="1:16" x14ac:dyDescent="0.2">
      <c r="A39" s="11">
        <v>50</v>
      </c>
      <c r="B39" s="11">
        <v>0</v>
      </c>
      <c r="C39" s="11">
        <v>0</v>
      </c>
      <c r="D39" s="11">
        <v>1</v>
      </c>
      <c r="E39" s="11">
        <v>206</v>
      </c>
      <c r="F39" s="11">
        <v>0</v>
      </c>
      <c r="G39" s="11" t="s">
        <v>192</v>
      </c>
      <c r="H39" s="11" t="s">
        <v>193</v>
      </c>
      <c r="I39" s="11"/>
      <c r="J39" s="11"/>
      <c r="K39" s="11">
        <v>206</v>
      </c>
      <c r="L39" s="11">
        <v>20</v>
      </c>
      <c r="M39" s="11">
        <v>3</v>
      </c>
      <c r="N39" s="11" t="s">
        <v>3</v>
      </c>
      <c r="O39" s="11">
        <v>2</v>
      </c>
      <c r="P39" s="11"/>
    </row>
    <row r="40" spans="1:16" x14ac:dyDescent="0.2">
      <c r="A40" s="11">
        <v>50</v>
      </c>
      <c r="B40" s="11">
        <v>0</v>
      </c>
      <c r="C40" s="11">
        <v>0</v>
      </c>
      <c r="D40" s="11">
        <v>1</v>
      </c>
      <c r="E40" s="11">
        <v>207</v>
      </c>
      <c r="F40" s="11">
        <v>56.871787500000003</v>
      </c>
      <c r="G40" s="11" t="s">
        <v>194</v>
      </c>
      <c r="H40" s="11" t="s">
        <v>195</v>
      </c>
      <c r="I40" s="11"/>
      <c r="J40" s="11"/>
      <c r="K40" s="11">
        <v>207</v>
      </c>
      <c r="L40" s="11">
        <v>21</v>
      </c>
      <c r="M40" s="11">
        <v>3</v>
      </c>
      <c r="N40" s="11" t="s">
        <v>3</v>
      </c>
      <c r="O40" s="11">
        <v>-1</v>
      </c>
      <c r="P40" s="11"/>
    </row>
    <row r="41" spans="1:16" x14ac:dyDescent="0.2">
      <c r="A41" s="11">
        <v>50</v>
      </c>
      <c r="B41" s="11">
        <v>0</v>
      </c>
      <c r="C41" s="11">
        <v>0</v>
      </c>
      <c r="D41" s="11">
        <v>1</v>
      </c>
      <c r="E41" s="11">
        <v>208</v>
      </c>
      <c r="F41" s="11">
        <v>1.0361251</v>
      </c>
      <c r="G41" s="11" t="s">
        <v>196</v>
      </c>
      <c r="H41" s="11" t="s">
        <v>197</v>
      </c>
      <c r="I41" s="11"/>
      <c r="J41" s="11"/>
      <c r="K41" s="11">
        <v>208</v>
      </c>
      <c r="L41" s="11">
        <v>22</v>
      </c>
      <c r="M41" s="11">
        <v>3</v>
      </c>
      <c r="N41" s="11" t="s">
        <v>3</v>
      </c>
      <c r="O41" s="11">
        <v>-1</v>
      </c>
      <c r="P41" s="11"/>
    </row>
    <row r="42" spans="1:16" x14ac:dyDescent="0.2">
      <c r="A42" s="11">
        <v>50</v>
      </c>
      <c r="B42" s="11">
        <v>0</v>
      </c>
      <c r="C42" s="11">
        <v>0</v>
      </c>
      <c r="D42" s="11">
        <v>1</v>
      </c>
      <c r="E42" s="11">
        <v>209</v>
      </c>
      <c r="F42" s="11">
        <v>0</v>
      </c>
      <c r="G42" s="11" t="s">
        <v>198</v>
      </c>
      <c r="H42" s="11" t="s">
        <v>199</v>
      </c>
      <c r="I42" s="11"/>
      <c r="J42" s="11"/>
      <c r="K42" s="11">
        <v>209</v>
      </c>
      <c r="L42" s="11">
        <v>23</v>
      </c>
      <c r="M42" s="11">
        <v>3</v>
      </c>
      <c r="N42" s="11" t="s">
        <v>3</v>
      </c>
      <c r="O42" s="11">
        <v>2</v>
      </c>
      <c r="P42" s="11"/>
    </row>
    <row r="43" spans="1:16" x14ac:dyDescent="0.2">
      <c r="A43" s="11">
        <v>50</v>
      </c>
      <c r="B43" s="11">
        <v>0</v>
      </c>
      <c r="C43" s="11">
        <v>0</v>
      </c>
      <c r="D43" s="11">
        <v>1</v>
      </c>
      <c r="E43" s="11">
        <v>233</v>
      </c>
      <c r="F43" s="11">
        <v>0</v>
      </c>
      <c r="G43" s="11" t="s">
        <v>200</v>
      </c>
      <c r="H43" s="11" t="s">
        <v>201</v>
      </c>
      <c r="I43" s="11"/>
      <c r="J43" s="11"/>
      <c r="K43" s="11">
        <v>233</v>
      </c>
      <c r="L43" s="11">
        <v>24</v>
      </c>
      <c r="M43" s="11">
        <v>3</v>
      </c>
      <c r="N43" s="11" t="s">
        <v>3</v>
      </c>
      <c r="O43" s="11">
        <v>2</v>
      </c>
      <c r="P43" s="11"/>
    </row>
    <row r="44" spans="1:16" x14ac:dyDescent="0.2">
      <c r="A44" s="11">
        <v>50</v>
      </c>
      <c r="B44" s="11">
        <v>0</v>
      </c>
      <c r="C44" s="11">
        <v>0</v>
      </c>
      <c r="D44" s="11">
        <v>1</v>
      </c>
      <c r="E44" s="11">
        <v>210</v>
      </c>
      <c r="F44" s="11">
        <v>43036.99</v>
      </c>
      <c r="G44" s="11" t="s">
        <v>202</v>
      </c>
      <c r="H44" s="11" t="s">
        <v>203</v>
      </c>
      <c r="I44" s="11"/>
      <c r="J44" s="11"/>
      <c r="K44" s="11">
        <v>210</v>
      </c>
      <c r="L44" s="11">
        <v>25</v>
      </c>
      <c r="M44" s="11">
        <v>3</v>
      </c>
      <c r="N44" s="11" t="s">
        <v>3</v>
      </c>
      <c r="O44" s="11">
        <v>2</v>
      </c>
      <c r="P44" s="11"/>
    </row>
    <row r="45" spans="1:16" x14ac:dyDescent="0.2">
      <c r="A45" s="11">
        <v>50</v>
      </c>
      <c r="B45" s="11">
        <v>0</v>
      </c>
      <c r="C45" s="11">
        <v>0</v>
      </c>
      <c r="D45" s="11">
        <v>1</v>
      </c>
      <c r="E45" s="11">
        <v>211</v>
      </c>
      <c r="F45" s="11">
        <v>23290.33</v>
      </c>
      <c r="G45" s="11" t="s">
        <v>204</v>
      </c>
      <c r="H45" s="11" t="s">
        <v>205</v>
      </c>
      <c r="I45" s="11"/>
      <c r="J45" s="11"/>
      <c r="K45" s="11">
        <v>211</v>
      </c>
      <c r="L45" s="11">
        <v>26</v>
      </c>
      <c r="M45" s="11">
        <v>3</v>
      </c>
      <c r="N45" s="11" t="s">
        <v>3</v>
      </c>
      <c r="O45" s="11">
        <v>2</v>
      </c>
      <c r="P45" s="11"/>
    </row>
    <row r="46" spans="1:16" x14ac:dyDescent="0.2">
      <c r="A46" s="11">
        <v>50</v>
      </c>
      <c r="B46" s="11">
        <v>0</v>
      </c>
      <c r="C46" s="11">
        <v>0</v>
      </c>
      <c r="D46" s="11">
        <v>1</v>
      </c>
      <c r="E46" s="11">
        <v>224</v>
      </c>
      <c r="F46" s="11">
        <v>128520.56</v>
      </c>
      <c r="G46" s="11" t="s">
        <v>206</v>
      </c>
      <c r="H46" s="11" t="s">
        <v>207</v>
      </c>
      <c r="I46" s="11"/>
      <c r="J46" s="11"/>
      <c r="K46" s="11">
        <v>224</v>
      </c>
      <c r="L46" s="11">
        <v>27</v>
      </c>
      <c r="M46" s="11">
        <v>3</v>
      </c>
      <c r="N46" s="11" t="s">
        <v>3</v>
      </c>
      <c r="O46" s="11">
        <v>2</v>
      </c>
      <c r="P46" s="11"/>
    </row>
    <row r="47" spans="1:16" x14ac:dyDescent="0.2">
      <c r="A47" s="11">
        <v>50</v>
      </c>
      <c r="B47" s="11">
        <v>1</v>
      </c>
      <c r="C47" s="11">
        <v>0</v>
      </c>
      <c r="D47" s="11">
        <v>2</v>
      </c>
      <c r="E47" s="11">
        <v>0</v>
      </c>
      <c r="F47" s="11">
        <v>128520.56</v>
      </c>
      <c r="G47" s="11" t="s">
        <v>14</v>
      </c>
      <c r="H47" s="11" t="s">
        <v>206</v>
      </c>
      <c r="I47" s="11"/>
      <c r="J47" s="11"/>
      <c r="K47" s="11">
        <v>212</v>
      </c>
      <c r="L47" s="11">
        <v>28</v>
      </c>
      <c r="M47" s="11">
        <v>0</v>
      </c>
      <c r="N47" s="11" t="s">
        <v>3</v>
      </c>
      <c r="O47" s="11">
        <v>2</v>
      </c>
      <c r="P47" s="11"/>
    </row>
    <row r="48" spans="1:16" x14ac:dyDescent="0.2">
      <c r="A48" s="11">
        <v>50</v>
      </c>
      <c r="B48" s="11">
        <v>1</v>
      </c>
      <c r="C48" s="11">
        <v>0</v>
      </c>
      <c r="D48" s="11">
        <v>2</v>
      </c>
      <c r="E48" s="11">
        <v>0</v>
      </c>
      <c r="F48" s="11">
        <v>28274.52</v>
      </c>
      <c r="G48" s="11" t="s">
        <v>27</v>
      </c>
      <c r="H48" s="11" t="s">
        <v>208</v>
      </c>
      <c r="I48" s="11"/>
      <c r="J48" s="11"/>
      <c r="K48" s="11">
        <v>212</v>
      </c>
      <c r="L48" s="11">
        <v>29</v>
      </c>
      <c r="M48" s="11">
        <v>0</v>
      </c>
      <c r="N48" s="11" t="s">
        <v>3</v>
      </c>
      <c r="O48" s="11">
        <v>2</v>
      </c>
      <c r="P48" s="11"/>
    </row>
    <row r="49" spans="1:50" x14ac:dyDescent="0.2">
      <c r="A49" s="11">
        <v>50</v>
      </c>
      <c r="B49" s="11">
        <v>1</v>
      </c>
      <c r="C49" s="11">
        <v>0</v>
      </c>
      <c r="D49" s="11">
        <v>2</v>
      </c>
      <c r="E49" s="11">
        <v>213</v>
      </c>
      <c r="F49" s="11">
        <v>156795.07999999999</v>
      </c>
      <c r="G49" s="11" t="s">
        <v>76</v>
      </c>
      <c r="H49" s="11" t="s">
        <v>209</v>
      </c>
      <c r="I49" s="11"/>
      <c r="J49" s="11"/>
      <c r="K49" s="11">
        <v>212</v>
      </c>
      <c r="L49" s="11">
        <v>30</v>
      </c>
      <c r="M49" s="11">
        <v>0</v>
      </c>
      <c r="N49" s="11" t="s">
        <v>3</v>
      </c>
      <c r="O49" s="11">
        <v>2</v>
      </c>
      <c r="P49" s="11"/>
    </row>
    <row r="51" spans="1:50" x14ac:dyDescent="0.2">
      <c r="A51" s="2">
        <v>-1</v>
      </c>
    </row>
    <row r="54" spans="1:50" x14ac:dyDescent="0.2">
      <c r="A54" s="12">
        <v>75</v>
      </c>
      <c r="B54" s="12" t="s">
        <v>276</v>
      </c>
      <c r="C54" s="12">
        <v>2026</v>
      </c>
      <c r="D54" s="12">
        <v>0</v>
      </c>
      <c r="E54" s="12">
        <v>6</v>
      </c>
      <c r="F54" s="12">
        <v>1</v>
      </c>
      <c r="G54" s="12">
        <v>0</v>
      </c>
      <c r="H54" s="12">
        <v>1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  <c r="N54" s="12">
        <v>82813384</v>
      </c>
      <c r="O54" s="12">
        <v>1</v>
      </c>
    </row>
    <row r="55" spans="1:50" x14ac:dyDescent="0.2">
      <c r="A55" s="13">
        <v>2</v>
      </c>
      <c r="B55" s="13" t="s">
        <v>277</v>
      </c>
      <c r="C55" s="13" t="s">
        <v>278</v>
      </c>
      <c r="D55" s="13">
        <v>0</v>
      </c>
      <c r="E55" s="13">
        <v>0</v>
      </c>
      <c r="F55" s="13">
        <v>0</v>
      </c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>
        <v>82813385</v>
      </c>
    </row>
    <row r="56" spans="1:50" x14ac:dyDescent="0.2">
      <c r="A56" s="13">
        <v>1</v>
      </c>
      <c r="B56" s="13" t="s">
        <v>279</v>
      </c>
      <c r="C56" s="13" t="s">
        <v>280</v>
      </c>
      <c r="D56" s="13">
        <v>2026</v>
      </c>
      <c r="E56" s="13">
        <v>6</v>
      </c>
      <c r="F56" s="13">
        <v>1</v>
      </c>
      <c r="G56" s="13">
        <v>1</v>
      </c>
      <c r="H56" s="13">
        <v>0</v>
      </c>
      <c r="I56" s="13">
        <v>2</v>
      </c>
      <c r="J56" s="13">
        <v>1</v>
      </c>
      <c r="K56" s="13">
        <v>1</v>
      </c>
      <c r="L56" s="13">
        <v>1</v>
      </c>
      <c r="M56" s="13">
        <v>1</v>
      </c>
      <c r="N56" s="13">
        <v>1</v>
      </c>
      <c r="O56" s="13">
        <v>1</v>
      </c>
      <c r="P56" s="13">
        <v>1</v>
      </c>
      <c r="Q56" s="13">
        <v>1</v>
      </c>
      <c r="R56" s="13" t="s">
        <v>3</v>
      </c>
      <c r="S56" s="13" t="s">
        <v>3</v>
      </c>
      <c r="T56" s="13" t="s">
        <v>3</v>
      </c>
      <c r="U56" s="13" t="s">
        <v>3</v>
      </c>
      <c r="V56" s="13" t="s">
        <v>3</v>
      </c>
      <c r="W56" s="13" t="s">
        <v>3</v>
      </c>
      <c r="X56" s="13" t="s">
        <v>3</v>
      </c>
      <c r="Y56" s="13" t="s">
        <v>3</v>
      </c>
      <c r="Z56" s="13" t="s">
        <v>3</v>
      </c>
      <c r="AA56" s="13" t="s">
        <v>3</v>
      </c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>
        <v>82813386</v>
      </c>
      <c r="AO56" s="13" t="s">
        <v>281</v>
      </c>
      <c r="AP56" s="13" t="s">
        <v>282</v>
      </c>
      <c r="AQ56" s="13">
        <v>46164</v>
      </c>
      <c r="AR56" s="13">
        <v>417</v>
      </c>
      <c r="AS56" s="13" t="s">
        <v>283</v>
      </c>
      <c r="AT56" s="13" t="s">
        <v>3</v>
      </c>
      <c r="AU56" s="13" t="s">
        <v>282</v>
      </c>
      <c r="AV56" s="13">
        <v>45957</v>
      </c>
      <c r="AW56" s="13">
        <v>23615</v>
      </c>
      <c r="AX56" s="13" t="s">
        <v>284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16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19" x14ac:dyDescent="0.2">
      <c r="A1">
        <f>ROW(Source!A24)</f>
        <v>24</v>
      </c>
      <c r="B1">
        <v>82813384</v>
      </c>
      <c r="C1">
        <v>82813598</v>
      </c>
      <c r="D1">
        <v>80959926</v>
      </c>
      <c r="E1">
        <v>118</v>
      </c>
      <c r="F1">
        <v>1</v>
      </c>
      <c r="G1">
        <v>1</v>
      </c>
      <c r="H1">
        <v>1</v>
      </c>
      <c r="I1" t="s">
        <v>286</v>
      </c>
      <c r="J1" t="s">
        <v>3</v>
      </c>
      <c r="K1" t="s">
        <v>287</v>
      </c>
      <c r="L1">
        <v>1191</v>
      </c>
      <c r="N1">
        <v>1013</v>
      </c>
      <c r="O1" t="s">
        <v>288</v>
      </c>
      <c r="P1" t="s">
        <v>288</v>
      </c>
      <c r="Q1">
        <v>1</v>
      </c>
      <c r="W1">
        <v>0</v>
      </c>
      <c r="X1">
        <v>-1833565283</v>
      </c>
      <c r="Y1">
        <f>(AT1*ROUND((0.35+1),7))</f>
        <v>58.860000000000007</v>
      </c>
      <c r="AA1">
        <v>0</v>
      </c>
      <c r="AB1">
        <v>0</v>
      </c>
      <c r="AC1">
        <v>0</v>
      </c>
      <c r="AD1">
        <v>649.24</v>
      </c>
      <c r="AE1">
        <v>0</v>
      </c>
      <c r="AF1">
        <v>0</v>
      </c>
      <c r="AG1">
        <v>0</v>
      </c>
      <c r="AH1">
        <v>649.24</v>
      </c>
      <c r="AI1">
        <v>1</v>
      </c>
      <c r="AJ1">
        <v>1</v>
      </c>
      <c r="AK1">
        <v>1</v>
      </c>
      <c r="AL1">
        <v>1</v>
      </c>
      <c r="AM1">
        <v>-2</v>
      </c>
      <c r="AN1">
        <v>0</v>
      </c>
      <c r="AO1">
        <v>0</v>
      </c>
      <c r="AP1">
        <v>1</v>
      </c>
      <c r="AQ1">
        <v>1</v>
      </c>
      <c r="AR1">
        <v>0</v>
      </c>
      <c r="AS1" t="s">
        <v>3</v>
      </c>
      <c r="AT1">
        <v>43.6</v>
      </c>
      <c r="AU1" t="s">
        <v>19</v>
      </c>
      <c r="AV1">
        <v>1</v>
      </c>
      <c r="AW1">
        <v>2</v>
      </c>
      <c r="AX1">
        <v>82813599</v>
      </c>
      <c r="AY1">
        <v>1</v>
      </c>
      <c r="AZ1">
        <v>0</v>
      </c>
      <c r="BA1">
        <v>1</v>
      </c>
      <c r="BB1">
        <v>1</v>
      </c>
      <c r="BC1">
        <v>0</v>
      </c>
      <c r="BD1">
        <v>0</v>
      </c>
      <c r="BE1">
        <v>0</v>
      </c>
      <c r="BF1">
        <v>0</v>
      </c>
      <c r="BG1">
        <v>0</v>
      </c>
      <c r="BH1">
        <v>0</v>
      </c>
      <c r="BI1">
        <v>0</v>
      </c>
      <c r="BJ1">
        <v>0</v>
      </c>
      <c r="BK1">
        <v>0</v>
      </c>
      <c r="BL1">
        <v>0</v>
      </c>
      <c r="BM1">
        <v>28306.864000000001</v>
      </c>
      <c r="BN1">
        <v>43.6</v>
      </c>
      <c r="BO1">
        <v>0</v>
      </c>
      <c r="BP1">
        <v>1</v>
      </c>
      <c r="BQ1">
        <v>0</v>
      </c>
      <c r="BR1">
        <v>0</v>
      </c>
      <c r="BS1">
        <v>0</v>
      </c>
      <c r="BT1">
        <v>38214.266400000008</v>
      </c>
      <c r="BU1">
        <v>58.860000000000007</v>
      </c>
      <c r="BV1">
        <v>0</v>
      </c>
      <c r="BW1">
        <v>1</v>
      </c>
      <c r="CU1">
        <f>ROUND(AT1*Source!I24*AH1*AL1,2)</f>
        <v>4246.03</v>
      </c>
      <c r="CV1">
        <f>ROUND(Y1*Source!I24,7)</f>
        <v>8.8290000000000006</v>
      </c>
      <c r="CW1">
        <v>0</v>
      </c>
      <c r="CX1">
        <f>ROUND(Y1*Source!I24,7)</f>
        <v>8.8290000000000006</v>
      </c>
      <c r="CY1">
        <f>AD1</f>
        <v>649.24</v>
      </c>
      <c r="CZ1">
        <f>AH1</f>
        <v>649.24</v>
      </c>
      <c r="DA1">
        <f>AL1</f>
        <v>1</v>
      </c>
      <c r="DB1">
        <f>ROUND((ROUND(AT1*CZ1,2)*ROUND((0.35+1),7)),6)</f>
        <v>38214.260999999999</v>
      </c>
      <c r="DC1">
        <f>ROUND((ROUND(AT1*AG1,2)*ROUND((0.35+1),7)),6)</f>
        <v>0</v>
      </c>
      <c r="DD1" t="s">
        <v>3</v>
      </c>
      <c r="DE1" t="s">
        <v>3</v>
      </c>
      <c r="DF1">
        <f>ROUND(ROUND(AE1,2)*CX1,2)</f>
        <v>0</v>
      </c>
      <c r="DG1">
        <f>ROUND(ROUND(AF1,2)*CX1,2)</f>
        <v>0</v>
      </c>
      <c r="DH1">
        <f t="shared" ref="DH1:DH32" si="0">ROUND(ROUND(AG1,2)*CX1,2)</f>
        <v>0</v>
      </c>
      <c r="DI1">
        <f t="shared" ref="DI1:DI32" si="1">ROUND(ROUND(AH1,2)*CX1,2)</f>
        <v>5732.14</v>
      </c>
      <c r="DJ1">
        <f>DI1</f>
        <v>5732.14</v>
      </c>
      <c r="DK1">
        <v>1</v>
      </c>
      <c r="DL1" t="s">
        <v>3</v>
      </c>
      <c r="DM1">
        <v>0</v>
      </c>
      <c r="DN1" t="s">
        <v>3</v>
      </c>
      <c r="DO1">
        <v>0</v>
      </c>
    </row>
    <row r="2" spans="1:119" x14ac:dyDescent="0.2">
      <c r="A2">
        <f>ROW(Source!A24)</f>
        <v>24</v>
      </c>
      <c r="B2">
        <v>82813384</v>
      </c>
      <c r="C2">
        <v>82813598</v>
      </c>
      <c r="D2">
        <v>81087646</v>
      </c>
      <c r="E2">
        <v>1</v>
      </c>
      <c r="F2">
        <v>1</v>
      </c>
      <c r="G2">
        <v>1</v>
      </c>
      <c r="H2">
        <v>2</v>
      </c>
      <c r="I2" t="s">
        <v>289</v>
      </c>
      <c r="J2" t="s">
        <v>290</v>
      </c>
      <c r="K2" t="s">
        <v>291</v>
      </c>
      <c r="L2">
        <v>1368</v>
      </c>
      <c r="N2">
        <v>1011</v>
      </c>
      <c r="O2" t="s">
        <v>292</v>
      </c>
      <c r="P2" t="s">
        <v>292</v>
      </c>
      <c r="Q2">
        <v>1</v>
      </c>
      <c r="W2">
        <v>0</v>
      </c>
      <c r="X2">
        <v>-536748942</v>
      </c>
      <c r="Y2">
        <f>(AT2*ROUND((0.35+1),7))</f>
        <v>7.3575000000000008</v>
      </c>
      <c r="AA2">
        <v>0</v>
      </c>
      <c r="AB2">
        <v>5.35</v>
      </c>
      <c r="AC2">
        <v>0</v>
      </c>
      <c r="AD2">
        <v>0</v>
      </c>
      <c r="AE2">
        <v>0</v>
      </c>
      <c r="AF2">
        <v>4.3499999999999996</v>
      </c>
      <c r="AG2">
        <v>0</v>
      </c>
      <c r="AH2">
        <v>0</v>
      </c>
      <c r="AI2">
        <v>1</v>
      </c>
      <c r="AJ2">
        <v>1.23</v>
      </c>
      <c r="AK2">
        <v>1</v>
      </c>
      <c r="AL2">
        <v>1</v>
      </c>
      <c r="AM2">
        <v>2</v>
      </c>
      <c r="AN2">
        <v>0</v>
      </c>
      <c r="AO2">
        <v>0</v>
      </c>
      <c r="AP2">
        <v>1</v>
      </c>
      <c r="AQ2">
        <v>1</v>
      </c>
      <c r="AR2">
        <v>0</v>
      </c>
      <c r="AS2" t="s">
        <v>3</v>
      </c>
      <c r="AT2">
        <v>5.45</v>
      </c>
      <c r="AU2" t="s">
        <v>19</v>
      </c>
      <c r="AV2">
        <v>1</v>
      </c>
      <c r="AW2">
        <v>2</v>
      </c>
      <c r="AX2">
        <v>82813600</v>
      </c>
      <c r="AY2">
        <v>1</v>
      </c>
      <c r="AZ2">
        <v>0</v>
      </c>
      <c r="BA2">
        <v>2</v>
      </c>
      <c r="BB2">
        <v>1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23.7075</v>
      </c>
      <c r="BL2">
        <v>0</v>
      </c>
      <c r="BM2">
        <v>0</v>
      </c>
      <c r="BN2">
        <v>0</v>
      </c>
      <c r="BO2">
        <v>0</v>
      </c>
      <c r="BP2">
        <v>1</v>
      </c>
      <c r="BQ2">
        <v>0</v>
      </c>
      <c r="BR2">
        <v>32.005125</v>
      </c>
      <c r="BS2">
        <v>0</v>
      </c>
      <c r="BT2">
        <v>0</v>
      </c>
      <c r="BU2">
        <v>0</v>
      </c>
      <c r="BV2">
        <v>0</v>
      </c>
      <c r="BW2">
        <v>1</v>
      </c>
      <c r="CV2">
        <v>0</v>
      </c>
      <c r="CW2">
        <f>ROUND(Y2*Source!I24*DO2,7)</f>
        <v>0</v>
      </c>
      <c r="CX2">
        <f>ROUND(Y2*Source!I24,7)</f>
        <v>1.1036250000000001</v>
      </c>
      <c r="CY2">
        <f>AB2</f>
        <v>5.35</v>
      </c>
      <c r="CZ2">
        <f>AF2</f>
        <v>4.3499999999999996</v>
      </c>
      <c r="DA2">
        <f>AJ2</f>
        <v>1.23</v>
      </c>
      <c r="DB2">
        <f>ROUND((ROUND(AT2*CZ2,2)*ROUND((0.35+1),7)),6)</f>
        <v>32.008499999999998</v>
      </c>
      <c r="DC2">
        <f>ROUND((ROUND(AT2*AG2,2)*ROUND((0.35+1),7)),6)</f>
        <v>0</v>
      </c>
      <c r="DD2" t="s">
        <v>3</v>
      </c>
      <c r="DE2" t="s">
        <v>3</v>
      </c>
      <c r="DF2">
        <f>ROUND(ROUND(AE2,2)*CX2,2)</f>
        <v>0</v>
      </c>
      <c r="DG2">
        <f>ROUND(ROUND(AF2*AJ2,2)*CX2,2)</f>
        <v>5.9</v>
      </c>
      <c r="DH2">
        <f t="shared" si="0"/>
        <v>0</v>
      </c>
      <c r="DI2">
        <f t="shared" si="1"/>
        <v>0</v>
      </c>
      <c r="DJ2">
        <f>DG2+DH2</f>
        <v>5.9</v>
      </c>
      <c r="DK2">
        <v>0</v>
      </c>
      <c r="DL2" t="s">
        <v>3</v>
      </c>
      <c r="DM2">
        <v>0</v>
      </c>
      <c r="DN2" t="s">
        <v>3</v>
      </c>
      <c r="DO2">
        <v>0</v>
      </c>
    </row>
    <row r="3" spans="1:119" x14ac:dyDescent="0.2">
      <c r="A3">
        <f>ROW(Source!A24)</f>
        <v>24</v>
      </c>
      <c r="B3">
        <v>82813384</v>
      </c>
      <c r="C3">
        <v>82813598</v>
      </c>
      <c r="D3">
        <v>81034712</v>
      </c>
      <c r="E3">
        <v>1</v>
      </c>
      <c r="F3">
        <v>1</v>
      </c>
      <c r="G3">
        <v>1</v>
      </c>
      <c r="H3">
        <v>3</v>
      </c>
      <c r="I3" t="s">
        <v>293</v>
      </c>
      <c r="J3" t="s">
        <v>294</v>
      </c>
      <c r="K3" t="s">
        <v>295</v>
      </c>
      <c r="L3">
        <v>1339</v>
      </c>
      <c r="N3">
        <v>1007</v>
      </c>
      <c r="O3" t="s">
        <v>296</v>
      </c>
      <c r="P3" t="s">
        <v>296</v>
      </c>
      <c r="Q3">
        <v>1</v>
      </c>
      <c r="W3">
        <v>0</v>
      </c>
      <c r="X3">
        <v>58756862</v>
      </c>
      <c r="Y3">
        <f>AT3</f>
        <v>0.15</v>
      </c>
      <c r="AA3">
        <v>544.66</v>
      </c>
      <c r="AB3">
        <v>0</v>
      </c>
      <c r="AC3">
        <v>0</v>
      </c>
      <c r="AD3">
        <v>0</v>
      </c>
      <c r="AE3">
        <v>340.41</v>
      </c>
      <c r="AF3">
        <v>0</v>
      </c>
      <c r="AG3">
        <v>0</v>
      </c>
      <c r="AH3">
        <v>0</v>
      </c>
      <c r="AI3">
        <v>1.6</v>
      </c>
      <c r="AJ3">
        <v>1</v>
      </c>
      <c r="AK3">
        <v>1</v>
      </c>
      <c r="AL3">
        <v>1</v>
      </c>
      <c r="AM3">
        <v>2</v>
      </c>
      <c r="AN3">
        <v>0</v>
      </c>
      <c r="AO3">
        <v>0</v>
      </c>
      <c r="AP3">
        <v>1</v>
      </c>
      <c r="AQ3">
        <v>1</v>
      </c>
      <c r="AR3">
        <v>0</v>
      </c>
      <c r="AS3" t="s">
        <v>3</v>
      </c>
      <c r="AT3">
        <v>0.15</v>
      </c>
      <c r="AU3" t="s">
        <v>3</v>
      </c>
      <c r="AV3">
        <v>0</v>
      </c>
      <c r="AW3">
        <v>2</v>
      </c>
      <c r="AX3">
        <v>82813601</v>
      </c>
      <c r="AY3">
        <v>1</v>
      </c>
      <c r="AZ3">
        <v>0</v>
      </c>
      <c r="BA3">
        <v>3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51.061500000000002</v>
      </c>
      <c r="BK3">
        <v>0</v>
      </c>
      <c r="BL3">
        <v>0</v>
      </c>
      <c r="BM3">
        <v>0</v>
      </c>
      <c r="BN3">
        <v>0</v>
      </c>
      <c r="BO3">
        <v>0</v>
      </c>
      <c r="BP3">
        <v>1</v>
      </c>
      <c r="BQ3">
        <v>51.061500000000002</v>
      </c>
      <c r="BR3">
        <v>0</v>
      </c>
      <c r="BS3">
        <v>0</v>
      </c>
      <c r="BT3">
        <v>0</v>
      </c>
      <c r="BU3">
        <v>0</v>
      </c>
      <c r="BV3">
        <v>0</v>
      </c>
      <c r="BW3">
        <v>1</v>
      </c>
      <c r="CV3">
        <v>0</v>
      </c>
      <c r="CW3">
        <v>0</v>
      </c>
      <c r="CX3">
        <f>ROUND(Y3*Source!I24,7)</f>
        <v>2.2499999999999999E-2</v>
      </c>
      <c r="CY3">
        <f>AA3</f>
        <v>544.66</v>
      </c>
      <c r="CZ3">
        <f>AE3</f>
        <v>340.41</v>
      </c>
      <c r="DA3">
        <f>AI3</f>
        <v>1.6</v>
      </c>
      <c r="DB3">
        <f>ROUND(ROUND(AT3*CZ3,2),6)</f>
        <v>51.06</v>
      </c>
      <c r="DC3">
        <f>ROUND(ROUND(AT3*AG3,2),6)</f>
        <v>0</v>
      </c>
      <c r="DD3" t="s">
        <v>3</v>
      </c>
      <c r="DE3" t="s">
        <v>3</v>
      </c>
      <c r="DF3">
        <f>ROUND(ROUND(AE3*AI3,2)*CX3,2)</f>
        <v>12.25</v>
      </c>
      <c r="DG3">
        <f t="shared" ref="DG3:DG8" si="2">ROUND(ROUND(AF3,2)*CX3,2)</f>
        <v>0</v>
      </c>
      <c r="DH3">
        <f t="shared" si="0"/>
        <v>0</v>
      </c>
      <c r="DI3">
        <f t="shared" si="1"/>
        <v>0</v>
      </c>
      <c r="DJ3">
        <f>DF3</f>
        <v>12.25</v>
      </c>
      <c r="DK3">
        <v>0</v>
      </c>
      <c r="DL3" t="s">
        <v>3</v>
      </c>
      <c r="DM3">
        <v>0</v>
      </c>
      <c r="DN3" t="s">
        <v>3</v>
      </c>
      <c r="DO3">
        <v>0</v>
      </c>
    </row>
    <row r="4" spans="1:119" x14ac:dyDescent="0.2">
      <c r="A4">
        <f>ROW(Source!A24)</f>
        <v>24</v>
      </c>
      <c r="B4">
        <v>82813384</v>
      </c>
      <c r="C4">
        <v>82813598</v>
      </c>
      <c r="D4">
        <v>81034728</v>
      </c>
      <c r="E4">
        <v>1</v>
      </c>
      <c r="F4">
        <v>1</v>
      </c>
      <c r="G4">
        <v>1</v>
      </c>
      <c r="H4">
        <v>3</v>
      </c>
      <c r="I4" t="s">
        <v>297</v>
      </c>
      <c r="J4" t="s">
        <v>298</v>
      </c>
      <c r="K4" t="s">
        <v>299</v>
      </c>
      <c r="L4">
        <v>1339</v>
      </c>
      <c r="N4">
        <v>1007</v>
      </c>
      <c r="O4" t="s">
        <v>296</v>
      </c>
      <c r="P4" t="s">
        <v>296</v>
      </c>
      <c r="Q4">
        <v>1</v>
      </c>
      <c r="W4">
        <v>0</v>
      </c>
      <c r="X4">
        <v>1531571680</v>
      </c>
      <c r="Y4">
        <f>AT4</f>
        <v>1.0900000000000001</v>
      </c>
      <c r="AA4">
        <v>98.59</v>
      </c>
      <c r="AB4">
        <v>0</v>
      </c>
      <c r="AC4">
        <v>0</v>
      </c>
      <c r="AD4">
        <v>0</v>
      </c>
      <c r="AE4">
        <v>114.64</v>
      </c>
      <c r="AF4">
        <v>0</v>
      </c>
      <c r="AG4">
        <v>0</v>
      </c>
      <c r="AH4">
        <v>0</v>
      </c>
      <c r="AI4">
        <v>0.86</v>
      </c>
      <c r="AJ4">
        <v>1</v>
      </c>
      <c r="AK4">
        <v>1</v>
      </c>
      <c r="AL4">
        <v>1</v>
      </c>
      <c r="AM4">
        <v>2</v>
      </c>
      <c r="AN4">
        <v>0</v>
      </c>
      <c r="AO4">
        <v>0</v>
      </c>
      <c r="AP4">
        <v>1</v>
      </c>
      <c r="AQ4">
        <v>1</v>
      </c>
      <c r="AR4">
        <v>0</v>
      </c>
      <c r="AS4" t="s">
        <v>3</v>
      </c>
      <c r="AT4">
        <v>1.0900000000000001</v>
      </c>
      <c r="AU4" t="s">
        <v>3</v>
      </c>
      <c r="AV4">
        <v>0</v>
      </c>
      <c r="AW4">
        <v>2</v>
      </c>
      <c r="AX4">
        <v>82813602</v>
      </c>
      <c r="AY4">
        <v>1</v>
      </c>
      <c r="AZ4">
        <v>0</v>
      </c>
      <c r="BA4">
        <v>4</v>
      </c>
      <c r="BB4">
        <v>1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124.95760000000001</v>
      </c>
      <c r="BK4">
        <v>0</v>
      </c>
      <c r="BL4">
        <v>0</v>
      </c>
      <c r="BM4">
        <v>0</v>
      </c>
      <c r="BN4">
        <v>0</v>
      </c>
      <c r="BO4">
        <v>0</v>
      </c>
      <c r="BP4">
        <v>1</v>
      </c>
      <c r="BQ4">
        <v>124.95760000000001</v>
      </c>
      <c r="BR4">
        <v>0</v>
      </c>
      <c r="BS4">
        <v>0</v>
      </c>
      <c r="BT4">
        <v>0</v>
      </c>
      <c r="BU4">
        <v>0</v>
      </c>
      <c r="BV4">
        <v>0</v>
      </c>
      <c r="BW4">
        <v>1</v>
      </c>
      <c r="CV4">
        <v>0</v>
      </c>
      <c r="CW4">
        <v>0</v>
      </c>
      <c r="CX4">
        <f>ROUND(Y4*Source!I24,7)</f>
        <v>0.16350000000000001</v>
      </c>
      <c r="CY4">
        <f>AA4</f>
        <v>98.59</v>
      </c>
      <c r="CZ4">
        <f>AE4</f>
        <v>114.64</v>
      </c>
      <c r="DA4">
        <f>AI4</f>
        <v>0.86</v>
      </c>
      <c r="DB4">
        <f>ROUND(ROUND(AT4*CZ4,2),6)</f>
        <v>124.96</v>
      </c>
      <c r="DC4">
        <f>ROUND(ROUND(AT4*AG4,2),6)</f>
        <v>0</v>
      </c>
      <c r="DD4" t="s">
        <v>3</v>
      </c>
      <c r="DE4" t="s">
        <v>3</v>
      </c>
      <c r="DF4">
        <f>ROUND(ROUND(AE4*AI4,2)*CX4,2)</f>
        <v>16.12</v>
      </c>
      <c r="DG4">
        <f t="shared" si="2"/>
        <v>0</v>
      </c>
      <c r="DH4">
        <f t="shared" si="0"/>
        <v>0</v>
      </c>
      <c r="DI4">
        <f t="shared" si="1"/>
        <v>0</v>
      </c>
      <c r="DJ4">
        <f>DF4</f>
        <v>16.12</v>
      </c>
      <c r="DK4">
        <v>0</v>
      </c>
      <c r="DL4" t="s">
        <v>3</v>
      </c>
      <c r="DM4">
        <v>0</v>
      </c>
      <c r="DN4" t="s">
        <v>3</v>
      </c>
      <c r="DO4">
        <v>0</v>
      </c>
    </row>
    <row r="5" spans="1:119" x14ac:dyDescent="0.2">
      <c r="A5">
        <f>ROW(Source!A25)</f>
        <v>25</v>
      </c>
      <c r="B5">
        <v>82813384</v>
      </c>
      <c r="C5">
        <v>82813512</v>
      </c>
      <c r="D5">
        <v>80959950</v>
      </c>
      <c r="E5">
        <v>118</v>
      </c>
      <c r="F5">
        <v>1</v>
      </c>
      <c r="G5">
        <v>1</v>
      </c>
      <c r="H5">
        <v>1</v>
      </c>
      <c r="I5" t="s">
        <v>300</v>
      </c>
      <c r="J5" t="s">
        <v>3</v>
      </c>
      <c r="K5" t="s">
        <v>301</v>
      </c>
      <c r="L5">
        <v>1191</v>
      </c>
      <c r="N5">
        <v>1013</v>
      </c>
      <c r="O5" t="s">
        <v>288</v>
      </c>
      <c r="P5" t="s">
        <v>288</v>
      </c>
      <c r="Q5">
        <v>1</v>
      </c>
      <c r="W5">
        <v>0</v>
      </c>
      <c r="X5">
        <v>888410196</v>
      </c>
      <c r="Y5">
        <f>(AT5*ROUND(((0.35+1)*1.15),7))</f>
        <v>8.7561</v>
      </c>
      <c r="AA5">
        <v>0</v>
      </c>
      <c r="AB5">
        <v>0</v>
      </c>
      <c r="AC5">
        <v>0</v>
      </c>
      <c r="AD5">
        <v>731.08</v>
      </c>
      <c r="AE5">
        <v>0</v>
      </c>
      <c r="AF5">
        <v>0</v>
      </c>
      <c r="AG5">
        <v>0</v>
      </c>
      <c r="AH5">
        <v>731.08</v>
      </c>
      <c r="AI5">
        <v>1</v>
      </c>
      <c r="AJ5">
        <v>1</v>
      </c>
      <c r="AK5">
        <v>1</v>
      </c>
      <c r="AL5">
        <v>1</v>
      </c>
      <c r="AM5">
        <v>-2</v>
      </c>
      <c r="AN5">
        <v>0</v>
      </c>
      <c r="AO5">
        <v>0</v>
      </c>
      <c r="AP5">
        <v>1</v>
      </c>
      <c r="AQ5">
        <v>1</v>
      </c>
      <c r="AR5">
        <v>0</v>
      </c>
      <c r="AS5" t="s">
        <v>3</v>
      </c>
      <c r="AT5">
        <v>5.64</v>
      </c>
      <c r="AU5" t="s">
        <v>33</v>
      </c>
      <c r="AV5">
        <v>1</v>
      </c>
      <c r="AW5">
        <v>2</v>
      </c>
      <c r="AX5">
        <v>82813513</v>
      </c>
      <c r="AY5">
        <v>1</v>
      </c>
      <c r="AZ5">
        <v>0</v>
      </c>
      <c r="BA5">
        <v>5</v>
      </c>
      <c r="BB5">
        <v>1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4123.2911999999997</v>
      </c>
      <c r="BN5">
        <v>5.64</v>
      </c>
      <c r="BO5">
        <v>0</v>
      </c>
      <c r="BP5">
        <v>1</v>
      </c>
      <c r="BQ5">
        <v>0</v>
      </c>
      <c r="BR5">
        <v>0</v>
      </c>
      <c r="BS5">
        <v>0</v>
      </c>
      <c r="BT5">
        <v>6401.4095880000004</v>
      </c>
      <c r="BU5">
        <v>8.7561</v>
      </c>
      <c r="BV5">
        <v>0</v>
      </c>
      <c r="BW5">
        <v>1</v>
      </c>
      <c r="CU5">
        <f>ROUND(AT5*Source!I25*AH5*AL5,2)</f>
        <v>8246.58</v>
      </c>
      <c r="CV5">
        <f>ROUND(Y5*Source!I25,7)</f>
        <v>17.5122</v>
      </c>
      <c r="CW5">
        <v>0</v>
      </c>
      <c r="CX5">
        <f>ROUND(Y5*Source!I25,7)</f>
        <v>17.5122</v>
      </c>
      <c r="CY5">
        <f>AD5</f>
        <v>731.08</v>
      </c>
      <c r="CZ5">
        <f>AH5</f>
        <v>731.08</v>
      </c>
      <c r="DA5">
        <f>AL5</f>
        <v>1</v>
      </c>
      <c r="DB5">
        <f>ROUND((ROUND(AT5*CZ5,2)*ROUND(((0.35+1)*1.15),7)),6)</f>
        <v>6401.407725</v>
      </c>
      <c r="DC5">
        <f>ROUND((ROUND(AT5*AG5,2)*ROUND(((0.35+1)*1.15),7)),6)</f>
        <v>0</v>
      </c>
      <c r="DD5" t="s">
        <v>3</v>
      </c>
      <c r="DE5" t="s">
        <v>3</v>
      </c>
      <c r="DF5">
        <f t="shared" ref="DF5:DF10" si="3">ROUND(ROUND(AE5,2)*CX5,2)</f>
        <v>0</v>
      </c>
      <c r="DG5">
        <f t="shared" si="2"/>
        <v>0</v>
      </c>
      <c r="DH5">
        <f t="shared" si="0"/>
        <v>0</v>
      </c>
      <c r="DI5">
        <f t="shared" si="1"/>
        <v>12802.82</v>
      </c>
      <c r="DJ5">
        <f>DI5</f>
        <v>12802.82</v>
      </c>
      <c r="DK5">
        <v>1</v>
      </c>
      <c r="DL5" t="s">
        <v>3</v>
      </c>
      <c r="DM5">
        <v>0</v>
      </c>
      <c r="DN5" t="s">
        <v>3</v>
      </c>
      <c r="DO5">
        <v>0</v>
      </c>
    </row>
    <row r="6" spans="1:119" x14ac:dyDescent="0.2">
      <c r="A6">
        <f>ROW(Source!A25)</f>
        <v>25</v>
      </c>
      <c r="B6">
        <v>82813384</v>
      </c>
      <c r="C6">
        <v>82813512</v>
      </c>
      <c r="D6">
        <v>80960127</v>
      </c>
      <c r="E6">
        <v>118</v>
      </c>
      <c r="F6">
        <v>1</v>
      </c>
      <c r="G6">
        <v>1</v>
      </c>
      <c r="H6">
        <v>1</v>
      </c>
      <c r="I6" t="s">
        <v>302</v>
      </c>
      <c r="J6" t="s">
        <v>3</v>
      </c>
      <c r="K6" t="s">
        <v>303</v>
      </c>
      <c r="L6">
        <v>1191</v>
      </c>
      <c r="N6">
        <v>1013</v>
      </c>
      <c r="O6" t="s">
        <v>288</v>
      </c>
      <c r="P6" t="s">
        <v>288</v>
      </c>
      <c r="Q6">
        <v>1</v>
      </c>
      <c r="W6">
        <v>0</v>
      </c>
      <c r="X6">
        <v>-1417349443</v>
      </c>
      <c r="Y6">
        <f>(AT6*ROUND(((0.35+1)*1.25),7))</f>
        <v>3.3750000000000002E-2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  <c r="AJ6">
        <v>1</v>
      </c>
      <c r="AK6">
        <v>1</v>
      </c>
      <c r="AL6">
        <v>1</v>
      </c>
      <c r="AM6">
        <v>-2</v>
      </c>
      <c r="AN6">
        <v>0</v>
      </c>
      <c r="AO6">
        <v>0</v>
      </c>
      <c r="AP6">
        <v>1</v>
      </c>
      <c r="AQ6">
        <v>1</v>
      </c>
      <c r="AR6">
        <v>0</v>
      </c>
      <c r="AS6" t="s">
        <v>3</v>
      </c>
      <c r="AT6">
        <v>0.02</v>
      </c>
      <c r="AU6" t="s">
        <v>32</v>
      </c>
      <c r="AV6">
        <v>2</v>
      </c>
      <c r="AW6">
        <v>2</v>
      </c>
      <c r="AX6">
        <v>82813514</v>
      </c>
      <c r="AY6">
        <v>1</v>
      </c>
      <c r="AZ6">
        <v>0</v>
      </c>
      <c r="BA6">
        <v>6</v>
      </c>
      <c r="BB6">
        <v>1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V6">
        <v>0</v>
      </c>
      <c r="CW6">
        <v>0</v>
      </c>
      <c r="CX6">
        <f>ROUND(Y6*Source!I25,7)</f>
        <v>6.7500000000000004E-2</v>
      </c>
      <c r="CY6">
        <f>AD6</f>
        <v>0</v>
      </c>
      <c r="CZ6">
        <f>AH6</f>
        <v>0</v>
      </c>
      <c r="DA6">
        <f>AL6</f>
        <v>1</v>
      </c>
      <c r="DB6">
        <f>ROUND((ROUND(AT6*CZ6,2)*ROUND(((0.35+1)*1.25),7)),6)</f>
        <v>0</v>
      </c>
      <c r="DC6">
        <f>ROUND((ROUND(AT6*AG6,2)*ROUND(((0.35+1)*1.25),7)),6)</f>
        <v>0</v>
      </c>
      <c r="DD6" t="s">
        <v>3</v>
      </c>
      <c r="DE6" t="s">
        <v>3</v>
      </c>
      <c r="DF6">
        <f t="shared" si="3"/>
        <v>0</v>
      </c>
      <c r="DG6">
        <f t="shared" si="2"/>
        <v>0</v>
      </c>
      <c r="DH6">
        <f t="shared" si="0"/>
        <v>0</v>
      </c>
      <c r="DI6">
        <f t="shared" si="1"/>
        <v>0</v>
      </c>
      <c r="DJ6">
        <f>DI6</f>
        <v>0</v>
      </c>
      <c r="DK6">
        <v>0</v>
      </c>
      <c r="DL6" t="s">
        <v>3</v>
      </c>
      <c r="DM6">
        <v>0</v>
      </c>
      <c r="DN6" t="s">
        <v>3</v>
      </c>
      <c r="DO6">
        <v>0</v>
      </c>
    </row>
    <row r="7" spans="1:119" x14ac:dyDescent="0.2">
      <c r="A7">
        <f>ROW(Source!A25)</f>
        <v>25</v>
      </c>
      <c r="B7">
        <v>82813384</v>
      </c>
      <c r="C7">
        <v>82813512</v>
      </c>
      <c r="D7">
        <v>81086531</v>
      </c>
      <c r="E7">
        <v>1</v>
      </c>
      <c r="F7">
        <v>1</v>
      </c>
      <c r="G7">
        <v>1</v>
      </c>
      <c r="H7">
        <v>2</v>
      </c>
      <c r="I7" t="s">
        <v>304</v>
      </c>
      <c r="J7" t="s">
        <v>305</v>
      </c>
      <c r="K7" t="s">
        <v>306</v>
      </c>
      <c r="L7">
        <v>1368</v>
      </c>
      <c r="N7">
        <v>1011</v>
      </c>
      <c r="O7" t="s">
        <v>292</v>
      </c>
      <c r="P7" t="s">
        <v>292</v>
      </c>
      <c r="Q7">
        <v>1</v>
      </c>
      <c r="W7">
        <v>0</v>
      </c>
      <c r="X7">
        <v>-1073301144</v>
      </c>
      <c r="Y7">
        <f>(AT7*ROUND(((0.35+1)*1.25),7))</f>
        <v>1.6875000000000001E-2</v>
      </c>
      <c r="AA7">
        <v>0</v>
      </c>
      <c r="AB7">
        <v>1036.96</v>
      </c>
      <c r="AC7">
        <v>982.04</v>
      </c>
      <c r="AD7">
        <v>0</v>
      </c>
      <c r="AE7">
        <v>0</v>
      </c>
      <c r="AF7">
        <v>1036.96</v>
      </c>
      <c r="AG7">
        <v>982.04</v>
      </c>
      <c r="AH7">
        <v>0</v>
      </c>
      <c r="AI7">
        <v>1</v>
      </c>
      <c r="AJ7">
        <v>1</v>
      </c>
      <c r="AK7">
        <v>1</v>
      </c>
      <c r="AL7">
        <v>1</v>
      </c>
      <c r="AM7">
        <v>-2</v>
      </c>
      <c r="AN7">
        <v>0</v>
      </c>
      <c r="AO7">
        <v>0</v>
      </c>
      <c r="AP7">
        <v>1</v>
      </c>
      <c r="AQ7">
        <v>1</v>
      </c>
      <c r="AR7">
        <v>0</v>
      </c>
      <c r="AS7" t="s">
        <v>3</v>
      </c>
      <c r="AT7">
        <v>0.01</v>
      </c>
      <c r="AU7" t="s">
        <v>32</v>
      </c>
      <c r="AV7">
        <v>1</v>
      </c>
      <c r="AW7">
        <v>2</v>
      </c>
      <c r="AX7">
        <v>82813515</v>
      </c>
      <c r="AY7">
        <v>1</v>
      </c>
      <c r="AZ7">
        <v>0</v>
      </c>
      <c r="BA7">
        <v>7</v>
      </c>
      <c r="BB7">
        <v>1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10.3696</v>
      </c>
      <c r="BL7">
        <v>9.8203999999999994</v>
      </c>
      <c r="BM7">
        <v>0</v>
      </c>
      <c r="BN7">
        <v>0</v>
      </c>
      <c r="BO7">
        <v>0.01</v>
      </c>
      <c r="BP7">
        <v>1</v>
      </c>
      <c r="BQ7">
        <v>0</v>
      </c>
      <c r="BR7">
        <v>17.498700000000003</v>
      </c>
      <c r="BS7">
        <v>16.571925</v>
      </c>
      <c r="BT7">
        <v>0</v>
      </c>
      <c r="BU7">
        <v>0</v>
      </c>
      <c r="BV7">
        <v>1.6875000000000001E-2</v>
      </c>
      <c r="BW7">
        <v>1</v>
      </c>
      <c r="CV7">
        <v>0</v>
      </c>
      <c r="CW7">
        <f>ROUND(Y7*Source!I25*DO7,7)</f>
        <v>3.3750000000000002E-2</v>
      </c>
      <c r="CX7">
        <f>ROUND(Y7*Source!I25,7)</f>
        <v>3.3750000000000002E-2</v>
      </c>
      <c r="CY7">
        <f>AB7</f>
        <v>1036.96</v>
      </c>
      <c r="CZ7">
        <f>AF7</f>
        <v>1036.96</v>
      </c>
      <c r="DA7">
        <f>AJ7</f>
        <v>1</v>
      </c>
      <c r="DB7">
        <f>ROUND((ROUND(AT7*CZ7,2)*ROUND(((0.35+1)*1.25),7)),6)</f>
        <v>17.499375000000001</v>
      </c>
      <c r="DC7">
        <f>ROUND((ROUND(AT7*AG7,2)*ROUND(((0.35+1)*1.25),7)),6)</f>
        <v>16.571249999999999</v>
      </c>
      <c r="DD7" t="s">
        <v>3</v>
      </c>
      <c r="DE7" t="s">
        <v>3</v>
      </c>
      <c r="DF7">
        <f t="shared" si="3"/>
        <v>0</v>
      </c>
      <c r="DG7">
        <f t="shared" si="2"/>
        <v>35</v>
      </c>
      <c r="DH7">
        <f t="shared" si="0"/>
        <v>33.14</v>
      </c>
      <c r="DI7">
        <f t="shared" si="1"/>
        <v>0</v>
      </c>
      <c r="DJ7">
        <f>DG7+DH7</f>
        <v>68.14</v>
      </c>
      <c r="DK7">
        <v>1</v>
      </c>
      <c r="DL7" t="s">
        <v>307</v>
      </c>
      <c r="DM7">
        <v>6</v>
      </c>
      <c r="DN7" t="s">
        <v>288</v>
      </c>
      <c r="DO7">
        <v>1</v>
      </c>
    </row>
    <row r="8" spans="1:119" x14ac:dyDescent="0.2">
      <c r="A8">
        <f>ROW(Source!A25)</f>
        <v>25</v>
      </c>
      <c r="B8">
        <v>82813384</v>
      </c>
      <c r="C8">
        <v>82813512</v>
      </c>
      <c r="D8">
        <v>81087487</v>
      </c>
      <c r="E8">
        <v>1</v>
      </c>
      <c r="F8">
        <v>1</v>
      </c>
      <c r="G8">
        <v>1</v>
      </c>
      <c r="H8">
        <v>2</v>
      </c>
      <c r="I8" t="s">
        <v>308</v>
      </c>
      <c r="J8" t="s">
        <v>309</v>
      </c>
      <c r="K8" t="s">
        <v>310</v>
      </c>
      <c r="L8">
        <v>1368</v>
      </c>
      <c r="N8">
        <v>1011</v>
      </c>
      <c r="O8" t="s">
        <v>292</v>
      </c>
      <c r="P8" t="s">
        <v>292</v>
      </c>
      <c r="Q8">
        <v>1</v>
      </c>
      <c r="W8">
        <v>0</v>
      </c>
      <c r="X8">
        <v>-312038840</v>
      </c>
      <c r="Y8">
        <f>(AT8*ROUND(((0.35+1)*1.25),7))</f>
        <v>1.6875000000000001E-2</v>
      </c>
      <c r="AA8">
        <v>0</v>
      </c>
      <c r="AB8">
        <v>544.91999999999996</v>
      </c>
      <c r="AC8">
        <v>731.08</v>
      </c>
      <c r="AD8">
        <v>0</v>
      </c>
      <c r="AE8">
        <v>0</v>
      </c>
      <c r="AF8">
        <v>544.91999999999996</v>
      </c>
      <c r="AG8">
        <v>731.08</v>
      </c>
      <c r="AH8">
        <v>0</v>
      </c>
      <c r="AI8">
        <v>1</v>
      </c>
      <c r="AJ8">
        <v>1</v>
      </c>
      <c r="AK8">
        <v>1</v>
      </c>
      <c r="AL8">
        <v>1</v>
      </c>
      <c r="AM8">
        <v>-2</v>
      </c>
      <c r="AN8">
        <v>0</v>
      </c>
      <c r="AO8">
        <v>0</v>
      </c>
      <c r="AP8">
        <v>1</v>
      </c>
      <c r="AQ8">
        <v>1</v>
      </c>
      <c r="AR8">
        <v>0</v>
      </c>
      <c r="AS8" t="s">
        <v>3</v>
      </c>
      <c r="AT8">
        <v>0.01</v>
      </c>
      <c r="AU8" t="s">
        <v>32</v>
      </c>
      <c r="AV8">
        <v>1</v>
      </c>
      <c r="AW8">
        <v>2</v>
      </c>
      <c r="AX8">
        <v>82813516</v>
      </c>
      <c r="AY8">
        <v>1</v>
      </c>
      <c r="AZ8">
        <v>0</v>
      </c>
      <c r="BA8">
        <v>8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5.4491999999999994</v>
      </c>
      <c r="BL8">
        <v>7.3108000000000004</v>
      </c>
      <c r="BM8">
        <v>0</v>
      </c>
      <c r="BN8">
        <v>0</v>
      </c>
      <c r="BO8">
        <v>0.01</v>
      </c>
      <c r="BP8">
        <v>1</v>
      </c>
      <c r="BQ8">
        <v>0</v>
      </c>
      <c r="BR8">
        <v>9.1955249999999999</v>
      </c>
      <c r="BS8">
        <v>12.336975000000001</v>
      </c>
      <c r="BT8">
        <v>0</v>
      </c>
      <c r="BU8">
        <v>0</v>
      </c>
      <c r="BV8">
        <v>1.6875000000000001E-2</v>
      </c>
      <c r="BW8">
        <v>1</v>
      </c>
      <c r="CV8">
        <v>0</v>
      </c>
      <c r="CW8">
        <f>ROUND(Y8*Source!I25*DO8,7)</f>
        <v>3.3750000000000002E-2</v>
      </c>
      <c r="CX8">
        <f>ROUND(Y8*Source!I25,7)</f>
        <v>3.3750000000000002E-2</v>
      </c>
      <c r="CY8">
        <f>AB8</f>
        <v>544.91999999999996</v>
      </c>
      <c r="CZ8">
        <f>AF8</f>
        <v>544.91999999999996</v>
      </c>
      <c r="DA8">
        <f>AJ8</f>
        <v>1</v>
      </c>
      <c r="DB8">
        <f>ROUND((ROUND(AT8*CZ8,2)*ROUND(((0.35+1)*1.25),7)),6)</f>
        <v>9.1968750000000004</v>
      </c>
      <c r="DC8">
        <f>ROUND((ROUND(AT8*AG8,2)*ROUND(((0.35+1)*1.25),7)),6)</f>
        <v>12.335625</v>
      </c>
      <c r="DD8" t="s">
        <v>3</v>
      </c>
      <c r="DE8" t="s">
        <v>3</v>
      </c>
      <c r="DF8">
        <f t="shared" si="3"/>
        <v>0</v>
      </c>
      <c r="DG8">
        <f t="shared" si="2"/>
        <v>18.39</v>
      </c>
      <c r="DH8">
        <f t="shared" si="0"/>
        <v>24.67</v>
      </c>
      <c r="DI8">
        <f t="shared" si="1"/>
        <v>0</v>
      </c>
      <c r="DJ8">
        <f>DG8+DH8</f>
        <v>43.06</v>
      </c>
      <c r="DK8">
        <v>1</v>
      </c>
      <c r="DL8" t="s">
        <v>311</v>
      </c>
      <c r="DM8">
        <v>4</v>
      </c>
      <c r="DN8" t="s">
        <v>288</v>
      </c>
      <c r="DO8">
        <v>1</v>
      </c>
    </row>
    <row r="9" spans="1:119" x14ac:dyDescent="0.2">
      <c r="A9">
        <f>ROW(Source!A25)</f>
        <v>25</v>
      </c>
      <c r="B9">
        <v>82813384</v>
      </c>
      <c r="C9">
        <v>82813512</v>
      </c>
      <c r="D9">
        <v>81087646</v>
      </c>
      <c r="E9">
        <v>1</v>
      </c>
      <c r="F9">
        <v>1</v>
      </c>
      <c r="G9">
        <v>1</v>
      </c>
      <c r="H9">
        <v>2</v>
      </c>
      <c r="I9" t="s">
        <v>289</v>
      </c>
      <c r="J9" t="s">
        <v>290</v>
      </c>
      <c r="K9" t="s">
        <v>291</v>
      </c>
      <c r="L9">
        <v>1368</v>
      </c>
      <c r="N9">
        <v>1011</v>
      </c>
      <c r="O9" t="s">
        <v>292</v>
      </c>
      <c r="P9" t="s">
        <v>292</v>
      </c>
      <c r="Q9">
        <v>1</v>
      </c>
      <c r="W9">
        <v>0</v>
      </c>
      <c r="X9">
        <v>-536748942</v>
      </c>
      <c r="Y9">
        <f>(AT9*ROUND(((0.35+1)*1.25),7))</f>
        <v>1.0293749999999999</v>
      </c>
      <c r="AA9">
        <v>0</v>
      </c>
      <c r="AB9">
        <v>5.35</v>
      </c>
      <c r="AC9">
        <v>0</v>
      </c>
      <c r="AD9">
        <v>0</v>
      </c>
      <c r="AE9">
        <v>0</v>
      </c>
      <c r="AF9">
        <v>4.3499999999999996</v>
      </c>
      <c r="AG9">
        <v>0</v>
      </c>
      <c r="AH9">
        <v>0</v>
      </c>
      <c r="AI9">
        <v>1</v>
      </c>
      <c r="AJ9">
        <v>1.23</v>
      </c>
      <c r="AK9">
        <v>1</v>
      </c>
      <c r="AL9">
        <v>1</v>
      </c>
      <c r="AM9">
        <v>2</v>
      </c>
      <c r="AN9">
        <v>0</v>
      </c>
      <c r="AO9">
        <v>0</v>
      </c>
      <c r="AP9">
        <v>1</v>
      </c>
      <c r="AQ9">
        <v>1</v>
      </c>
      <c r="AR9">
        <v>0</v>
      </c>
      <c r="AS9" t="s">
        <v>3</v>
      </c>
      <c r="AT9">
        <v>0.61</v>
      </c>
      <c r="AU9" t="s">
        <v>32</v>
      </c>
      <c r="AV9">
        <v>1</v>
      </c>
      <c r="AW9">
        <v>2</v>
      </c>
      <c r="AX9">
        <v>82813517</v>
      </c>
      <c r="AY9">
        <v>1</v>
      </c>
      <c r="AZ9">
        <v>0</v>
      </c>
      <c r="BA9">
        <v>9</v>
      </c>
      <c r="BB9">
        <v>1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2.6534999999999997</v>
      </c>
      <c r="BL9">
        <v>0</v>
      </c>
      <c r="BM9">
        <v>0</v>
      </c>
      <c r="BN9">
        <v>0</v>
      </c>
      <c r="BO9">
        <v>0</v>
      </c>
      <c r="BP9">
        <v>1</v>
      </c>
      <c r="BQ9">
        <v>0</v>
      </c>
      <c r="BR9">
        <v>4.4777812499999996</v>
      </c>
      <c r="BS9">
        <v>0</v>
      </c>
      <c r="BT9">
        <v>0</v>
      </c>
      <c r="BU9">
        <v>0</v>
      </c>
      <c r="BV9">
        <v>0</v>
      </c>
      <c r="BW9">
        <v>1</v>
      </c>
      <c r="CV9">
        <v>0</v>
      </c>
      <c r="CW9">
        <f>ROUND(Y9*Source!I25*DO9,7)</f>
        <v>0</v>
      </c>
      <c r="CX9">
        <f>ROUND(Y9*Source!I25,7)</f>
        <v>2.0587499999999999</v>
      </c>
      <c r="CY9">
        <f>AB9</f>
        <v>5.35</v>
      </c>
      <c r="CZ9">
        <f>AF9</f>
        <v>4.3499999999999996</v>
      </c>
      <c r="DA9">
        <f>AJ9</f>
        <v>1.23</v>
      </c>
      <c r="DB9">
        <f>ROUND((ROUND(AT9*CZ9,2)*ROUND(((0.35+1)*1.25),7)),6)</f>
        <v>4.4718749999999998</v>
      </c>
      <c r="DC9">
        <f>ROUND((ROUND(AT9*AG9,2)*ROUND(((0.35+1)*1.25),7)),6)</f>
        <v>0</v>
      </c>
      <c r="DD9" t="s">
        <v>3</v>
      </c>
      <c r="DE9" t="s">
        <v>3</v>
      </c>
      <c r="DF9">
        <f t="shared" si="3"/>
        <v>0</v>
      </c>
      <c r="DG9">
        <f>ROUND(ROUND(AF9*AJ9,2)*CX9,2)</f>
        <v>11.01</v>
      </c>
      <c r="DH9">
        <f t="shared" si="0"/>
        <v>0</v>
      </c>
      <c r="DI9">
        <f t="shared" si="1"/>
        <v>0</v>
      </c>
      <c r="DJ9">
        <f>DG9+DH9</f>
        <v>11.01</v>
      </c>
      <c r="DK9">
        <v>0</v>
      </c>
      <c r="DL9" t="s">
        <v>3</v>
      </c>
      <c r="DM9">
        <v>0</v>
      </c>
      <c r="DN9" t="s">
        <v>3</v>
      </c>
      <c r="DO9">
        <v>0</v>
      </c>
    </row>
    <row r="10" spans="1:119" x14ac:dyDescent="0.2">
      <c r="A10">
        <f>ROW(Source!A25)</f>
        <v>25</v>
      </c>
      <c r="B10">
        <v>82813384</v>
      </c>
      <c r="C10">
        <v>82813512</v>
      </c>
      <c r="D10">
        <v>81087684</v>
      </c>
      <c r="E10">
        <v>1</v>
      </c>
      <c r="F10">
        <v>1</v>
      </c>
      <c r="G10">
        <v>1</v>
      </c>
      <c r="H10">
        <v>2</v>
      </c>
      <c r="I10" t="s">
        <v>312</v>
      </c>
      <c r="J10" t="s">
        <v>313</v>
      </c>
      <c r="K10" t="s">
        <v>314</v>
      </c>
      <c r="L10">
        <v>1368</v>
      </c>
      <c r="N10">
        <v>1011</v>
      </c>
      <c r="O10" t="s">
        <v>292</v>
      </c>
      <c r="P10" t="s">
        <v>292</v>
      </c>
      <c r="Q10">
        <v>1</v>
      </c>
      <c r="W10">
        <v>0</v>
      </c>
      <c r="X10">
        <v>462025989</v>
      </c>
      <c r="Y10">
        <f>(AT10*ROUND(((0.35+1)*1.25),7))</f>
        <v>0.94500000000000006</v>
      </c>
      <c r="AA10">
        <v>0</v>
      </c>
      <c r="AB10">
        <v>32.24</v>
      </c>
      <c r="AC10">
        <v>0</v>
      </c>
      <c r="AD10">
        <v>0</v>
      </c>
      <c r="AE10">
        <v>0</v>
      </c>
      <c r="AF10">
        <v>32.24</v>
      </c>
      <c r="AG10">
        <v>0</v>
      </c>
      <c r="AH10">
        <v>0</v>
      </c>
      <c r="AI10">
        <v>1</v>
      </c>
      <c r="AJ10">
        <v>1</v>
      </c>
      <c r="AK10">
        <v>1</v>
      </c>
      <c r="AL10">
        <v>1</v>
      </c>
      <c r="AM10">
        <v>-2</v>
      </c>
      <c r="AN10">
        <v>0</v>
      </c>
      <c r="AO10">
        <v>0</v>
      </c>
      <c r="AP10">
        <v>1</v>
      </c>
      <c r="AQ10">
        <v>1</v>
      </c>
      <c r="AR10">
        <v>0</v>
      </c>
      <c r="AS10" t="s">
        <v>3</v>
      </c>
      <c r="AT10">
        <v>0.56000000000000005</v>
      </c>
      <c r="AU10" t="s">
        <v>32</v>
      </c>
      <c r="AV10">
        <v>1</v>
      </c>
      <c r="AW10">
        <v>2</v>
      </c>
      <c r="AX10">
        <v>82813518</v>
      </c>
      <c r="AY10">
        <v>1</v>
      </c>
      <c r="AZ10">
        <v>0</v>
      </c>
      <c r="BA10">
        <v>10</v>
      </c>
      <c r="BB10">
        <v>1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18.054400000000001</v>
      </c>
      <c r="BL10">
        <v>0</v>
      </c>
      <c r="BM10">
        <v>0</v>
      </c>
      <c r="BN10">
        <v>0</v>
      </c>
      <c r="BO10">
        <v>0</v>
      </c>
      <c r="BP10">
        <v>1</v>
      </c>
      <c r="BQ10">
        <v>0</v>
      </c>
      <c r="BR10">
        <v>30.466800000000006</v>
      </c>
      <c r="BS10">
        <v>0</v>
      </c>
      <c r="BT10">
        <v>0</v>
      </c>
      <c r="BU10">
        <v>0</v>
      </c>
      <c r="BV10">
        <v>0</v>
      </c>
      <c r="BW10">
        <v>1</v>
      </c>
      <c r="CV10">
        <v>0</v>
      </c>
      <c r="CW10">
        <f>ROUND(Y10*Source!I25*DO10,7)</f>
        <v>0</v>
      </c>
      <c r="CX10">
        <f>ROUND(Y10*Source!I25,7)</f>
        <v>1.89</v>
      </c>
      <c r="CY10">
        <f>AB10</f>
        <v>32.24</v>
      </c>
      <c r="CZ10">
        <f>AF10</f>
        <v>32.24</v>
      </c>
      <c r="DA10">
        <f>AJ10</f>
        <v>1</v>
      </c>
      <c r="DB10">
        <f>ROUND((ROUND(AT10*CZ10,2)*ROUND(((0.35+1)*1.25),7)),6)</f>
        <v>30.459375000000001</v>
      </c>
      <c r="DC10">
        <f>ROUND((ROUND(AT10*AG10,2)*ROUND(((0.35+1)*1.25),7)),6)</f>
        <v>0</v>
      </c>
      <c r="DD10" t="s">
        <v>3</v>
      </c>
      <c r="DE10" t="s">
        <v>3</v>
      </c>
      <c r="DF10">
        <f t="shared" si="3"/>
        <v>0</v>
      </c>
      <c r="DG10">
        <f t="shared" ref="DG10:DG30" si="4">ROUND(ROUND(AF10,2)*CX10,2)</f>
        <v>60.93</v>
      </c>
      <c r="DH10">
        <f t="shared" si="0"/>
        <v>0</v>
      </c>
      <c r="DI10">
        <f t="shared" si="1"/>
        <v>0</v>
      </c>
      <c r="DJ10">
        <f>DG10+DH10</f>
        <v>60.93</v>
      </c>
      <c r="DK10">
        <v>1</v>
      </c>
      <c r="DL10" t="s">
        <v>3</v>
      </c>
      <c r="DM10">
        <v>0</v>
      </c>
      <c r="DN10" t="s">
        <v>3</v>
      </c>
      <c r="DO10">
        <v>0</v>
      </c>
    </row>
    <row r="11" spans="1:119" x14ac:dyDescent="0.2">
      <c r="A11">
        <f>ROW(Source!A25)</f>
        <v>25</v>
      </c>
      <c r="B11">
        <v>82813384</v>
      </c>
      <c r="C11">
        <v>82813512</v>
      </c>
      <c r="D11">
        <v>81034499</v>
      </c>
      <c r="E11">
        <v>1</v>
      </c>
      <c r="F11">
        <v>1</v>
      </c>
      <c r="G11">
        <v>1</v>
      </c>
      <c r="H11">
        <v>3</v>
      </c>
      <c r="I11" t="s">
        <v>315</v>
      </c>
      <c r="J11" t="s">
        <v>316</v>
      </c>
      <c r="K11" t="s">
        <v>317</v>
      </c>
      <c r="L11">
        <v>1407</v>
      </c>
      <c r="N11">
        <v>1013</v>
      </c>
      <c r="O11" t="s">
        <v>318</v>
      </c>
      <c r="P11" t="s">
        <v>318</v>
      </c>
      <c r="Q11">
        <v>1</v>
      </c>
      <c r="W11">
        <v>0</v>
      </c>
      <c r="X11">
        <v>-786638904</v>
      </c>
      <c r="Y11">
        <f t="shared" ref="Y11:Y26" si="5">AT11</f>
        <v>1E-3</v>
      </c>
      <c r="AA11">
        <v>8287.8799999999992</v>
      </c>
      <c r="AB11">
        <v>0</v>
      </c>
      <c r="AC11">
        <v>0</v>
      </c>
      <c r="AD11">
        <v>0</v>
      </c>
      <c r="AE11">
        <v>7023.63</v>
      </c>
      <c r="AF11">
        <v>0</v>
      </c>
      <c r="AG11">
        <v>0</v>
      </c>
      <c r="AH11">
        <v>0</v>
      </c>
      <c r="AI11">
        <v>1.18</v>
      </c>
      <c r="AJ11">
        <v>1</v>
      </c>
      <c r="AK11">
        <v>1</v>
      </c>
      <c r="AL11">
        <v>1</v>
      </c>
      <c r="AM11">
        <v>2</v>
      </c>
      <c r="AN11">
        <v>0</v>
      </c>
      <c r="AO11">
        <v>0</v>
      </c>
      <c r="AP11">
        <v>1</v>
      </c>
      <c r="AQ11">
        <v>1</v>
      </c>
      <c r="AR11">
        <v>0</v>
      </c>
      <c r="AS11" t="s">
        <v>3</v>
      </c>
      <c r="AT11">
        <v>1E-3</v>
      </c>
      <c r="AU11" t="s">
        <v>3</v>
      </c>
      <c r="AV11">
        <v>0</v>
      </c>
      <c r="AW11">
        <v>2</v>
      </c>
      <c r="AX11">
        <v>82813519</v>
      </c>
      <c r="AY11">
        <v>1</v>
      </c>
      <c r="AZ11">
        <v>0</v>
      </c>
      <c r="BA11">
        <v>11</v>
      </c>
      <c r="BB11">
        <v>1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7.0236299999999998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1</v>
      </c>
      <c r="BQ11">
        <v>7.0236299999999998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1</v>
      </c>
      <c r="CV11">
        <v>0</v>
      </c>
      <c r="CW11">
        <v>0</v>
      </c>
      <c r="CX11">
        <f>ROUND(Y11*Source!I25,7)</f>
        <v>2E-3</v>
      </c>
      <c r="CY11">
        <f t="shared" ref="CY11:CY18" si="6">AA11</f>
        <v>8287.8799999999992</v>
      </c>
      <c r="CZ11">
        <f t="shared" ref="CZ11:CZ18" si="7">AE11</f>
        <v>7023.63</v>
      </c>
      <c r="DA11">
        <f t="shared" ref="DA11:DA18" si="8">AI11</f>
        <v>1.18</v>
      </c>
      <c r="DB11">
        <f t="shared" ref="DB11:DB26" si="9">ROUND(ROUND(AT11*CZ11,2),6)</f>
        <v>7.02</v>
      </c>
      <c r="DC11">
        <f t="shared" ref="DC11:DC26" si="10">ROUND(ROUND(AT11*AG11,2),6)</f>
        <v>0</v>
      </c>
      <c r="DD11" t="s">
        <v>3</v>
      </c>
      <c r="DE11" t="s">
        <v>3</v>
      </c>
      <c r="DF11">
        <f>ROUND(ROUND(AE11*AI11,2)*CX11,2)</f>
        <v>16.579999999999998</v>
      </c>
      <c r="DG11">
        <f t="shared" si="4"/>
        <v>0</v>
      </c>
      <c r="DH11">
        <f t="shared" si="0"/>
        <v>0</v>
      </c>
      <c r="DI11">
        <f t="shared" si="1"/>
        <v>0</v>
      </c>
      <c r="DJ11">
        <f t="shared" ref="DJ11:DJ18" si="11">DF11</f>
        <v>16.579999999999998</v>
      </c>
      <c r="DK11">
        <v>0</v>
      </c>
      <c r="DL11" t="s">
        <v>3</v>
      </c>
      <c r="DM11">
        <v>0</v>
      </c>
      <c r="DN11" t="s">
        <v>3</v>
      </c>
      <c r="DO11">
        <v>0</v>
      </c>
    </row>
    <row r="12" spans="1:119" x14ac:dyDescent="0.2">
      <c r="A12">
        <f>ROW(Source!A25)</f>
        <v>25</v>
      </c>
      <c r="B12">
        <v>82813384</v>
      </c>
      <c r="C12">
        <v>82813512</v>
      </c>
      <c r="D12">
        <v>81034712</v>
      </c>
      <c r="E12">
        <v>1</v>
      </c>
      <c r="F12">
        <v>1</v>
      </c>
      <c r="G12">
        <v>1</v>
      </c>
      <c r="H12">
        <v>3</v>
      </c>
      <c r="I12" t="s">
        <v>293</v>
      </c>
      <c r="J12" t="s">
        <v>294</v>
      </c>
      <c r="K12" t="s">
        <v>295</v>
      </c>
      <c r="L12">
        <v>1339</v>
      </c>
      <c r="N12">
        <v>1007</v>
      </c>
      <c r="O12" t="s">
        <v>296</v>
      </c>
      <c r="P12" t="s">
        <v>296</v>
      </c>
      <c r="Q12">
        <v>1</v>
      </c>
      <c r="W12">
        <v>0</v>
      </c>
      <c r="X12">
        <v>58756862</v>
      </c>
      <c r="Y12">
        <f t="shared" si="5"/>
        <v>1.0500000000000001E-2</v>
      </c>
      <c r="AA12">
        <v>544.66</v>
      </c>
      <c r="AB12">
        <v>0</v>
      </c>
      <c r="AC12">
        <v>0</v>
      </c>
      <c r="AD12">
        <v>0</v>
      </c>
      <c r="AE12">
        <v>340.41</v>
      </c>
      <c r="AF12">
        <v>0</v>
      </c>
      <c r="AG12">
        <v>0</v>
      </c>
      <c r="AH12">
        <v>0</v>
      </c>
      <c r="AI12">
        <v>1.6</v>
      </c>
      <c r="AJ12">
        <v>1</v>
      </c>
      <c r="AK12">
        <v>1</v>
      </c>
      <c r="AL12">
        <v>1</v>
      </c>
      <c r="AM12">
        <v>2</v>
      </c>
      <c r="AN12">
        <v>0</v>
      </c>
      <c r="AO12">
        <v>0</v>
      </c>
      <c r="AP12">
        <v>1</v>
      </c>
      <c r="AQ12">
        <v>1</v>
      </c>
      <c r="AR12">
        <v>0</v>
      </c>
      <c r="AS12" t="s">
        <v>3</v>
      </c>
      <c r="AT12">
        <v>1.0500000000000001E-2</v>
      </c>
      <c r="AU12" t="s">
        <v>3</v>
      </c>
      <c r="AV12">
        <v>0</v>
      </c>
      <c r="AW12">
        <v>2</v>
      </c>
      <c r="AX12">
        <v>82813520</v>
      </c>
      <c r="AY12">
        <v>1</v>
      </c>
      <c r="AZ12">
        <v>0</v>
      </c>
      <c r="BA12">
        <v>12</v>
      </c>
      <c r="BB12">
        <v>1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3.5743050000000003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1</v>
      </c>
      <c r="BQ12">
        <v>3.5743050000000003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1</v>
      </c>
      <c r="CV12">
        <v>0</v>
      </c>
      <c r="CW12">
        <v>0</v>
      </c>
      <c r="CX12">
        <f>ROUND(Y12*Source!I25,7)</f>
        <v>2.1000000000000001E-2</v>
      </c>
      <c r="CY12">
        <f t="shared" si="6"/>
        <v>544.66</v>
      </c>
      <c r="CZ12">
        <f t="shared" si="7"/>
        <v>340.41</v>
      </c>
      <c r="DA12">
        <f t="shared" si="8"/>
        <v>1.6</v>
      </c>
      <c r="DB12">
        <f t="shared" si="9"/>
        <v>3.57</v>
      </c>
      <c r="DC12">
        <f t="shared" si="10"/>
        <v>0</v>
      </c>
      <c r="DD12" t="s">
        <v>3</v>
      </c>
      <c r="DE12" t="s">
        <v>3</v>
      </c>
      <c r="DF12">
        <f>ROUND(ROUND(AE12*AI12,2)*CX12,2)</f>
        <v>11.44</v>
      </c>
      <c r="DG12">
        <f t="shared" si="4"/>
        <v>0</v>
      </c>
      <c r="DH12">
        <f t="shared" si="0"/>
        <v>0</v>
      </c>
      <c r="DI12">
        <f t="shared" si="1"/>
        <v>0</v>
      </c>
      <c r="DJ12">
        <f t="shared" si="11"/>
        <v>11.44</v>
      </c>
      <c r="DK12">
        <v>0</v>
      </c>
      <c r="DL12" t="s">
        <v>3</v>
      </c>
      <c r="DM12">
        <v>0</v>
      </c>
      <c r="DN12" t="s">
        <v>3</v>
      </c>
      <c r="DO12">
        <v>0</v>
      </c>
    </row>
    <row r="13" spans="1:119" x14ac:dyDescent="0.2">
      <c r="A13">
        <f>ROW(Source!A25)</f>
        <v>25</v>
      </c>
      <c r="B13">
        <v>82813384</v>
      </c>
      <c r="C13">
        <v>82813512</v>
      </c>
      <c r="D13">
        <v>81034728</v>
      </c>
      <c r="E13">
        <v>1</v>
      </c>
      <c r="F13">
        <v>1</v>
      </c>
      <c r="G13">
        <v>1</v>
      </c>
      <c r="H13">
        <v>3</v>
      </c>
      <c r="I13" t="s">
        <v>297</v>
      </c>
      <c r="J13" t="s">
        <v>298</v>
      </c>
      <c r="K13" t="s">
        <v>299</v>
      </c>
      <c r="L13">
        <v>1339</v>
      </c>
      <c r="N13">
        <v>1007</v>
      </c>
      <c r="O13" t="s">
        <v>296</v>
      </c>
      <c r="P13" t="s">
        <v>296</v>
      </c>
      <c r="Q13">
        <v>1</v>
      </c>
      <c r="W13">
        <v>0</v>
      </c>
      <c r="X13">
        <v>1531571680</v>
      </c>
      <c r="Y13">
        <f t="shared" si="5"/>
        <v>4.2000000000000003E-2</v>
      </c>
      <c r="AA13">
        <v>98.59</v>
      </c>
      <c r="AB13">
        <v>0</v>
      </c>
      <c r="AC13">
        <v>0</v>
      </c>
      <c r="AD13">
        <v>0</v>
      </c>
      <c r="AE13">
        <v>114.64</v>
      </c>
      <c r="AF13">
        <v>0</v>
      </c>
      <c r="AG13">
        <v>0</v>
      </c>
      <c r="AH13">
        <v>0</v>
      </c>
      <c r="AI13">
        <v>0.86</v>
      </c>
      <c r="AJ13">
        <v>1</v>
      </c>
      <c r="AK13">
        <v>1</v>
      </c>
      <c r="AL13">
        <v>1</v>
      </c>
      <c r="AM13">
        <v>2</v>
      </c>
      <c r="AN13">
        <v>0</v>
      </c>
      <c r="AO13">
        <v>0</v>
      </c>
      <c r="AP13">
        <v>1</v>
      </c>
      <c r="AQ13">
        <v>1</v>
      </c>
      <c r="AR13">
        <v>0</v>
      </c>
      <c r="AS13" t="s">
        <v>3</v>
      </c>
      <c r="AT13">
        <v>4.2000000000000003E-2</v>
      </c>
      <c r="AU13" t="s">
        <v>3</v>
      </c>
      <c r="AV13">
        <v>0</v>
      </c>
      <c r="AW13">
        <v>2</v>
      </c>
      <c r="AX13">
        <v>82813521</v>
      </c>
      <c r="AY13">
        <v>1</v>
      </c>
      <c r="AZ13">
        <v>0</v>
      </c>
      <c r="BA13">
        <v>13</v>
      </c>
      <c r="BB13">
        <v>1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4.8148800000000005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1</v>
      </c>
      <c r="BQ13">
        <v>4.8148800000000005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1</v>
      </c>
      <c r="CV13">
        <v>0</v>
      </c>
      <c r="CW13">
        <v>0</v>
      </c>
      <c r="CX13">
        <f>ROUND(Y13*Source!I25,7)</f>
        <v>8.4000000000000005E-2</v>
      </c>
      <c r="CY13">
        <f t="shared" si="6"/>
        <v>98.59</v>
      </c>
      <c r="CZ13">
        <f t="shared" si="7"/>
        <v>114.64</v>
      </c>
      <c r="DA13">
        <f t="shared" si="8"/>
        <v>0.86</v>
      </c>
      <c r="DB13">
        <f t="shared" si="9"/>
        <v>4.8099999999999996</v>
      </c>
      <c r="DC13">
        <f t="shared" si="10"/>
        <v>0</v>
      </c>
      <c r="DD13" t="s">
        <v>3</v>
      </c>
      <c r="DE13" t="s">
        <v>3</v>
      </c>
      <c r="DF13">
        <f>ROUND(ROUND(AE13*AI13,2)*CX13,2)</f>
        <v>8.2799999999999994</v>
      </c>
      <c r="DG13">
        <f t="shared" si="4"/>
        <v>0</v>
      </c>
      <c r="DH13">
        <f t="shared" si="0"/>
        <v>0</v>
      </c>
      <c r="DI13">
        <f t="shared" si="1"/>
        <v>0</v>
      </c>
      <c r="DJ13">
        <f t="shared" si="11"/>
        <v>8.2799999999999994</v>
      </c>
      <c r="DK13">
        <v>0</v>
      </c>
      <c r="DL13" t="s">
        <v>3</v>
      </c>
      <c r="DM13">
        <v>0</v>
      </c>
      <c r="DN13" t="s">
        <v>3</v>
      </c>
      <c r="DO13">
        <v>0</v>
      </c>
    </row>
    <row r="14" spans="1:119" x14ac:dyDescent="0.2">
      <c r="A14">
        <f>ROW(Source!A25)</f>
        <v>25</v>
      </c>
      <c r="B14">
        <v>82813384</v>
      </c>
      <c r="C14">
        <v>82813512</v>
      </c>
      <c r="D14">
        <v>81037446</v>
      </c>
      <c r="E14">
        <v>1</v>
      </c>
      <c r="F14">
        <v>1</v>
      </c>
      <c r="G14">
        <v>1</v>
      </c>
      <c r="H14">
        <v>3</v>
      </c>
      <c r="I14" t="s">
        <v>319</v>
      </c>
      <c r="J14" t="s">
        <v>320</v>
      </c>
      <c r="K14" t="s">
        <v>321</v>
      </c>
      <c r="L14">
        <v>1346</v>
      </c>
      <c r="N14">
        <v>1009</v>
      </c>
      <c r="O14" t="s">
        <v>93</v>
      </c>
      <c r="P14" t="s">
        <v>93</v>
      </c>
      <c r="Q14">
        <v>1</v>
      </c>
      <c r="W14">
        <v>0</v>
      </c>
      <c r="X14">
        <v>-1476217930</v>
      </c>
      <c r="Y14">
        <f t="shared" si="5"/>
        <v>0.2</v>
      </c>
      <c r="AA14">
        <v>119.84</v>
      </c>
      <c r="AB14">
        <v>0</v>
      </c>
      <c r="AC14">
        <v>0</v>
      </c>
      <c r="AD14">
        <v>0</v>
      </c>
      <c r="AE14">
        <v>155.63</v>
      </c>
      <c r="AF14">
        <v>0</v>
      </c>
      <c r="AG14">
        <v>0</v>
      </c>
      <c r="AH14">
        <v>0</v>
      </c>
      <c r="AI14">
        <v>0.77</v>
      </c>
      <c r="AJ14">
        <v>1</v>
      </c>
      <c r="AK14">
        <v>1</v>
      </c>
      <c r="AL14">
        <v>1</v>
      </c>
      <c r="AM14">
        <v>2</v>
      </c>
      <c r="AN14">
        <v>0</v>
      </c>
      <c r="AO14">
        <v>0</v>
      </c>
      <c r="AP14">
        <v>1</v>
      </c>
      <c r="AQ14">
        <v>1</v>
      </c>
      <c r="AR14">
        <v>0</v>
      </c>
      <c r="AS14" t="s">
        <v>3</v>
      </c>
      <c r="AT14">
        <v>0.2</v>
      </c>
      <c r="AU14" t="s">
        <v>3</v>
      </c>
      <c r="AV14">
        <v>0</v>
      </c>
      <c r="AW14">
        <v>2</v>
      </c>
      <c r="AX14">
        <v>82813522</v>
      </c>
      <c r="AY14">
        <v>1</v>
      </c>
      <c r="AZ14">
        <v>0</v>
      </c>
      <c r="BA14">
        <v>14</v>
      </c>
      <c r="BB14">
        <v>1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31.126000000000001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1</v>
      </c>
      <c r="BQ14">
        <v>31.126000000000001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1</v>
      </c>
      <c r="CV14">
        <v>0</v>
      </c>
      <c r="CW14">
        <v>0</v>
      </c>
      <c r="CX14">
        <f>ROUND(Y14*Source!I25,7)</f>
        <v>0.4</v>
      </c>
      <c r="CY14">
        <f t="shared" si="6"/>
        <v>119.84</v>
      </c>
      <c r="CZ14">
        <f t="shared" si="7"/>
        <v>155.63</v>
      </c>
      <c r="DA14">
        <f t="shared" si="8"/>
        <v>0.77</v>
      </c>
      <c r="DB14">
        <f t="shared" si="9"/>
        <v>31.13</v>
      </c>
      <c r="DC14">
        <f t="shared" si="10"/>
        <v>0</v>
      </c>
      <c r="DD14" t="s">
        <v>3</v>
      </c>
      <c r="DE14" t="s">
        <v>3</v>
      </c>
      <c r="DF14">
        <f>ROUND(ROUND(AE14*AI14,2)*CX14,2)</f>
        <v>47.94</v>
      </c>
      <c r="DG14">
        <f t="shared" si="4"/>
        <v>0</v>
      </c>
      <c r="DH14">
        <f t="shared" si="0"/>
        <v>0</v>
      </c>
      <c r="DI14">
        <f t="shared" si="1"/>
        <v>0</v>
      </c>
      <c r="DJ14">
        <f t="shared" si="11"/>
        <v>47.94</v>
      </c>
      <c r="DK14">
        <v>0</v>
      </c>
      <c r="DL14" t="s">
        <v>3</v>
      </c>
      <c r="DM14">
        <v>0</v>
      </c>
      <c r="DN14" t="s">
        <v>3</v>
      </c>
      <c r="DO14">
        <v>0</v>
      </c>
    </row>
    <row r="15" spans="1:119" x14ac:dyDescent="0.2">
      <c r="A15">
        <f>ROW(Source!A25)</f>
        <v>25</v>
      </c>
      <c r="B15">
        <v>82813384</v>
      </c>
      <c r="C15">
        <v>82813512</v>
      </c>
      <c r="D15">
        <v>81038182</v>
      </c>
      <c r="E15">
        <v>1</v>
      </c>
      <c r="F15">
        <v>1</v>
      </c>
      <c r="G15">
        <v>1</v>
      </c>
      <c r="H15">
        <v>3</v>
      </c>
      <c r="I15" t="s">
        <v>322</v>
      </c>
      <c r="J15" t="s">
        <v>323</v>
      </c>
      <c r="K15" t="s">
        <v>324</v>
      </c>
      <c r="L15">
        <v>1348</v>
      </c>
      <c r="N15">
        <v>1009</v>
      </c>
      <c r="O15" t="s">
        <v>59</v>
      </c>
      <c r="P15" t="s">
        <v>59</v>
      </c>
      <c r="Q15">
        <v>1000</v>
      </c>
      <c r="W15">
        <v>0</v>
      </c>
      <c r="X15">
        <v>-1354875935</v>
      </c>
      <c r="Y15">
        <f t="shared" si="5"/>
        <v>5.9999999999999995E-4</v>
      </c>
      <c r="AA15">
        <v>157465.60999999999</v>
      </c>
      <c r="AB15">
        <v>0</v>
      </c>
      <c r="AC15">
        <v>0</v>
      </c>
      <c r="AD15">
        <v>0</v>
      </c>
      <c r="AE15">
        <v>145801.49</v>
      </c>
      <c r="AF15">
        <v>0</v>
      </c>
      <c r="AG15">
        <v>0</v>
      </c>
      <c r="AH15">
        <v>0</v>
      </c>
      <c r="AI15">
        <v>1.08</v>
      </c>
      <c r="AJ15">
        <v>1</v>
      </c>
      <c r="AK15">
        <v>1</v>
      </c>
      <c r="AL15">
        <v>1</v>
      </c>
      <c r="AM15">
        <v>2</v>
      </c>
      <c r="AN15">
        <v>0</v>
      </c>
      <c r="AO15">
        <v>0</v>
      </c>
      <c r="AP15">
        <v>1</v>
      </c>
      <c r="AQ15">
        <v>1</v>
      </c>
      <c r="AR15">
        <v>0</v>
      </c>
      <c r="AS15" t="s">
        <v>3</v>
      </c>
      <c r="AT15">
        <v>5.9999999999999995E-4</v>
      </c>
      <c r="AU15" t="s">
        <v>3</v>
      </c>
      <c r="AV15">
        <v>0</v>
      </c>
      <c r="AW15">
        <v>2</v>
      </c>
      <c r="AX15">
        <v>82813523</v>
      </c>
      <c r="AY15">
        <v>1</v>
      </c>
      <c r="AZ15">
        <v>0</v>
      </c>
      <c r="BA15">
        <v>15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87.480893999999992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1</v>
      </c>
      <c r="BQ15">
        <v>87.480893999999992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1</v>
      </c>
      <c r="CV15">
        <v>0</v>
      </c>
      <c r="CW15">
        <v>0</v>
      </c>
      <c r="CX15">
        <f>ROUND(Y15*Source!I25,7)</f>
        <v>1.1999999999999999E-3</v>
      </c>
      <c r="CY15">
        <f t="shared" si="6"/>
        <v>157465.60999999999</v>
      </c>
      <c r="CZ15">
        <f t="shared" si="7"/>
        <v>145801.49</v>
      </c>
      <c r="DA15">
        <f t="shared" si="8"/>
        <v>1.08</v>
      </c>
      <c r="DB15">
        <f t="shared" si="9"/>
        <v>87.48</v>
      </c>
      <c r="DC15">
        <f t="shared" si="10"/>
        <v>0</v>
      </c>
      <c r="DD15" t="s">
        <v>3</v>
      </c>
      <c r="DE15" t="s">
        <v>3</v>
      </c>
      <c r="DF15">
        <f>ROUND(ROUND(AE15*AI15,2)*CX15,2)</f>
        <v>188.96</v>
      </c>
      <c r="DG15">
        <f t="shared" si="4"/>
        <v>0</v>
      </c>
      <c r="DH15">
        <f t="shared" si="0"/>
        <v>0</v>
      </c>
      <c r="DI15">
        <f t="shared" si="1"/>
        <v>0</v>
      </c>
      <c r="DJ15">
        <f t="shared" si="11"/>
        <v>188.96</v>
      </c>
      <c r="DK15">
        <v>0</v>
      </c>
      <c r="DL15" t="s">
        <v>3</v>
      </c>
      <c r="DM15">
        <v>0</v>
      </c>
      <c r="DN15" t="s">
        <v>3</v>
      </c>
      <c r="DO15">
        <v>0</v>
      </c>
    </row>
    <row r="16" spans="1:119" x14ac:dyDescent="0.2">
      <c r="A16">
        <f>ROW(Source!A25)</f>
        <v>25</v>
      </c>
      <c r="B16">
        <v>82813384</v>
      </c>
      <c r="C16">
        <v>82813512</v>
      </c>
      <c r="D16">
        <v>80964454</v>
      </c>
      <c r="E16">
        <v>118</v>
      </c>
      <c r="F16">
        <v>1</v>
      </c>
      <c r="G16">
        <v>1</v>
      </c>
      <c r="H16">
        <v>3</v>
      </c>
      <c r="I16" t="s">
        <v>44</v>
      </c>
      <c r="J16" t="s">
        <v>3</v>
      </c>
      <c r="K16" t="s">
        <v>45</v>
      </c>
      <c r="L16">
        <v>1371</v>
      </c>
      <c r="N16">
        <v>1013</v>
      </c>
      <c r="O16" t="s">
        <v>30</v>
      </c>
      <c r="P16" t="s">
        <v>30</v>
      </c>
      <c r="Q16">
        <v>1</v>
      </c>
      <c r="W16">
        <v>0</v>
      </c>
      <c r="X16">
        <v>2104205920</v>
      </c>
      <c r="Y16">
        <f t="shared" si="5"/>
        <v>1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1</v>
      </c>
      <c r="AJ16">
        <v>1</v>
      </c>
      <c r="AK16">
        <v>1</v>
      </c>
      <c r="AL16">
        <v>1</v>
      </c>
      <c r="AM16">
        <v>0</v>
      </c>
      <c r="AN16">
        <v>0</v>
      </c>
      <c r="AO16">
        <v>0</v>
      </c>
      <c r="AP16">
        <v>1</v>
      </c>
      <c r="AQ16">
        <v>0</v>
      </c>
      <c r="AR16">
        <v>0</v>
      </c>
      <c r="AS16" t="s">
        <v>3</v>
      </c>
      <c r="AT16">
        <v>1</v>
      </c>
      <c r="AU16" t="s">
        <v>3</v>
      </c>
      <c r="AV16">
        <v>0</v>
      </c>
      <c r="AW16">
        <v>2</v>
      </c>
      <c r="AX16">
        <v>82813524</v>
      </c>
      <c r="AY16">
        <v>1</v>
      </c>
      <c r="AZ16">
        <v>0</v>
      </c>
      <c r="BA16">
        <v>16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V16">
        <v>0</v>
      </c>
      <c r="CW16">
        <v>0</v>
      </c>
      <c r="CX16">
        <f>ROUND(Y16*Source!I25,7)</f>
        <v>2</v>
      </c>
      <c r="CY16">
        <f t="shared" si="6"/>
        <v>0</v>
      </c>
      <c r="CZ16">
        <f t="shared" si="7"/>
        <v>0</v>
      </c>
      <c r="DA16">
        <f t="shared" si="8"/>
        <v>1</v>
      </c>
      <c r="DB16">
        <f t="shared" si="9"/>
        <v>0</v>
      </c>
      <c r="DC16">
        <f t="shared" si="10"/>
        <v>0</v>
      </c>
      <c r="DD16" t="s">
        <v>3</v>
      </c>
      <c r="DE16" t="s">
        <v>3</v>
      </c>
      <c r="DF16">
        <f>ROUND(ROUND(AE16,2)*CX16,2)</f>
        <v>0</v>
      </c>
      <c r="DG16">
        <f t="shared" si="4"/>
        <v>0</v>
      </c>
      <c r="DH16">
        <f t="shared" si="0"/>
        <v>0</v>
      </c>
      <c r="DI16">
        <f t="shared" si="1"/>
        <v>0</v>
      </c>
      <c r="DJ16">
        <f t="shared" si="11"/>
        <v>0</v>
      </c>
      <c r="DK16">
        <v>0</v>
      </c>
      <c r="DL16" t="s">
        <v>3</v>
      </c>
      <c r="DM16">
        <v>0</v>
      </c>
      <c r="DN16" t="s">
        <v>3</v>
      </c>
      <c r="DO16">
        <v>0</v>
      </c>
    </row>
    <row r="17" spans="1:119" x14ac:dyDescent="0.2">
      <c r="A17">
        <f>ROW(Source!A25)</f>
        <v>25</v>
      </c>
      <c r="B17">
        <v>82813384</v>
      </c>
      <c r="C17">
        <v>82813512</v>
      </c>
      <c r="D17">
        <v>81073308</v>
      </c>
      <c r="E17">
        <v>1</v>
      </c>
      <c r="F17">
        <v>1</v>
      </c>
      <c r="G17">
        <v>1</v>
      </c>
      <c r="H17">
        <v>3</v>
      </c>
      <c r="I17" t="s">
        <v>325</v>
      </c>
      <c r="J17" t="s">
        <v>326</v>
      </c>
      <c r="K17" t="s">
        <v>327</v>
      </c>
      <c r="L17">
        <v>1301</v>
      </c>
      <c r="N17">
        <v>1003</v>
      </c>
      <c r="O17" t="s">
        <v>72</v>
      </c>
      <c r="P17" t="s">
        <v>72</v>
      </c>
      <c r="Q17">
        <v>1</v>
      </c>
      <c r="W17">
        <v>0</v>
      </c>
      <c r="X17">
        <v>-554905272</v>
      </c>
      <c r="Y17">
        <f t="shared" si="5"/>
        <v>0.4</v>
      </c>
      <c r="AA17">
        <v>550.17999999999995</v>
      </c>
      <c r="AB17">
        <v>0</v>
      </c>
      <c r="AC17">
        <v>0</v>
      </c>
      <c r="AD17">
        <v>0</v>
      </c>
      <c r="AE17">
        <v>573.1</v>
      </c>
      <c r="AF17">
        <v>0</v>
      </c>
      <c r="AG17">
        <v>0</v>
      </c>
      <c r="AH17">
        <v>0</v>
      </c>
      <c r="AI17">
        <v>0.96</v>
      </c>
      <c r="AJ17">
        <v>1</v>
      </c>
      <c r="AK17">
        <v>1</v>
      </c>
      <c r="AL17">
        <v>1</v>
      </c>
      <c r="AM17">
        <v>2</v>
      </c>
      <c r="AN17">
        <v>0</v>
      </c>
      <c r="AO17">
        <v>0</v>
      </c>
      <c r="AP17">
        <v>1</v>
      </c>
      <c r="AQ17">
        <v>1</v>
      </c>
      <c r="AR17">
        <v>0</v>
      </c>
      <c r="AS17" t="s">
        <v>3</v>
      </c>
      <c r="AT17">
        <v>0.4</v>
      </c>
      <c r="AU17" t="s">
        <v>3</v>
      </c>
      <c r="AV17">
        <v>0</v>
      </c>
      <c r="AW17">
        <v>2</v>
      </c>
      <c r="AX17">
        <v>82813525</v>
      </c>
      <c r="AY17">
        <v>1</v>
      </c>
      <c r="AZ17">
        <v>0</v>
      </c>
      <c r="BA17">
        <v>17</v>
      </c>
      <c r="BB17">
        <v>1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229.24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1</v>
      </c>
      <c r="BQ17">
        <v>229.24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1</v>
      </c>
      <c r="CV17">
        <v>0</v>
      </c>
      <c r="CW17">
        <v>0</v>
      </c>
      <c r="CX17">
        <f>ROUND(Y17*Source!I25,7)</f>
        <v>0.8</v>
      </c>
      <c r="CY17">
        <f t="shared" si="6"/>
        <v>550.17999999999995</v>
      </c>
      <c r="CZ17">
        <f t="shared" si="7"/>
        <v>573.1</v>
      </c>
      <c r="DA17">
        <f t="shared" si="8"/>
        <v>0.96</v>
      </c>
      <c r="DB17">
        <f t="shared" si="9"/>
        <v>229.24</v>
      </c>
      <c r="DC17">
        <f t="shared" si="10"/>
        <v>0</v>
      </c>
      <c r="DD17" t="s">
        <v>3</v>
      </c>
      <c r="DE17" t="s">
        <v>3</v>
      </c>
      <c r="DF17">
        <f>ROUND(ROUND(AE17*AI17,2)*CX17,2)</f>
        <v>440.14</v>
      </c>
      <c r="DG17">
        <f t="shared" si="4"/>
        <v>0</v>
      </c>
      <c r="DH17">
        <f t="shared" si="0"/>
        <v>0</v>
      </c>
      <c r="DI17">
        <f t="shared" si="1"/>
        <v>0</v>
      </c>
      <c r="DJ17">
        <f t="shared" si="11"/>
        <v>440.14</v>
      </c>
      <c r="DK17">
        <v>0</v>
      </c>
      <c r="DL17" t="s">
        <v>3</v>
      </c>
      <c r="DM17">
        <v>0</v>
      </c>
      <c r="DN17" t="s">
        <v>3</v>
      </c>
      <c r="DO17">
        <v>0</v>
      </c>
    </row>
    <row r="18" spans="1:119" x14ac:dyDescent="0.2">
      <c r="A18">
        <f>ROW(Source!A25)</f>
        <v>25</v>
      </c>
      <c r="B18">
        <v>82813384</v>
      </c>
      <c r="C18">
        <v>82813512</v>
      </c>
      <c r="D18">
        <v>80965601</v>
      </c>
      <c r="E18">
        <v>118</v>
      </c>
      <c r="F18">
        <v>1</v>
      </c>
      <c r="G18">
        <v>1</v>
      </c>
      <c r="H18">
        <v>3</v>
      </c>
      <c r="I18" t="s">
        <v>47</v>
      </c>
      <c r="J18" t="s">
        <v>3</v>
      </c>
      <c r="K18" t="s">
        <v>48</v>
      </c>
      <c r="L18">
        <v>1371</v>
      </c>
      <c r="N18">
        <v>1013</v>
      </c>
      <c r="O18" t="s">
        <v>30</v>
      </c>
      <c r="P18" t="s">
        <v>30</v>
      </c>
      <c r="Q18">
        <v>1</v>
      </c>
      <c r="W18">
        <v>0</v>
      </c>
      <c r="X18">
        <v>-2036935815</v>
      </c>
      <c r="Y18">
        <f t="shared" si="5"/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1</v>
      </c>
      <c r="AJ18">
        <v>1</v>
      </c>
      <c r="AK18">
        <v>1</v>
      </c>
      <c r="AL18">
        <v>1</v>
      </c>
      <c r="AM18">
        <v>0</v>
      </c>
      <c r="AN18">
        <v>0</v>
      </c>
      <c r="AO18">
        <v>0</v>
      </c>
      <c r="AP18">
        <v>1</v>
      </c>
      <c r="AQ18">
        <v>0</v>
      </c>
      <c r="AR18">
        <v>0</v>
      </c>
      <c r="AS18" t="s">
        <v>3</v>
      </c>
      <c r="AT18">
        <v>1</v>
      </c>
      <c r="AU18" t="s">
        <v>3</v>
      </c>
      <c r="AV18">
        <v>0</v>
      </c>
      <c r="AW18">
        <v>2</v>
      </c>
      <c r="AX18">
        <v>82813526</v>
      </c>
      <c r="AY18">
        <v>1</v>
      </c>
      <c r="AZ18">
        <v>0</v>
      </c>
      <c r="BA18">
        <v>18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CV18">
        <v>0</v>
      </c>
      <c r="CW18">
        <v>0</v>
      </c>
      <c r="CX18">
        <f>ROUND(Y18*Source!I25,7)</f>
        <v>2</v>
      </c>
      <c r="CY18">
        <f t="shared" si="6"/>
        <v>0</v>
      </c>
      <c r="CZ18">
        <f t="shared" si="7"/>
        <v>0</v>
      </c>
      <c r="DA18">
        <f t="shared" si="8"/>
        <v>1</v>
      </c>
      <c r="DB18">
        <f t="shared" si="9"/>
        <v>0</v>
      </c>
      <c r="DC18">
        <f t="shared" si="10"/>
        <v>0</v>
      </c>
      <c r="DD18" t="s">
        <v>3</v>
      </c>
      <c r="DE18" t="s">
        <v>3</v>
      </c>
      <c r="DF18">
        <f t="shared" ref="DF18:DF31" si="12">ROUND(ROUND(AE18,2)*CX18,2)</f>
        <v>0</v>
      </c>
      <c r="DG18">
        <f t="shared" si="4"/>
        <v>0</v>
      </c>
      <c r="DH18">
        <f t="shared" si="0"/>
        <v>0</v>
      </c>
      <c r="DI18">
        <f t="shared" si="1"/>
        <v>0</v>
      </c>
      <c r="DJ18">
        <f t="shared" si="11"/>
        <v>0</v>
      </c>
      <c r="DK18">
        <v>0</v>
      </c>
      <c r="DL18" t="s">
        <v>3</v>
      </c>
      <c r="DM18">
        <v>0</v>
      </c>
      <c r="DN18" t="s">
        <v>3</v>
      </c>
      <c r="DO18">
        <v>0</v>
      </c>
    </row>
    <row r="19" spans="1:119" x14ac:dyDescent="0.2">
      <c r="A19">
        <f>ROW(Source!A28)</f>
        <v>28</v>
      </c>
      <c r="B19">
        <v>82813384</v>
      </c>
      <c r="C19">
        <v>82813603</v>
      </c>
      <c r="D19">
        <v>80959886</v>
      </c>
      <c r="E19">
        <v>118</v>
      </c>
      <c r="F19">
        <v>1</v>
      </c>
      <c r="G19">
        <v>1</v>
      </c>
      <c r="H19">
        <v>1</v>
      </c>
      <c r="I19" t="s">
        <v>328</v>
      </c>
      <c r="J19" t="s">
        <v>3</v>
      </c>
      <c r="K19" t="s">
        <v>329</v>
      </c>
      <c r="L19">
        <v>1191</v>
      </c>
      <c r="N19">
        <v>1013</v>
      </c>
      <c r="O19" t="s">
        <v>288</v>
      </c>
      <c r="P19" t="s">
        <v>288</v>
      </c>
      <c r="Q19">
        <v>1</v>
      </c>
      <c r="W19">
        <v>0</v>
      </c>
      <c r="X19">
        <v>370475345</v>
      </c>
      <c r="Y19">
        <f t="shared" si="5"/>
        <v>85.5</v>
      </c>
      <c r="AA19">
        <v>0</v>
      </c>
      <c r="AB19">
        <v>0</v>
      </c>
      <c r="AC19">
        <v>0</v>
      </c>
      <c r="AD19">
        <v>594.67999999999995</v>
      </c>
      <c r="AE19">
        <v>0</v>
      </c>
      <c r="AF19">
        <v>0</v>
      </c>
      <c r="AG19">
        <v>0</v>
      </c>
      <c r="AH19">
        <v>594.67999999999995</v>
      </c>
      <c r="AI19">
        <v>1</v>
      </c>
      <c r="AJ19">
        <v>1</v>
      </c>
      <c r="AK19">
        <v>1</v>
      </c>
      <c r="AL19">
        <v>1</v>
      </c>
      <c r="AM19">
        <v>-2</v>
      </c>
      <c r="AN19">
        <v>0</v>
      </c>
      <c r="AO19">
        <v>0</v>
      </c>
      <c r="AP19">
        <v>0</v>
      </c>
      <c r="AQ19">
        <v>1</v>
      </c>
      <c r="AR19">
        <v>0</v>
      </c>
      <c r="AS19" t="s">
        <v>3</v>
      </c>
      <c r="AT19">
        <v>85.5</v>
      </c>
      <c r="AU19" t="s">
        <v>3</v>
      </c>
      <c r="AV19">
        <v>1</v>
      </c>
      <c r="AW19">
        <v>2</v>
      </c>
      <c r="AX19">
        <v>82813604</v>
      </c>
      <c r="AY19">
        <v>1</v>
      </c>
      <c r="AZ19">
        <v>0</v>
      </c>
      <c r="BA19">
        <v>19</v>
      </c>
      <c r="BB19">
        <v>1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50845.139999999992</v>
      </c>
      <c r="BN19">
        <v>85.5</v>
      </c>
      <c r="BO19">
        <v>0</v>
      </c>
      <c r="BP19">
        <v>1</v>
      </c>
      <c r="BQ19">
        <v>0</v>
      </c>
      <c r="BR19">
        <v>0</v>
      </c>
      <c r="BS19">
        <v>0</v>
      </c>
      <c r="BT19">
        <v>50845.139999999992</v>
      </c>
      <c r="BU19">
        <v>85.5</v>
      </c>
      <c r="BV19">
        <v>0</v>
      </c>
      <c r="BW19">
        <v>1</v>
      </c>
      <c r="CU19">
        <f>ROUND(AT19*Source!I28*AH19*AL19,2)</f>
        <v>1016.9</v>
      </c>
      <c r="CV19">
        <f>ROUND(Y19*Source!I28,7)</f>
        <v>1.71</v>
      </c>
      <c r="CW19">
        <v>0</v>
      </c>
      <c r="CX19">
        <f>ROUND(Y19*Source!I28,7)</f>
        <v>1.71</v>
      </c>
      <c r="CY19">
        <f>AD19</f>
        <v>594.67999999999995</v>
      </c>
      <c r="CZ19">
        <f>AH19</f>
        <v>594.67999999999995</v>
      </c>
      <c r="DA19">
        <f>AL19</f>
        <v>1</v>
      </c>
      <c r="DB19">
        <f t="shared" si="9"/>
        <v>50845.14</v>
      </c>
      <c r="DC19">
        <f t="shared" si="10"/>
        <v>0</v>
      </c>
      <c r="DD19" t="s">
        <v>3</v>
      </c>
      <c r="DE19" t="s">
        <v>3</v>
      </c>
      <c r="DF19">
        <f t="shared" si="12"/>
        <v>0</v>
      </c>
      <c r="DG19">
        <f t="shared" si="4"/>
        <v>0</v>
      </c>
      <c r="DH19">
        <f t="shared" si="0"/>
        <v>0</v>
      </c>
      <c r="DI19">
        <f t="shared" si="1"/>
        <v>1016.9</v>
      </c>
      <c r="DJ19">
        <f>DI19</f>
        <v>1016.9</v>
      </c>
      <c r="DK19">
        <v>1</v>
      </c>
      <c r="DL19" t="s">
        <v>3</v>
      </c>
      <c r="DM19">
        <v>0</v>
      </c>
      <c r="DN19" t="s">
        <v>3</v>
      </c>
      <c r="DO19">
        <v>0</v>
      </c>
    </row>
    <row r="20" spans="1:119" x14ac:dyDescent="0.2">
      <c r="A20">
        <f>ROW(Source!A28)</f>
        <v>28</v>
      </c>
      <c r="B20">
        <v>82813384</v>
      </c>
      <c r="C20">
        <v>82813603</v>
      </c>
      <c r="D20">
        <v>80966187</v>
      </c>
      <c r="E20">
        <v>118</v>
      </c>
      <c r="F20">
        <v>1</v>
      </c>
      <c r="G20">
        <v>1</v>
      </c>
      <c r="H20">
        <v>3</v>
      </c>
      <c r="I20" t="s">
        <v>57</v>
      </c>
      <c r="J20" t="s">
        <v>3</v>
      </c>
      <c r="K20" t="s">
        <v>58</v>
      </c>
      <c r="L20">
        <v>1348</v>
      </c>
      <c r="N20">
        <v>1009</v>
      </c>
      <c r="O20" t="s">
        <v>59</v>
      </c>
      <c r="P20" t="s">
        <v>59</v>
      </c>
      <c r="Q20">
        <v>1000</v>
      </c>
      <c r="W20">
        <v>0</v>
      </c>
      <c r="X20">
        <v>2102561428</v>
      </c>
      <c r="Y20">
        <f t="shared" si="5"/>
        <v>0.11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1</v>
      </c>
      <c r="AJ20">
        <v>1</v>
      </c>
      <c r="AK20">
        <v>1</v>
      </c>
      <c r="AL20">
        <v>1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t="s">
        <v>3</v>
      </c>
      <c r="AT20">
        <v>0.11</v>
      </c>
      <c r="AU20" t="s">
        <v>3</v>
      </c>
      <c r="AV20">
        <v>0</v>
      </c>
      <c r="AW20">
        <v>2</v>
      </c>
      <c r="AX20">
        <v>82813605</v>
      </c>
      <c r="AY20">
        <v>1</v>
      </c>
      <c r="AZ20">
        <v>0</v>
      </c>
      <c r="BA20">
        <v>20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CV20">
        <v>0</v>
      </c>
      <c r="CW20">
        <v>0</v>
      </c>
      <c r="CX20">
        <f>ROUND(Y20*Source!I28,7)</f>
        <v>2.2000000000000001E-3</v>
      </c>
      <c r="CY20">
        <f>AA20</f>
        <v>0</v>
      </c>
      <c r="CZ20">
        <f>AE20</f>
        <v>0</v>
      </c>
      <c r="DA20">
        <f>AI20</f>
        <v>1</v>
      </c>
      <c r="DB20">
        <f t="shared" si="9"/>
        <v>0</v>
      </c>
      <c r="DC20">
        <f t="shared" si="10"/>
        <v>0</v>
      </c>
      <c r="DD20" t="s">
        <v>3</v>
      </c>
      <c r="DE20" t="s">
        <v>3</v>
      </c>
      <c r="DF20">
        <f t="shared" si="12"/>
        <v>0</v>
      </c>
      <c r="DG20">
        <f t="shared" si="4"/>
        <v>0</v>
      </c>
      <c r="DH20">
        <f t="shared" si="0"/>
        <v>0</v>
      </c>
      <c r="DI20">
        <f t="shared" si="1"/>
        <v>0</v>
      </c>
      <c r="DJ20">
        <f>DF20</f>
        <v>0</v>
      </c>
      <c r="DK20">
        <v>0</v>
      </c>
      <c r="DL20" t="s">
        <v>3</v>
      </c>
      <c r="DM20">
        <v>0</v>
      </c>
      <c r="DN20" t="s">
        <v>3</v>
      </c>
      <c r="DO20">
        <v>0</v>
      </c>
    </row>
    <row r="21" spans="1:119" x14ac:dyDescent="0.2">
      <c r="A21">
        <f>ROW(Source!A30)</f>
        <v>30</v>
      </c>
      <c r="B21">
        <v>82813384</v>
      </c>
      <c r="C21">
        <v>82813607</v>
      </c>
      <c r="D21">
        <v>80959926</v>
      </c>
      <c r="E21">
        <v>118</v>
      </c>
      <c r="F21">
        <v>1</v>
      </c>
      <c r="G21">
        <v>1</v>
      </c>
      <c r="H21">
        <v>1</v>
      </c>
      <c r="I21" t="s">
        <v>286</v>
      </c>
      <c r="J21" t="s">
        <v>3</v>
      </c>
      <c r="K21" t="s">
        <v>287</v>
      </c>
      <c r="L21">
        <v>1191</v>
      </c>
      <c r="N21">
        <v>1013</v>
      </c>
      <c r="O21" t="s">
        <v>288</v>
      </c>
      <c r="P21" t="s">
        <v>288</v>
      </c>
      <c r="Q21">
        <v>1</v>
      </c>
      <c r="W21">
        <v>0</v>
      </c>
      <c r="X21">
        <v>-1833565283</v>
      </c>
      <c r="Y21">
        <f t="shared" si="5"/>
        <v>5.36</v>
      </c>
      <c r="AA21">
        <v>0</v>
      </c>
      <c r="AB21">
        <v>0</v>
      </c>
      <c r="AC21">
        <v>0</v>
      </c>
      <c r="AD21">
        <v>649.24</v>
      </c>
      <c r="AE21">
        <v>0</v>
      </c>
      <c r="AF21">
        <v>0</v>
      </c>
      <c r="AG21">
        <v>0</v>
      </c>
      <c r="AH21">
        <v>649.24</v>
      </c>
      <c r="AI21">
        <v>1</v>
      </c>
      <c r="AJ21">
        <v>1</v>
      </c>
      <c r="AK21">
        <v>1</v>
      </c>
      <c r="AL21">
        <v>1</v>
      </c>
      <c r="AM21">
        <v>-2</v>
      </c>
      <c r="AN21">
        <v>0</v>
      </c>
      <c r="AO21">
        <v>0</v>
      </c>
      <c r="AP21">
        <v>0</v>
      </c>
      <c r="AQ21">
        <v>1</v>
      </c>
      <c r="AR21">
        <v>0</v>
      </c>
      <c r="AS21" t="s">
        <v>3</v>
      </c>
      <c r="AT21">
        <v>5.36</v>
      </c>
      <c r="AU21" t="s">
        <v>3</v>
      </c>
      <c r="AV21">
        <v>1</v>
      </c>
      <c r="AW21">
        <v>2</v>
      </c>
      <c r="AX21">
        <v>82813608</v>
      </c>
      <c r="AY21">
        <v>1</v>
      </c>
      <c r="AZ21">
        <v>0</v>
      </c>
      <c r="BA21">
        <v>21</v>
      </c>
      <c r="BB21">
        <v>1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3479.9264000000003</v>
      </c>
      <c r="BN21">
        <v>5.36</v>
      </c>
      <c r="BO21">
        <v>0</v>
      </c>
      <c r="BP21">
        <v>1</v>
      </c>
      <c r="BQ21">
        <v>0</v>
      </c>
      <c r="BR21">
        <v>0</v>
      </c>
      <c r="BS21">
        <v>0</v>
      </c>
      <c r="BT21">
        <v>3479.9264000000003</v>
      </c>
      <c r="BU21">
        <v>5.36</v>
      </c>
      <c r="BV21">
        <v>0</v>
      </c>
      <c r="BW21">
        <v>1</v>
      </c>
      <c r="CU21">
        <f>ROUND(AT21*Source!I30*AH21*AL21,2)</f>
        <v>69.599999999999994</v>
      </c>
      <c r="CV21">
        <f>ROUND(Y21*Source!I30,7)</f>
        <v>0.1072</v>
      </c>
      <c r="CW21">
        <v>0</v>
      </c>
      <c r="CX21">
        <f>ROUND(Y21*Source!I30,7)</f>
        <v>0.1072</v>
      </c>
      <c r="CY21">
        <f>AD21</f>
        <v>649.24</v>
      </c>
      <c r="CZ21">
        <f>AH21</f>
        <v>649.24</v>
      </c>
      <c r="DA21">
        <f>AL21</f>
        <v>1</v>
      </c>
      <c r="DB21">
        <f t="shared" si="9"/>
        <v>3479.93</v>
      </c>
      <c r="DC21">
        <f t="shared" si="10"/>
        <v>0</v>
      </c>
      <c r="DD21" t="s">
        <v>3</v>
      </c>
      <c r="DE21" t="s">
        <v>3</v>
      </c>
      <c r="DF21">
        <f t="shared" si="12"/>
        <v>0</v>
      </c>
      <c r="DG21">
        <f t="shared" si="4"/>
        <v>0</v>
      </c>
      <c r="DH21">
        <f t="shared" si="0"/>
        <v>0</v>
      </c>
      <c r="DI21">
        <f t="shared" si="1"/>
        <v>69.599999999999994</v>
      </c>
      <c r="DJ21">
        <f>DI21</f>
        <v>69.599999999999994</v>
      </c>
      <c r="DK21">
        <v>1</v>
      </c>
      <c r="DL21" t="s">
        <v>3</v>
      </c>
      <c r="DM21">
        <v>0</v>
      </c>
      <c r="DN21" t="s">
        <v>3</v>
      </c>
      <c r="DO21">
        <v>0</v>
      </c>
    </row>
    <row r="22" spans="1:119" x14ac:dyDescent="0.2">
      <c r="A22">
        <f>ROW(Source!A30)</f>
        <v>30</v>
      </c>
      <c r="B22">
        <v>82813384</v>
      </c>
      <c r="C22">
        <v>82813607</v>
      </c>
      <c r="D22">
        <v>81036704</v>
      </c>
      <c r="E22">
        <v>1</v>
      </c>
      <c r="F22">
        <v>1</v>
      </c>
      <c r="G22">
        <v>1</v>
      </c>
      <c r="H22">
        <v>3</v>
      </c>
      <c r="I22" t="s">
        <v>330</v>
      </c>
      <c r="J22" t="s">
        <v>331</v>
      </c>
      <c r="K22" t="s">
        <v>332</v>
      </c>
      <c r="L22">
        <v>1383</v>
      </c>
      <c r="N22">
        <v>1013</v>
      </c>
      <c r="O22" t="s">
        <v>333</v>
      </c>
      <c r="P22" t="s">
        <v>333</v>
      </c>
      <c r="Q22">
        <v>1</v>
      </c>
      <c r="W22">
        <v>0</v>
      </c>
      <c r="X22">
        <v>-182421198</v>
      </c>
      <c r="Y22">
        <f t="shared" si="5"/>
        <v>0.79039999999999999</v>
      </c>
      <c r="AA22">
        <v>6.92</v>
      </c>
      <c r="AB22">
        <v>0</v>
      </c>
      <c r="AC22">
        <v>0</v>
      </c>
      <c r="AD22">
        <v>0</v>
      </c>
      <c r="AE22">
        <v>6.92</v>
      </c>
      <c r="AF22">
        <v>0</v>
      </c>
      <c r="AG22">
        <v>0</v>
      </c>
      <c r="AH22">
        <v>0</v>
      </c>
      <c r="AI22">
        <v>1</v>
      </c>
      <c r="AJ22">
        <v>1</v>
      </c>
      <c r="AK22">
        <v>1</v>
      </c>
      <c r="AL22">
        <v>1</v>
      </c>
      <c r="AM22">
        <v>-2</v>
      </c>
      <c r="AN22">
        <v>0</v>
      </c>
      <c r="AO22">
        <v>0</v>
      </c>
      <c r="AP22">
        <v>0</v>
      </c>
      <c r="AQ22">
        <v>1</v>
      </c>
      <c r="AR22">
        <v>0</v>
      </c>
      <c r="AS22" t="s">
        <v>3</v>
      </c>
      <c r="AT22">
        <v>0.79039999999999999</v>
      </c>
      <c r="AU22" t="s">
        <v>3</v>
      </c>
      <c r="AV22">
        <v>0</v>
      </c>
      <c r="AW22">
        <v>2</v>
      </c>
      <c r="AX22">
        <v>82813609</v>
      </c>
      <c r="AY22">
        <v>1</v>
      </c>
      <c r="AZ22">
        <v>0</v>
      </c>
      <c r="BA22">
        <v>22</v>
      </c>
      <c r="BB22">
        <v>1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5.4695679999999998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1</v>
      </c>
      <c r="BQ22">
        <v>5.4695679999999998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1</v>
      </c>
      <c r="CV22">
        <v>0</v>
      </c>
      <c r="CW22">
        <v>0</v>
      </c>
      <c r="CX22">
        <f>ROUND(Y22*Source!I30,7)</f>
        <v>1.5807999999999999E-2</v>
      </c>
      <c r="CY22">
        <f>AA22</f>
        <v>6.92</v>
      </c>
      <c r="CZ22">
        <f>AE22</f>
        <v>6.92</v>
      </c>
      <c r="DA22">
        <f>AI22</f>
        <v>1</v>
      </c>
      <c r="DB22">
        <f t="shared" si="9"/>
        <v>5.47</v>
      </c>
      <c r="DC22">
        <f t="shared" si="10"/>
        <v>0</v>
      </c>
      <c r="DD22" t="s">
        <v>3</v>
      </c>
      <c r="DE22" t="s">
        <v>3</v>
      </c>
      <c r="DF22">
        <f t="shared" si="12"/>
        <v>0.11</v>
      </c>
      <c r="DG22">
        <f t="shared" si="4"/>
        <v>0</v>
      </c>
      <c r="DH22">
        <f t="shared" si="0"/>
        <v>0</v>
      </c>
      <c r="DI22">
        <f t="shared" si="1"/>
        <v>0</v>
      </c>
      <c r="DJ22">
        <f>DF22</f>
        <v>0.11</v>
      </c>
      <c r="DK22">
        <v>1</v>
      </c>
      <c r="DL22" t="s">
        <v>3</v>
      </c>
      <c r="DM22">
        <v>0</v>
      </c>
      <c r="DN22" t="s">
        <v>3</v>
      </c>
      <c r="DO22">
        <v>0</v>
      </c>
    </row>
    <row r="23" spans="1:119" x14ac:dyDescent="0.2">
      <c r="A23">
        <f>ROW(Source!A30)</f>
        <v>30</v>
      </c>
      <c r="B23">
        <v>82813384</v>
      </c>
      <c r="C23">
        <v>82813607</v>
      </c>
      <c r="D23">
        <v>80966187</v>
      </c>
      <c r="E23">
        <v>118</v>
      </c>
      <c r="F23">
        <v>1</v>
      </c>
      <c r="G23">
        <v>1</v>
      </c>
      <c r="H23">
        <v>3</v>
      </c>
      <c r="I23" t="s">
        <v>57</v>
      </c>
      <c r="J23" t="s">
        <v>3</v>
      </c>
      <c r="K23" t="s">
        <v>58</v>
      </c>
      <c r="L23">
        <v>1348</v>
      </c>
      <c r="N23">
        <v>1009</v>
      </c>
      <c r="O23" t="s">
        <v>59</v>
      </c>
      <c r="P23" t="s">
        <v>59</v>
      </c>
      <c r="Q23">
        <v>1000</v>
      </c>
      <c r="W23">
        <v>0</v>
      </c>
      <c r="X23">
        <v>2102561428</v>
      </c>
      <c r="Y23">
        <f t="shared" si="5"/>
        <v>6.0000000000000001E-3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1</v>
      </c>
      <c r="AJ23">
        <v>1</v>
      </c>
      <c r="AK23">
        <v>1</v>
      </c>
      <c r="AL23">
        <v>1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 t="s">
        <v>3</v>
      </c>
      <c r="AT23">
        <v>6.0000000000000001E-3</v>
      </c>
      <c r="AU23" t="s">
        <v>3</v>
      </c>
      <c r="AV23">
        <v>0</v>
      </c>
      <c r="AW23">
        <v>2</v>
      </c>
      <c r="AX23">
        <v>82813610</v>
      </c>
      <c r="AY23">
        <v>1</v>
      </c>
      <c r="AZ23">
        <v>0</v>
      </c>
      <c r="BA23">
        <v>23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CV23">
        <v>0</v>
      </c>
      <c r="CW23">
        <v>0</v>
      </c>
      <c r="CX23">
        <f>ROUND(Y23*Source!I30,7)</f>
        <v>1.2E-4</v>
      </c>
      <c r="CY23">
        <f>AA23</f>
        <v>0</v>
      </c>
      <c r="CZ23">
        <f>AE23</f>
        <v>0</v>
      </c>
      <c r="DA23">
        <f>AI23</f>
        <v>1</v>
      </c>
      <c r="DB23">
        <f t="shared" si="9"/>
        <v>0</v>
      </c>
      <c r="DC23">
        <f t="shared" si="10"/>
        <v>0</v>
      </c>
      <c r="DD23" t="s">
        <v>3</v>
      </c>
      <c r="DE23" t="s">
        <v>3</v>
      </c>
      <c r="DF23">
        <f t="shared" si="12"/>
        <v>0</v>
      </c>
      <c r="DG23">
        <f t="shared" si="4"/>
        <v>0</v>
      </c>
      <c r="DH23">
        <f t="shared" si="0"/>
        <v>0</v>
      </c>
      <c r="DI23">
        <f t="shared" si="1"/>
        <v>0</v>
      </c>
      <c r="DJ23">
        <f>DF23</f>
        <v>0</v>
      </c>
      <c r="DK23">
        <v>0</v>
      </c>
      <c r="DL23" t="s">
        <v>3</v>
      </c>
      <c r="DM23">
        <v>0</v>
      </c>
      <c r="DN23" t="s">
        <v>3</v>
      </c>
      <c r="DO23">
        <v>0</v>
      </c>
    </row>
    <row r="24" spans="1:119" x14ac:dyDescent="0.2">
      <c r="A24">
        <f>ROW(Source!A32)</f>
        <v>32</v>
      </c>
      <c r="B24">
        <v>82813384</v>
      </c>
      <c r="C24">
        <v>82813612</v>
      </c>
      <c r="D24">
        <v>80959926</v>
      </c>
      <c r="E24">
        <v>118</v>
      </c>
      <c r="F24">
        <v>1</v>
      </c>
      <c r="G24">
        <v>1</v>
      </c>
      <c r="H24">
        <v>1</v>
      </c>
      <c r="I24" t="s">
        <v>286</v>
      </c>
      <c r="J24" t="s">
        <v>3</v>
      </c>
      <c r="K24" t="s">
        <v>287</v>
      </c>
      <c r="L24">
        <v>1191</v>
      </c>
      <c r="N24">
        <v>1013</v>
      </c>
      <c r="O24" t="s">
        <v>288</v>
      </c>
      <c r="P24" t="s">
        <v>288</v>
      </c>
      <c r="Q24">
        <v>1</v>
      </c>
      <c r="W24">
        <v>0</v>
      </c>
      <c r="X24">
        <v>-1833565283</v>
      </c>
      <c r="Y24">
        <f t="shared" si="5"/>
        <v>5.28</v>
      </c>
      <c r="AA24">
        <v>0</v>
      </c>
      <c r="AB24">
        <v>0</v>
      </c>
      <c r="AC24">
        <v>0</v>
      </c>
      <c r="AD24">
        <v>649.24</v>
      </c>
      <c r="AE24">
        <v>0</v>
      </c>
      <c r="AF24">
        <v>0</v>
      </c>
      <c r="AG24">
        <v>0</v>
      </c>
      <c r="AH24">
        <v>649.24</v>
      </c>
      <c r="AI24">
        <v>1</v>
      </c>
      <c r="AJ24">
        <v>1</v>
      </c>
      <c r="AK24">
        <v>1</v>
      </c>
      <c r="AL24">
        <v>1</v>
      </c>
      <c r="AM24">
        <v>-2</v>
      </c>
      <c r="AN24">
        <v>0</v>
      </c>
      <c r="AO24">
        <v>0</v>
      </c>
      <c r="AP24">
        <v>0</v>
      </c>
      <c r="AQ24">
        <v>1</v>
      </c>
      <c r="AR24">
        <v>0</v>
      </c>
      <c r="AS24" t="s">
        <v>3</v>
      </c>
      <c r="AT24">
        <v>5.28</v>
      </c>
      <c r="AU24" t="s">
        <v>3</v>
      </c>
      <c r="AV24">
        <v>1</v>
      </c>
      <c r="AW24">
        <v>2</v>
      </c>
      <c r="AX24">
        <v>82813613</v>
      </c>
      <c r="AY24">
        <v>1</v>
      </c>
      <c r="AZ24">
        <v>0</v>
      </c>
      <c r="BA24">
        <v>24</v>
      </c>
      <c r="BB24">
        <v>1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3427.9872</v>
      </c>
      <c r="BN24">
        <v>5.28</v>
      </c>
      <c r="BO24">
        <v>0</v>
      </c>
      <c r="BP24">
        <v>1</v>
      </c>
      <c r="BQ24">
        <v>0</v>
      </c>
      <c r="BR24">
        <v>0</v>
      </c>
      <c r="BS24">
        <v>0</v>
      </c>
      <c r="BT24">
        <v>3427.9872</v>
      </c>
      <c r="BU24">
        <v>5.28</v>
      </c>
      <c r="BV24">
        <v>0</v>
      </c>
      <c r="BW24">
        <v>1</v>
      </c>
      <c r="CU24">
        <f>ROUND(AT24*Source!I32*AH24*AL24,2)</f>
        <v>68.56</v>
      </c>
      <c r="CV24">
        <f>ROUND(Y24*Source!I32,7)</f>
        <v>0.1056</v>
      </c>
      <c r="CW24">
        <v>0</v>
      </c>
      <c r="CX24">
        <f>ROUND(Y24*Source!I32,7)</f>
        <v>0.1056</v>
      </c>
      <c r="CY24">
        <f>AD24</f>
        <v>649.24</v>
      </c>
      <c r="CZ24">
        <f>AH24</f>
        <v>649.24</v>
      </c>
      <c r="DA24">
        <f>AL24</f>
        <v>1</v>
      </c>
      <c r="DB24">
        <f t="shared" si="9"/>
        <v>3427.99</v>
      </c>
      <c r="DC24">
        <f t="shared" si="10"/>
        <v>0</v>
      </c>
      <c r="DD24" t="s">
        <v>3</v>
      </c>
      <c r="DE24" t="s">
        <v>3</v>
      </c>
      <c r="DF24">
        <f t="shared" si="12"/>
        <v>0</v>
      </c>
      <c r="DG24">
        <f t="shared" si="4"/>
        <v>0</v>
      </c>
      <c r="DH24">
        <f t="shared" si="0"/>
        <v>0</v>
      </c>
      <c r="DI24">
        <f t="shared" si="1"/>
        <v>68.56</v>
      </c>
      <c r="DJ24">
        <f>DI24</f>
        <v>68.56</v>
      </c>
      <c r="DK24">
        <v>1</v>
      </c>
      <c r="DL24" t="s">
        <v>3</v>
      </c>
      <c r="DM24">
        <v>0</v>
      </c>
      <c r="DN24" t="s">
        <v>3</v>
      </c>
      <c r="DO24">
        <v>0</v>
      </c>
    </row>
    <row r="25" spans="1:119" x14ac:dyDescent="0.2">
      <c r="A25">
        <f>ROW(Source!A32)</f>
        <v>32</v>
      </c>
      <c r="B25">
        <v>82813384</v>
      </c>
      <c r="C25">
        <v>82813612</v>
      </c>
      <c r="D25">
        <v>81036704</v>
      </c>
      <c r="E25">
        <v>1</v>
      </c>
      <c r="F25">
        <v>1</v>
      </c>
      <c r="G25">
        <v>1</v>
      </c>
      <c r="H25">
        <v>3</v>
      </c>
      <c r="I25" t="s">
        <v>330</v>
      </c>
      <c r="J25" t="s">
        <v>331</v>
      </c>
      <c r="K25" t="s">
        <v>332</v>
      </c>
      <c r="L25">
        <v>1383</v>
      </c>
      <c r="N25">
        <v>1013</v>
      </c>
      <c r="O25" t="s">
        <v>333</v>
      </c>
      <c r="P25" t="s">
        <v>333</v>
      </c>
      <c r="Q25">
        <v>1</v>
      </c>
      <c r="W25">
        <v>0</v>
      </c>
      <c r="X25">
        <v>-182421198</v>
      </c>
      <c r="Y25">
        <f t="shared" si="5"/>
        <v>0.76</v>
      </c>
      <c r="AA25">
        <v>6.92</v>
      </c>
      <c r="AB25">
        <v>0</v>
      </c>
      <c r="AC25">
        <v>0</v>
      </c>
      <c r="AD25">
        <v>0</v>
      </c>
      <c r="AE25">
        <v>6.92</v>
      </c>
      <c r="AF25">
        <v>0</v>
      </c>
      <c r="AG25">
        <v>0</v>
      </c>
      <c r="AH25">
        <v>0</v>
      </c>
      <c r="AI25">
        <v>1</v>
      </c>
      <c r="AJ25">
        <v>1</v>
      </c>
      <c r="AK25">
        <v>1</v>
      </c>
      <c r="AL25">
        <v>1</v>
      </c>
      <c r="AM25">
        <v>-2</v>
      </c>
      <c r="AN25">
        <v>0</v>
      </c>
      <c r="AO25">
        <v>0</v>
      </c>
      <c r="AP25">
        <v>0</v>
      </c>
      <c r="AQ25">
        <v>1</v>
      </c>
      <c r="AR25">
        <v>0</v>
      </c>
      <c r="AS25" t="s">
        <v>3</v>
      </c>
      <c r="AT25">
        <v>0.76</v>
      </c>
      <c r="AU25" t="s">
        <v>3</v>
      </c>
      <c r="AV25">
        <v>0</v>
      </c>
      <c r="AW25">
        <v>2</v>
      </c>
      <c r="AX25">
        <v>82813614</v>
      </c>
      <c r="AY25">
        <v>1</v>
      </c>
      <c r="AZ25">
        <v>0</v>
      </c>
      <c r="BA25">
        <v>25</v>
      </c>
      <c r="BB25">
        <v>1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5.2591999999999999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1</v>
      </c>
      <c r="BQ25">
        <v>5.2591999999999999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1</v>
      </c>
      <c r="CV25">
        <v>0</v>
      </c>
      <c r="CW25">
        <v>0</v>
      </c>
      <c r="CX25">
        <f>ROUND(Y25*Source!I32,7)</f>
        <v>1.52E-2</v>
      </c>
      <c r="CY25">
        <f>AA25</f>
        <v>6.92</v>
      </c>
      <c r="CZ25">
        <f>AE25</f>
        <v>6.92</v>
      </c>
      <c r="DA25">
        <f>AI25</f>
        <v>1</v>
      </c>
      <c r="DB25">
        <f t="shared" si="9"/>
        <v>5.26</v>
      </c>
      <c r="DC25">
        <f t="shared" si="10"/>
        <v>0</v>
      </c>
      <c r="DD25" t="s">
        <v>3</v>
      </c>
      <c r="DE25" t="s">
        <v>3</v>
      </c>
      <c r="DF25">
        <f t="shared" si="12"/>
        <v>0.11</v>
      </c>
      <c r="DG25">
        <f t="shared" si="4"/>
        <v>0</v>
      </c>
      <c r="DH25">
        <f t="shared" si="0"/>
        <v>0</v>
      </c>
      <c r="DI25">
        <f t="shared" si="1"/>
        <v>0</v>
      </c>
      <c r="DJ25">
        <f>DF25</f>
        <v>0.11</v>
      </c>
      <c r="DK25">
        <v>1</v>
      </c>
      <c r="DL25" t="s">
        <v>3</v>
      </c>
      <c r="DM25">
        <v>0</v>
      </c>
      <c r="DN25" t="s">
        <v>3</v>
      </c>
      <c r="DO25">
        <v>0</v>
      </c>
    </row>
    <row r="26" spans="1:119" x14ac:dyDescent="0.2">
      <c r="A26">
        <f>ROW(Source!A32)</f>
        <v>32</v>
      </c>
      <c r="B26">
        <v>82813384</v>
      </c>
      <c r="C26">
        <v>82813612</v>
      </c>
      <c r="D26">
        <v>80966187</v>
      </c>
      <c r="E26">
        <v>118</v>
      </c>
      <c r="F26">
        <v>1</v>
      </c>
      <c r="G26">
        <v>1</v>
      </c>
      <c r="H26">
        <v>3</v>
      </c>
      <c r="I26" t="s">
        <v>57</v>
      </c>
      <c r="J26" t="s">
        <v>3</v>
      </c>
      <c r="K26" t="s">
        <v>58</v>
      </c>
      <c r="L26">
        <v>1348</v>
      </c>
      <c r="N26">
        <v>1009</v>
      </c>
      <c r="O26" t="s">
        <v>59</v>
      </c>
      <c r="P26" t="s">
        <v>59</v>
      </c>
      <c r="Q26">
        <v>1000</v>
      </c>
      <c r="W26">
        <v>0</v>
      </c>
      <c r="X26">
        <v>2102561428</v>
      </c>
      <c r="Y26">
        <f t="shared" si="5"/>
        <v>6.0000000000000001E-3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1</v>
      </c>
      <c r="AJ26">
        <v>1</v>
      </c>
      <c r="AK26">
        <v>1</v>
      </c>
      <c r="AL26">
        <v>1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 t="s">
        <v>3</v>
      </c>
      <c r="AT26">
        <v>6.0000000000000001E-3</v>
      </c>
      <c r="AU26" t="s">
        <v>3</v>
      </c>
      <c r="AV26">
        <v>0</v>
      </c>
      <c r="AW26">
        <v>2</v>
      </c>
      <c r="AX26">
        <v>82813615</v>
      </c>
      <c r="AY26">
        <v>1</v>
      </c>
      <c r="AZ26">
        <v>0</v>
      </c>
      <c r="BA26">
        <v>26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V26">
        <v>0</v>
      </c>
      <c r="CW26">
        <v>0</v>
      </c>
      <c r="CX26">
        <f>ROUND(Y26*Source!I32,7)</f>
        <v>1.2E-4</v>
      </c>
      <c r="CY26">
        <f>AA26</f>
        <v>0</v>
      </c>
      <c r="CZ26">
        <f>AE26</f>
        <v>0</v>
      </c>
      <c r="DA26">
        <f>AI26</f>
        <v>1</v>
      </c>
      <c r="DB26">
        <f t="shared" si="9"/>
        <v>0</v>
      </c>
      <c r="DC26">
        <f t="shared" si="10"/>
        <v>0</v>
      </c>
      <c r="DD26" t="s">
        <v>3</v>
      </c>
      <c r="DE26" t="s">
        <v>3</v>
      </c>
      <c r="DF26">
        <f t="shared" si="12"/>
        <v>0</v>
      </c>
      <c r="DG26">
        <f t="shared" si="4"/>
        <v>0</v>
      </c>
      <c r="DH26">
        <f t="shared" si="0"/>
        <v>0</v>
      </c>
      <c r="DI26">
        <f t="shared" si="1"/>
        <v>0</v>
      </c>
      <c r="DJ26">
        <f>DF26</f>
        <v>0</v>
      </c>
      <c r="DK26">
        <v>0</v>
      </c>
      <c r="DL26" t="s">
        <v>3</v>
      </c>
      <c r="DM26">
        <v>0</v>
      </c>
      <c r="DN26" t="s">
        <v>3</v>
      </c>
      <c r="DO26">
        <v>0</v>
      </c>
    </row>
    <row r="27" spans="1:119" x14ac:dyDescent="0.2">
      <c r="A27">
        <f>ROW(Source!A34)</f>
        <v>34</v>
      </c>
      <c r="B27">
        <v>82813384</v>
      </c>
      <c r="C27">
        <v>82813617</v>
      </c>
      <c r="D27">
        <v>80959926</v>
      </c>
      <c r="E27">
        <v>118</v>
      </c>
      <c r="F27">
        <v>1</v>
      </c>
      <c r="G27">
        <v>1</v>
      </c>
      <c r="H27">
        <v>1</v>
      </c>
      <c r="I27" t="s">
        <v>286</v>
      </c>
      <c r="J27" t="s">
        <v>3</v>
      </c>
      <c r="K27" t="s">
        <v>287</v>
      </c>
      <c r="L27">
        <v>1191</v>
      </c>
      <c r="N27">
        <v>1013</v>
      </c>
      <c r="O27" t="s">
        <v>288</v>
      </c>
      <c r="P27" t="s">
        <v>288</v>
      </c>
      <c r="Q27">
        <v>1</v>
      </c>
      <c r="W27">
        <v>0</v>
      </c>
      <c r="X27">
        <v>-1833565283</v>
      </c>
      <c r="Y27">
        <f>(AT27*ROUND(4,7))</f>
        <v>25.24</v>
      </c>
      <c r="AA27">
        <v>0</v>
      </c>
      <c r="AB27">
        <v>0</v>
      </c>
      <c r="AC27">
        <v>0</v>
      </c>
      <c r="AD27">
        <v>649.24</v>
      </c>
      <c r="AE27">
        <v>0</v>
      </c>
      <c r="AF27">
        <v>0</v>
      </c>
      <c r="AG27">
        <v>0</v>
      </c>
      <c r="AH27">
        <v>649.24</v>
      </c>
      <c r="AI27">
        <v>1</v>
      </c>
      <c r="AJ27">
        <v>1</v>
      </c>
      <c r="AK27">
        <v>1</v>
      </c>
      <c r="AL27">
        <v>1</v>
      </c>
      <c r="AM27">
        <v>-2</v>
      </c>
      <c r="AN27">
        <v>0</v>
      </c>
      <c r="AO27">
        <v>0</v>
      </c>
      <c r="AP27">
        <v>1</v>
      </c>
      <c r="AQ27">
        <v>1</v>
      </c>
      <c r="AR27">
        <v>0</v>
      </c>
      <c r="AS27" t="s">
        <v>3</v>
      </c>
      <c r="AT27">
        <v>6.31</v>
      </c>
      <c r="AU27" t="s">
        <v>69</v>
      </c>
      <c r="AV27">
        <v>1</v>
      </c>
      <c r="AW27">
        <v>2</v>
      </c>
      <c r="AX27">
        <v>82813618</v>
      </c>
      <c r="AY27">
        <v>1</v>
      </c>
      <c r="AZ27">
        <v>0</v>
      </c>
      <c r="BA27">
        <v>27</v>
      </c>
      <c r="BB27">
        <v>1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4096.7043999999996</v>
      </c>
      <c r="BN27">
        <v>6.31</v>
      </c>
      <c r="BO27">
        <v>0</v>
      </c>
      <c r="BP27">
        <v>1</v>
      </c>
      <c r="BQ27">
        <v>0</v>
      </c>
      <c r="BR27">
        <v>0</v>
      </c>
      <c r="BS27">
        <v>0</v>
      </c>
      <c r="BT27">
        <v>16386.817599999998</v>
      </c>
      <c r="BU27">
        <v>25.24</v>
      </c>
      <c r="BV27">
        <v>0</v>
      </c>
      <c r="BW27">
        <v>1</v>
      </c>
      <c r="CU27">
        <f>ROUND(AT27*Source!I34*AH27*AL27,2)</f>
        <v>81.93</v>
      </c>
      <c r="CV27">
        <f>ROUND(Y27*Source!I34,7)</f>
        <v>0.50480000000000003</v>
      </c>
      <c r="CW27">
        <v>0</v>
      </c>
      <c r="CX27">
        <f>ROUND(Y27*Source!I34,7)</f>
        <v>0.50480000000000003</v>
      </c>
      <c r="CY27">
        <f>AD27</f>
        <v>649.24</v>
      </c>
      <c r="CZ27">
        <f>AH27</f>
        <v>649.24</v>
      </c>
      <c r="DA27">
        <f>AL27</f>
        <v>1</v>
      </c>
      <c r="DB27">
        <f>ROUND((ROUND(AT27*CZ27,2)*ROUND(4,7)),6)</f>
        <v>16386.8</v>
      </c>
      <c r="DC27">
        <f>ROUND((ROUND(AT27*AG27,2)*ROUND(4,7)),6)</f>
        <v>0</v>
      </c>
      <c r="DD27" t="s">
        <v>3</v>
      </c>
      <c r="DE27" t="s">
        <v>3</v>
      </c>
      <c r="DF27">
        <f t="shared" si="12"/>
        <v>0</v>
      </c>
      <c r="DG27">
        <f t="shared" si="4"/>
        <v>0</v>
      </c>
      <c r="DH27">
        <f t="shared" si="0"/>
        <v>0</v>
      </c>
      <c r="DI27">
        <f t="shared" si="1"/>
        <v>327.74</v>
      </c>
      <c r="DJ27">
        <f>DI27</f>
        <v>327.74</v>
      </c>
      <c r="DK27">
        <v>1</v>
      </c>
      <c r="DL27" t="s">
        <v>3</v>
      </c>
      <c r="DM27">
        <v>0</v>
      </c>
      <c r="DN27" t="s">
        <v>3</v>
      </c>
      <c r="DO27">
        <v>0</v>
      </c>
    </row>
    <row r="28" spans="1:119" x14ac:dyDescent="0.2">
      <c r="A28">
        <f>ROW(Source!A34)</f>
        <v>34</v>
      </c>
      <c r="B28">
        <v>82813384</v>
      </c>
      <c r="C28">
        <v>82813617</v>
      </c>
      <c r="D28">
        <v>81036704</v>
      </c>
      <c r="E28">
        <v>1</v>
      </c>
      <c r="F28">
        <v>1</v>
      </c>
      <c r="G28">
        <v>1</v>
      </c>
      <c r="H28">
        <v>3</v>
      </c>
      <c r="I28" t="s">
        <v>330</v>
      </c>
      <c r="J28" t="s">
        <v>331</v>
      </c>
      <c r="K28" t="s">
        <v>332</v>
      </c>
      <c r="L28">
        <v>1383</v>
      </c>
      <c r="N28">
        <v>1013</v>
      </c>
      <c r="O28" t="s">
        <v>333</v>
      </c>
      <c r="P28" t="s">
        <v>333</v>
      </c>
      <c r="Q28">
        <v>1</v>
      </c>
      <c r="W28">
        <v>0</v>
      </c>
      <c r="X28">
        <v>-182421198</v>
      </c>
      <c r="Y28">
        <f>(AT28*ROUND(4,7))</f>
        <v>3.6352000000000002</v>
      </c>
      <c r="AA28">
        <v>6.92</v>
      </c>
      <c r="AB28">
        <v>0</v>
      </c>
      <c r="AC28">
        <v>0</v>
      </c>
      <c r="AD28">
        <v>0</v>
      </c>
      <c r="AE28">
        <v>6.92</v>
      </c>
      <c r="AF28">
        <v>0</v>
      </c>
      <c r="AG28">
        <v>0</v>
      </c>
      <c r="AH28">
        <v>0</v>
      </c>
      <c r="AI28">
        <v>1</v>
      </c>
      <c r="AJ28">
        <v>1</v>
      </c>
      <c r="AK28">
        <v>1</v>
      </c>
      <c r="AL28">
        <v>1</v>
      </c>
      <c r="AM28">
        <v>-2</v>
      </c>
      <c r="AN28">
        <v>0</v>
      </c>
      <c r="AO28">
        <v>0</v>
      </c>
      <c r="AP28">
        <v>1</v>
      </c>
      <c r="AQ28">
        <v>1</v>
      </c>
      <c r="AR28">
        <v>0</v>
      </c>
      <c r="AS28" t="s">
        <v>3</v>
      </c>
      <c r="AT28">
        <v>0.90880000000000005</v>
      </c>
      <c r="AU28" t="s">
        <v>69</v>
      </c>
      <c r="AV28">
        <v>0</v>
      </c>
      <c r="AW28">
        <v>2</v>
      </c>
      <c r="AX28">
        <v>82813619</v>
      </c>
      <c r="AY28">
        <v>1</v>
      </c>
      <c r="AZ28">
        <v>0</v>
      </c>
      <c r="BA28">
        <v>28</v>
      </c>
      <c r="BB28">
        <v>1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6.2888960000000003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1</v>
      </c>
      <c r="BQ28">
        <v>25.155584000000001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1</v>
      </c>
      <c r="CV28">
        <v>0</v>
      </c>
      <c r="CW28">
        <v>0</v>
      </c>
      <c r="CX28">
        <f>ROUND(Y28*Source!I34,7)</f>
        <v>7.2704000000000005E-2</v>
      </c>
      <c r="CY28">
        <f>AA28</f>
        <v>6.92</v>
      </c>
      <c r="CZ28">
        <f>AE28</f>
        <v>6.92</v>
      </c>
      <c r="DA28">
        <f>AI28</f>
        <v>1</v>
      </c>
      <c r="DB28">
        <f>ROUND((ROUND(AT28*CZ28,2)*ROUND(4,7)),6)</f>
        <v>25.16</v>
      </c>
      <c r="DC28">
        <f>ROUND((ROUND(AT28*AG28,2)*ROUND(4,7)),6)</f>
        <v>0</v>
      </c>
      <c r="DD28" t="s">
        <v>3</v>
      </c>
      <c r="DE28" t="s">
        <v>3</v>
      </c>
      <c r="DF28">
        <f t="shared" si="12"/>
        <v>0.5</v>
      </c>
      <c r="DG28">
        <f t="shared" si="4"/>
        <v>0</v>
      </c>
      <c r="DH28">
        <f t="shared" si="0"/>
        <v>0</v>
      </c>
      <c r="DI28">
        <f t="shared" si="1"/>
        <v>0</v>
      </c>
      <c r="DJ28">
        <f>DF28</f>
        <v>0.5</v>
      </c>
      <c r="DK28">
        <v>1</v>
      </c>
      <c r="DL28" t="s">
        <v>3</v>
      </c>
      <c r="DM28">
        <v>0</v>
      </c>
      <c r="DN28" t="s">
        <v>3</v>
      </c>
      <c r="DO28">
        <v>0</v>
      </c>
    </row>
    <row r="29" spans="1:119" x14ac:dyDescent="0.2">
      <c r="A29">
        <f>ROW(Source!A34)</f>
        <v>34</v>
      </c>
      <c r="B29">
        <v>82813384</v>
      </c>
      <c r="C29">
        <v>82813617</v>
      </c>
      <c r="D29">
        <v>80966187</v>
      </c>
      <c r="E29">
        <v>118</v>
      </c>
      <c r="F29">
        <v>1</v>
      </c>
      <c r="G29">
        <v>1</v>
      </c>
      <c r="H29">
        <v>3</v>
      </c>
      <c r="I29" t="s">
        <v>57</v>
      </c>
      <c r="J29" t="s">
        <v>3</v>
      </c>
      <c r="K29" t="s">
        <v>58</v>
      </c>
      <c r="L29">
        <v>1348</v>
      </c>
      <c r="N29">
        <v>1009</v>
      </c>
      <c r="O29" t="s">
        <v>59</v>
      </c>
      <c r="P29" t="s">
        <v>59</v>
      </c>
      <c r="Q29">
        <v>1000</v>
      </c>
      <c r="W29">
        <v>0</v>
      </c>
      <c r="X29">
        <v>2102561428</v>
      </c>
      <c r="Y29">
        <f>(AT29*ROUND(4,7))</f>
        <v>1.2E-2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1</v>
      </c>
      <c r="AJ29">
        <v>1</v>
      </c>
      <c r="AK29">
        <v>1</v>
      </c>
      <c r="AL29">
        <v>1</v>
      </c>
      <c r="AM29">
        <v>0</v>
      </c>
      <c r="AN29">
        <v>0</v>
      </c>
      <c r="AO29">
        <v>0</v>
      </c>
      <c r="AP29">
        <v>1</v>
      </c>
      <c r="AQ29">
        <v>0</v>
      </c>
      <c r="AR29">
        <v>0</v>
      </c>
      <c r="AS29" t="s">
        <v>3</v>
      </c>
      <c r="AT29">
        <v>3.0000000000000001E-3</v>
      </c>
      <c r="AU29" t="s">
        <v>69</v>
      </c>
      <c r="AV29">
        <v>0</v>
      </c>
      <c r="AW29">
        <v>2</v>
      </c>
      <c r="AX29">
        <v>82813620</v>
      </c>
      <c r="AY29">
        <v>1</v>
      </c>
      <c r="AZ29">
        <v>0</v>
      </c>
      <c r="BA29">
        <v>29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CV29">
        <v>0</v>
      </c>
      <c r="CW29">
        <v>0</v>
      </c>
      <c r="CX29">
        <f>ROUND(Y29*Source!I34,7)</f>
        <v>2.4000000000000001E-4</v>
      </c>
      <c r="CY29">
        <f>AA29</f>
        <v>0</v>
      </c>
      <c r="CZ29">
        <f>AE29</f>
        <v>0</v>
      </c>
      <c r="DA29">
        <f>AI29</f>
        <v>1</v>
      </c>
      <c r="DB29">
        <f>ROUND((ROUND(AT29*CZ29,2)*ROUND(4,7)),6)</f>
        <v>0</v>
      </c>
      <c r="DC29">
        <f>ROUND((ROUND(AT29*AG29,2)*ROUND(4,7)),6)</f>
        <v>0</v>
      </c>
      <c r="DD29" t="s">
        <v>3</v>
      </c>
      <c r="DE29" t="s">
        <v>3</v>
      </c>
      <c r="DF29">
        <f t="shared" si="12"/>
        <v>0</v>
      </c>
      <c r="DG29">
        <f t="shared" si="4"/>
        <v>0</v>
      </c>
      <c r="DH29">
        <f t="shared" si="0"/>
        <v>0</v>
      </c>
      <c r="DI29">
        <f t="shared" si="1"/>
        <v>0</v>
      </c>
      <c r="DJ29">
        <f>DF29</f>
        <v>0</v>
      </c>
      <c r="DK29">
        <v>0</v>
      </c>
      <c r="DL29" t="s">
        <v>3</v>
      </c>
      <c r="DM29">
        <v>0</v>
      </c>
      <c r="DN29" t="s">
        <v>3</v>
      </c>
      <c r="DO29">
        <v>0</v>
      </c>
    </row>
    <row r="30" spans="1:119" x14ac:dyDescent="0.2">
      <c r="A30">
        <f>ROW(Source!A36)</f>
        <v>36</v>
      </c>
      <c r="B30">
        <v>82813384</v>
      </c>
      <c r="C30">
        <v>82813628</v>
      </c>
      <c r="D30">
        <v>37113247</v>
      </c>
      <c r="E30">
        <v>118</v>
      </c>
      <c r="F30">
        <v>1</v>
      </c>
      <c r="G30">
        <v>1</v>
      </c>
      <c r="H30">
        <v>1</v>
      </c>
      <c r="I30" t="s">
        <v>334</v>
      </c>
      <c r="J30" t="s">
        <v>3</v>
      </c>
      <c r="K30" t="s">
        <v>335</v>
      </c>
      <c r="L30">
        <v>1191</v>
      </c>
      <c r="N30">
        <v>1013</v>
      </c>
      <c r="O30" t="s">
        <v>288</v>
      </c>
      <c r="P30" t="s">
        <v>288</v>
      </c>
      <c r="Q30">
        <v>1</v>
      </c>
      <c r="W30">
        <v>0</v>
      </c>
      <c r="X30">
        <v>73401693</v>
      </c>
      <c r="Y30">
        <f>AT30</f>
        <v>5.8</v>
      </c>
      <c r="AA30">
        <v>0</v>
      </c>
      <c r="AB30">
        <v>0</v>
      </c>
      <c r="AC30">
        <v>0</v>
      </c>
      <c r="AD30">
        <v>840.19</v>
      </c>
      <c r="AE30">
        <v>0</v>
      </c>
      <c r="AF30">
        <v>0</v>
      </c>
      <c r="AG30">
        <v>0</v>
      </c>
      <c r="AH30">
        <v>840.19</v>
      </c>
      <c r="AI30">
        <v>1</v>
      </c>
      <c r="AJ30">
        <v>1</v>
      </c>
      <c r="AK30">
        <v>1</v>
      </c>
      <c r="AL30">
        <v>1</v>
      </c>
      <c r="AM30">
        <v>-2</v>
      </c>
      <c r="AN30">
        <v>0</v>
      </c>
      <c r="AO30">
        <v>0</v>
      </c>
      <c r="AP30">
        <v>0</v>
      </c>
      <c r="AQ30">
        <v>1</v>
      </c>
      <c r="AR30">
        <v>0</v>
      </c>
      <c r="AS30" t="s">
        <v>3</v>
      </c>
      <c r="AT30">
        <v>5.8</v>
      </c>
      <c r="AU30" t="s">
        <v>3</v>
      </c>
      <c r="AV30">
        <v>1</v>
      </c>
      <c r="AW30">
        <v>2</v>
      </c>
      <c r="AX30">
        <v>82813633</v>
      </c>
      <c r="AY30">
        <v>1</v>
      </c>
      <c r="AZ30">
        <v>0</v>
      </c>
      <c r="BA30">
        <v>30</v>
      </c>
      <c r="BB30">
        <v>1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4873.1019999999999</v>
      </c>
      <c r="BN30">
        <v>5.8</v>
      </c>
      <c r="BO30">
        <v>0</v>
      </c>
      <c r="BP30">
        <v>1</v>
      </c>
      <c r="BQ30">
        <v>0</v>
      </c>
      <c r="BR30">
        <v>0</v>
      </c>
      <c r="BS30">
        <v>0</v>
      </c>
      <c r="BT30">
        <v>4873.1019999999999</v>
      </c>
      <c r="BU30">
        <v>5.8</v>
      </c>
      <c r="BV30">
        <v>0</v>
      </c>
      <c r="BW30">
        <v>1</v>
      </c>
      <c r="CU30">
        <f>ROUND(AT30*Source!I36*AH30*AL30,2)</f>
        <v>2436.5500000000002</v>
      </c>
      <c r="CV30">
        <f>ROUND(Y30*Source!I36,7)</f>
        <v>2.9</v>
      </c>
      <c r="CW30">
        <v>0</v>
      </c>
      <c r="CX30">
        <f>ROUND(Y30*Source!I36,7)</f>
        <v>2.9</v>
      </c>
      <c r="CY30">
        <f>AD30</f>
        <v>840.19</v>
      </c>
      <c r="CZ30">
        <f>AH30</f>
        <v>840.19</v>
      </c>
      <c r="DA30">
        <f>AL30</f>
        <v>1</v>
      </c>
      <c r="DB30">
        <f>ROUND(ROUND(AT30*CZ30,2),6)</f>
        <v>4873.1000000000004</v>
      </c>
      <c r="DC30">
        <f>ROUND(ROUND(AT30*AG30,2),6)</f>
        <v>0</v>
      </c>
      <c r="DD30" t="s">
        <v>3</v>
      </c>
      <c r="DE30" t="s">
        <v>3</v>
      </c>
      <c r="DF30">
        <f t="shared" si="12"/>
        <v>0</v>
      </c>
      <c r="DG30">
        <f t="shared" si="4"/>
        <v>0</v>
      </c>
      <c r="DH30">
        <f t="shared" si="0"/>
        <v>0</v>
      </c>
      <c r="DI30">
        <f t="shared" si="1"/>
        <v>2436.5500000000002</v>
      </c>
      <c r="DJ30">
        <f>DI30</f>
        <v>2436.5500000000002</v>
      </c>
      <c r="DK30">
        <v>1</v>
      </c>
      <c r="DL30" t="s">
        <v>3</v>
      </c>
      <c r="DM30">
        <v>0</v>
      </c>
      <c r="DN30" t="s">
        <v>3</v>
      </c>
      <c r="DO30">
        <v>0</v>
      </c>
    </row>
    <row r="31" spans="1:119" x14ac:dyDescent="0.2">
      <c r="A31">
        <f>ROW(Source!A36)</f>
        <v>36</v>
      </c>
      <c r="B31">
        <v>82813384</v>
      </c>
      <c r="C31">
        <v>82813628</v>
      </c>
      <c r="D31">
        <v>81088186</v>
      </c>
      <c r="E31">
        <v>1</v>
      </c>
      <c r="F31">
        <v>1</v>
      </c>
      <c r="G31">
        <v>1</v>
      </c>
      <c r="H31">
        <v>2</v>
      </c>
      <c r="I31" t="s">
        <v>336</v>
      </c>
      <c r="J31" t="s">
        <v>337</v>
      </c>
      <c r="K31" t="s">
        <v>338</v>
      </c>
      <c r="L31">
        <v>1368</v>
      </c>
      <c r="N31">
        <v>1011</v>
      </c>
      <c r="O31" t="s">
        <v>292</v>
      </c>
      <c r="P31" t="s">
        <v>292</v>
      </c>
      <c r="Q31">
        <v>1</v>
      </c>
      <c r="W31">
        <v>0</v>
      </c>
      <c r="X31">
        <v>78609651</v>
      </c>
      <c r="Y31">
        <f>AT31</f>
        <v>1.9</v>
      </c>
      <c r="AA31">
        <v>0</v>
      </c>
      <c r="AB31">
        <v>30.54</v>
      </c>
      <c r="AC31">
        <v>0</v>
      </c>
      <c r="AD31">
        <v>0</v>
      </c>
      <c r="AE31">
        <v>0</v>
      </c>
      <c r="AF31">
        <v>26.1</v>
      </c>
      <c r="AG31">
        <v>0</v>
      </c>
      <c r="AH31">
        <v>0</v>
      </c>
      <c r="AI31">
        <v>1</v>
      </c>
      <c r="AJ31">
        <v>1.17</v>
      </c>
      <c r="AK31">
        <v>1</v>
      </c>
      <c r="AL31">
        <v>1</v>
      </c>
      <c r="AM31">
        <v>2</v>
      </c>
      <c r="AN31">
        <v>0</v>
      </c>
      <c r="AO31">
        <v>0</v>
      </c>
      <c r="AP31">
        <v>0</v>
      </c>
      <c r="AQ31">
        <v>1</v>
      </c>
      <c r="AR31">
        <v>0</v>
      </c>
      <c r="AS31" t="s">
        <v>3</v>
      </c>
      <c r="AT31">
        <v>1.9</v>
      </c>
      <c r="AU31" t="s">
        <v>3</v>
      </c>
      <c r="AV31">
        <v>1</v>
      </c>
      <c r="AW31">
        <v>2</v>
      </c>
      <c r="AX31">
        <v>82813634</v>
      </c>
      <c r="AY31">
        <v>1</v>
      </c>
      <c r="AZ31">
        <v>0</v>
      </c>
      <c r="BA31">
        <v>31</v>
      </c>
      <c r="BB31">
        <v>1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49.59</v>
      </c>
      <c r="BL31">
        <v>0</v>
      </c>
      <c r="BM31">
        <v>0</v>
      </c>
      <c r="BN31">
        <v>0</v>
      </c>
      <c r="BO31">
        <v>0</v>
      </c>
      <c r="BP31">
        <v>1</v>
      </c>
      <c r="BQ31">
        <v>0</v>
      </c>
      <c r="BR31">
        <v>49.59</v>
      </c>
      <c r="BS31">
        <v>0</v>
      </c>
      <c r="BT31">
        <v>0</v>
      </c>
      <c r="BU31">
        <v>0</v>
      </c>
      <c r="BV31">
        <v>0</v>
      </c>
      <c r="BW31">
        <v>1</v>
      </c>
      <c r="CV31">
        <v>0</v>
      </c>
      <c r="CW31">
        <f>ROUND(Y31*Source!I36*DO31,7)</f>
        <v>0</v>
      </c>
      <c r="CX31">
        <f>ROUND(Y31*Source!I36,7)</f>
        <v>0.95</v>
      </c>
      <c r="CY31">
        <f>AB31</f>
        <v>30.54</v>
      </c>
      <c r="CZ31">
        <f>AF31</f>
        <v>26.1</v>
      </c>
      <c r="DA31">
        <f>AJ31</f>
        <v>1.17</v>
      </c>
      <c r="DB31">
        <f>ROUND(ROUND(AT31*CZ31,2),6)</f>
        <v>49.59</v>
      </c>
      <c r="DC31">
        <f>ROUND(ROUND(AT31*AG31,2),6)</f>
        <v>0</v>
      </c>
      <c r="DD31" t="s">
        <v>3</v>
      </c>
      <c r="DE31" t="s">
        <v>3</v>
      </c>
      <c r="DF31">
        <f t="shared" si="12"/>
        <v>0</v>
      </c>
      <c r="DG31">
        <f>ROUND(ROUND(AF31*AJ31,2)*CX31,2)</f>
        <v>29.01</v>
      </c>
      <c r="DH31">
        <f t="shared" si="0"/>
        <v>0</v>
      </c>
      <c r="DI31">
        <f t="shared" si="1"/>
        <v>0</v>
      </c>
      <c r="DJ31">
        <f>DG31+DH31</f>
        <v>29.01</v>
      </c>
      <c r="DK31">
        <v>0</v>
      </c>
      <c r="DL31" t="s">
        <v>3</v>
      </c>
      <c r="DM31">
        <v>0</v>
      </c>
      <c r="DN31" t="s">
        <v>3</v>
      </c>
      <c r="DO31">
        <v>0</v>
      </c>
    </row>
    <row r="32" spans="1:119" x14ac:dyDescent="0.2">
      <c r="A32">
        <f>ROW(Source!A36)</f>
        <v>36</v>
      </c>
      <c r="B32">
        <v>82813384</v>
      </c>
      <c r="C32">
        <v>82813628</v>
      </c>
      <c r="D32">
        <v>81036692</v>
      </c>
      <c r="E32">
        <v>1</v>
      </c>
      <c r="F32">
        <v>1</v>
      </c>
      <c r="G32">
        <v>1</v>
      </c>
      <c r="H32">
        <v>3</v>
      </c>
      <c r="I32" t="s">
        <v>339</v>
      </c>
      <c r="J32" t="s">
        <v>340</v>
      </c>
      <c r="K32" t="s">
        <v>341</v>
      </c>
      <c r="L32">
        <v>1339</v>
      </c>
      <c r="N32">
        <v>1007</v>
      </c>
      <c r="O32" t="s">
        <v>296</v>
      </c>
      <c r="P32" t="s">
        <v>296</v>
      </c>
      <c r="Q32">
        <v>1</v>
      </c>
      <c r="W32">
        <v>0</v>
      </c>
      <c r="X32">
        <v>727623859</v>
      </c>
      <c r="Y32">
        <f>AT32</f>
        <v>0.11700000000000001</v>
      </c>
      <c r="AA32">
        <v>54.64</v>
      </c>
      <c r="AB32">
        <v>0</v>
      </c>
      <c r="AC32">
        <v>0</v>
      </c>
      <c r="AD32">
        <v>0</v>
      </c>
      <c r="AE32">
        <v>35.71</v>
      </c>
      <c r="AF32">
        <v>0</v>
      </c>
      <c r="AG32">
        <v>0</v>
      </c>
      <c r="AH32">
        <v>0</v>
      </c>
      <c r="AI32">
        <v>1.53</v>
      </c>
      <c r="AJ32">
        <v>1</v>
      </c>
      <c r="AK32">
        <v>1</v>
      </c>
      <c r="AL32">
        <v>1</v>
      </c>
      <c r="AM32">
        <v>2</v>
      </c>
      <c r="AN32">
        <v>0</v>
      </c>
      <c r="AO32">
        <v>0</v>
      </c>
      <c r="AP32">
        <v>0</v>
      </c>
      <c r="AQ32">
        <v>1</v>
      </c>
      <c r="AR32">
        <v>0</v>
      </c>
      <c r="AS32" t="s">
        <v>3</v>
      </c>
      <c r="AT32">
        <v>0.11700000000000001</v>
      </c>
      <c r="AU32" t="s">
        <v>3</v>
      </c>
      <c r="AV32">
        <v>0</v>
      </c>
      <c r="AW32">
        <v>2</v>
      </c>
      <c r="AX32">
        <v>82813635</v>
      </c>
      <c r="AY32">
        <v>1</v>
      </c>
      <c r="AZ32">
        <v>0</v>
      </c>
      <c r="BA32">
        <v>32</v>
      </c>
      <c r="BB32">
        <v>1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4.17807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1</v>
      </c>
      <c r="BQ32">
        <v>4.17807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1</v>
      </c>
      <c r="CV32">
        <v>0</v>
      </c>
      <c r="CW32">
        <v>0</v>
      </c>
      <c r="CX32">
        <f>ROUND(Y32*Source!I36,7)</f>
        <v>5.8500000000000003E-2</v>
      </c>
      <c r="CY32">
        <f>AA32</f>
        <v>54.64</v>
      </c>
      <c r="CZ32">
        <f>AE32</f>
        <v>35.71</v>
      </c>
      <c r="DA32">
        <f>AI32</f>
        <v>1.53</v>
      </c>
      <c r="DB32">
        <f>ROUND(ROUND(AT32*CZ32,2),6)</f>
        <v>4.18</v>
      </c>
      <c r="DC32">
        <f>ROUND(ROUND(AT32*AG32,2),6)</f>
        <v>0</v>
      </c>
      <c r="DD32" t="s">
        <v>3</v>
      </c>
      <c r="DE32" t="s">
        <v>3</v>
      </c>
      <c r="DF32">
        <f>ROUND(ROUND(AE32*AI32,2)*CX32,2)</f>
        <v>3.2</v>
      </c>
      <c r="DG32">
        <f>ROUND(ROUND(AF32,2)*CX32,2)</f>
        <v>0</v>
      </c>
      <c r="DH32">
        <f t="shared" si="0"/>
        <v>0</v>
      </c>
      <c r="DI32">
        <f t="shared" si="1"/>
        <v>0</v>
      </c>
      <c r="DJ32">
        <f>DF32</f>
        <v>3.2</v>
      </c>
      <c r="DK32">
        <v>0</v>
      </c>
      <c r="DL32" t="s">
        <v>3</v>
      </c>
      <c r="DM32">
        <v>0</v>
      </c>
      <c r="DN32" t="s">
        <v>3</v>
      </c>
      <c r="DO32">
        <v>0</v>
      </c>
    </row>
    <row r="33" spans="1:119" x14ac:dyDescent="0.2">
      <c r="A33">
        <f>ROW(Source!A36)</f>
        <v>36</v>
      </c>
      <c r="B33">
        <v>82813384</v>
      </c>
      <c r="C33">
        <v>82813628</v>
      </c>
      <c r="D33">
        <v>80961009</v>
      </c>
      <c r="E33">
        <v>118</v>
      </c>
      <c r="F33">
        <v>1</v>
      </c>
      <c r="G33">
        <v>1</v>
      </c>
      <c r="H33">
        <v>3</v>
      </c>
      <c r="I33" t="s">
        <v>74</v>
      </c>
      <c r="J33" t="s">
        <v>3</v>
      </c>
      <c r="K33" t="s">
        <v>75</v>
      </c>
      <c r="L33">
        <v>1371</v>
      </c>
      <c r="N33">
        <v>1013</v>
      </c>
      <c r="O33" t="s">
        <v>30</v>
      </c>
      <c r="P33" t="s">
        <v>30</v>
      </c>
      <c r="Q33">
        <v>1</v>
      </c>
      <c r="W33">
        <v>0</v>
      </c>
      <c r="X33">
        <v>-529615532</v>
      </c>
      <c r="Y33">
        <f>AT33</f>
        <v>6.3E-2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1</v>
      </c>
      <c r="AK33">
        <v>1</v>
      </c>
      <c r="AL33">
        <v>1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 t="s">
        <v>3</v>
      </c>
      <c r="AT33">
        <v>6.3E-2</v>
      </c>
      <c r="AU33" t="s">
        <v>3</v>
      </c>
      <c r="AV33">
        <v>0</v>
      </c>
      <c r="AW33">
        <v>2</v>
      </c>
      <c r="AX33">
        <v>82813636</v>
      </c>
      <c r="AY33">
        <v>1</v>
      </c>
      <c r="AZ33">
        <v>0</v>
      </c>
      <c r="BA33">
        <v>33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CV33">
        <v>0</v>
      </c>
      <c r="CW33">
        <v>0</v>
      </c>
      <c r="CX33">
        <f>ROUND(Y33*Source!I36,7)</f>
        <v>3.15E-2</v>
      </c>
      <c r="CY33">
        <f>AA33</f>
        <v>0</v>
      </c>
      <c r="CZ33">
        <f>AE33</f>
        <v>0</v>
      </c>
      <c r="DA33">
        <f>AI33</f>
        <v>1</v>
      </c>
      <c r="DB33">
        <f>ROUND(ROUND(AT33*CZ33,2),6)</f>
        <v>0</v>
      </c>
      <c r="DC33">
        <f>ROUND(ROUND(AT33*AG33,2),6)</f>
        <v>0</v>
      </c>
      <c r="DD33" t="s">
        <v>3</v>
      </c>
      <c r="DE33" t="s">
        <v>3</v>
      </c>
      <c r="DF33">
        <f>ROUND(ROUND(AE33,2)*CX33,2)</f>
        <v>0</v>
      </c>
      <c r="DG33">
        <f>ROUND(ROUND(AF33,2)*CX33,2)</f>
        <v>0</v>
      </c>
      <c r="DH33">
        <f t="shared" ref="DH33:DH64" si="13">ROUND(ROUND(AG33,2)*CX33,2)</f>
        <v>0</v>
      </c>
      <c r="DI33">
        <f t="shared" ref="DI33:DI64" si="14">ROUND(ROUND(AH33,2)*CX33,2)</f>
        <v>0</v>
      </c>
      <c r="DJ33">
        <f>DF33</f>
        <v>0</v>
      </c>
      <c r="DK33">
        <v>0</v>
      </c>
      <c r="DL33" t="s">
        <v>3</v>
      </c>
      <c r="DM33">
        <v>0</v>
      </c>
      <c r="DN33" t="s">
        <v>3</v>
      </c>
      <c r="DO33">
        <v>0</v>
      </c>
    </row>
    <row r="34" spans="1:119" x14ac:dyDescent="0.2">
      <c r="A34">
        <f>ROW(Source!A38)</f>
        <v>38</v>
      </c>
      <c r="B34">
        <v>82813384</v>
      </c>
      <c r="C34">
        <v>82813638</v>
      </c>
      <c r="D34">
        <v>80959983</v>
      </c>
      <c r="E34">
        <v>118</v>
      </c>
      <c r="F34">
        <v>1</v>
      </c>
      <c r="G34">
        <v>1</v>
      </c>
      <c r="H34">
        <v>1</v>
      </c>
      <c r="I34" t="s">
        <v>334</v>
      </c>
      <c r="J34" t="s">
        <v>3</v>
      </c>
      <c r="K34" t="s">
        <v>335</v>
      </c>
      <c r="L34">
        <v>1191</v>
      </c>
      <c r="N34">
        <v>1013</v>
      </c>
      <c r="O34" t="s">
        <v>288</v>
      </c>
      <c r="P34" t="s">
        <v>288</v>
      </c>
      <c r="Q34">
        <v>1</v>
      </c>
      <c r="W34">
        <v>0</v>
      </c>
      <c r="X34">
        <v>73401693</v>
      </c>
      <c r="Y34">
        <f>(AT34*ROUND((0.35+1),7))</f>
        <v>7.9650000000000007</v>
      </c>
      <c r="AA34">
        <v>0</v>
      </c>
      <c r="AB34">
        <v>0</v>
      </c>
      <c r="AC34">
        <v>0</v>
      </c>
      <c r="AD34">
        <v>840.19</v>
      </c>
      <c r="AE34">
        <v>0</v>
      </c>
      <c r="AF34">
        <v>0</v>
      </c>
      <c r="AG34">
        <v>0</v>
      </c>
      <c r="AH34">
        <v>840.19</v>
      </c>
      <c r="AI34">
        <v>1</v>
      </c>
      <c r="AJ34">
        <v>1</v>
      </c>
      <c r="AK34">
        <v>1</v>
      </c>
      <c r="AL34">
        <v>1</v>
      </c>
      <c r="AM34">
        <v>-2</v>
      </c>
      <c r="AN34">
        <v>0</v>
      </c>
      <c r="AO34">
        <v>0</v>
      </c>
      <c r="AP34">
        <v>1</v>
      </c>
      <c r="AQ34">
        <v>1</v>
      </c>
      <c r="AR34">
        <v>0</v>
      </c>
      <c r="AS34" t="s">
        <v>3</v>
      </c>
      <c r="AT34">
        <v>5.9</v>
      </c>
      <c r="AU34" t="s">
        <v>19</v>
      </c>
      <c r="AV34">
        <v>1</v>
      </c>
      <c r="AW34">
        <v>2</v>
      </c>
      <c r="AX34">
        <v>82813639</v>
      </c>
      <c r="AY34">
        <v>1</v>
      </c>
      <c r="AZ34">
        <v>0</v>
      </c>
      <c r="BA34">
        <v>34</v>
      </c>
      <c r="BB34">
        <v>1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4957.121000000001</v>
      </c>
      <c r="BN34">
        <v>5.9</v>
      </c>
      <c r="BO34">
        <v>0</v>
      </c>
      <c r="BP34">
        <v>1</v>
      </c>
      <c r="BQ34">
        <v>0</v>
      </c>
      <c r="BR34">
        <v>0</v>
      </c>
      <c r="BS34">
        <v>0</v>
      </c>
      <c r="BT34">
        <v>6692.1133500000014</v>
      </c>
      <c r="BU34">
        <v>7.9650000000000007</v>
      </c>
      <c r="BV34">
        <v>0</v>
      </c>
      <c r="BW34">
        <v>1</v>
      </c>
      <c r="CU34">
        <f>ROUND(AT34*Source!I38*AH34*AL34,2)</f>
        <v>4957.12</v>
      </c>
      <c r="CV34">
        <f>ROUND(Y34*Source!I38,7)</f>
        <v>7.9649999999999999</v>
      </c>
      <c r="CW34">
        <v>0</v>
      </c>
      <c r="CX34">
        <f>ROUND(Y34*Source!I38,7)</f>
        <v>7.9649999999999999</v>
      </c>
      <c r="CY34">
        <f>AD34</f>
        <v>840.19</v>
      </c>
      <c r="CZ34">
        <f>AH34</f>
        <v>840.19</v>
      </c>
      <c r="DA34">
        <f>AL34</f>
        <v>1</v>
      </c>
      <c r="DB34">
        <f>ROUND((ROUND(AT34*CZ34,2)*ROUND((0.35+1),7)),6)</f>
        <v>6692.1120000000001</v>
      </c>
      <c r="DC34">
        <f>ROUND((ROUND(AT34*AG34,2)*ROUND((0.35+1),7)),6)</f>
        <v>0</v>
      </c>
      <c r="DD34" t="s">
        <v>3</v>
      </c>
      <c r="DE34" t="s">
        <v>3</v>
      </c>
      <c r="DF34">
        <f>ROUND(ROUND(AE34,2)*CX34,2)</f>
        <v>0</v>
      </c>
      <c r="DG34">
        <f>ROUND(ROUND(AF34,2)*CX34,2)</f>
        <v>0</v>
      </c>
      <c r="DH34">
        <f t="shared" si="13"/>
        <v>0</v>
      </c>
      <c r="DI34">
        <f t="shared" si="14"/>
        <v>6692.11</v>
      </c>
      <c r="DJ34">
        <f>DI34</f>
        <v>6692.11</v>
      </c>
      <c r="DK34">
        <v>1</v>
      </c>
      <c r="DL34" t="s">
        <v>3</v>
      </c>
      <c r="DM34">
        <v>0</v>
      </c>
      <c r="DN34" t="s">
        <v>3</v>
      </c>
      <c r="DO34">
        <v>0</v>
      </c>
    </row>
    <row r="35" spans="1:119" x14ac:dyDescent="0.2">
      <c r="A35">
        <f>ROW(Source!A38)</f>
        <v>38</v>
      </c>
      <c r="B35">
        <v>82813384</v>
      </c>
      <c r="C35">
        <v>82813638</v>
      </c>
      <c r="D35">
        <v>81088186</v>
      </c>
      <c r="E35">
        <v>1</v>
      </c>
      <c r="F35">
        <v>1</v>
      </c>
      <c r="G35">
        <v>1</v>
      </c>
      <c r="H35">
        <v>2</v>
      </c>
      <c r="I35" t="s">
        <v>336</v>
      </c>
      <c r="J35" t="s">
        <v>337</v>
      </c>
      <c r="K35" t="s">
        <v>338</v>
      </c>
      <c r="L35">
        <v>1368</v>
      </c>
      <c r="N35">
        <v>1011</v>
      </c>
      <c r="O35" t="s">
        <v>292</v>
      </c>
      <c r="P35" t="s">
        <v>292</v>
      </c>
      <c r="Q35">
        <v>1</v>
      </c>
      <c r="W35">
        <v>0</v>
      </c>
      <c r="X35">
        <v>78609651</v>
      </c>
      <c r="Y35">
        <f>(AT35*ROUND((0.35+1),7))</f>
        <v>2.5649999999999999</v>
      </c>
      <c r="AA35">
        <v>0</v>
      </c>
      <c r="AB35">
        <v>30.54</v>
      </c>
      <c r="AC35">
        <v>0</v>
      </c>
      <c r="AD35">
        <v>0</v>
      </c>
      <c r="AE35">
        <v>0</v>
      </c>
      <c r="AF35">
        <v>26.1</v>
      </c>
      <c r="AG35">
        <v>0</v>
      </c>
      <c r="AH35">
        <v>0</v>
      </c>
      <c r="AI35">
        <v>1</v>
      </c>
      <c r="AJ35">
        <v>1.17</v>
      </c>
      <c r="AK35">
        <v>1</v>
      </c>
      <c r="AL35">
        <v>1</v>
      </c>
      <c r="AM35">
        <v>2</v>
      </c>
      <c r="AN35">
        <v>0</v>
      </c>
      <c r="AO35">
        <v>0</v>
      </c>
      <c r="AP35">
        <v>1</v>
      </c>
      <c r="AQ35">
        <v>1</v>
      </c>
      <c r="AR35">
        <v>0</v>
      </c>
      <c r="AS35" t="s">
        <v>3</v>
      </c>
      <c r="AT35">
        <v>1.9</v>
      </c>
      <c r="AU35" t="s">
        <v>19</v>
      </c>
      <c r="AV35">
        <v>1</v>
      </c>
      <c r="AW35">
        <v>2</v>
      </c>
      <c r="AX35">
        <v>82813640</v>
      </c>
      <c r="AY35">
        <v>1</v>
      </c>
      <c r="AZ35">
        <v>0</v>
      </c>
      <c r="BA35">
        <v>35</v>
      </c>
      <c r="BB35">
        <v>1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49.59</v>
      </c>
      <c r="BL35">
        <v>0</v>
      </c>
      <c r="BM35">
        <v>0</v>
      </c>
      <c r="BN35">
        <v>0</v>
      </c>
      <c r="BO35">
        <v>0</v>
      </c>
      <c r="BP35">
        <v>1</v>
      </c>
      <c r="BQ35">
        <v>0</v>
      </c>
      <c r="BR35">
        <v>66.9465</v>
      </c>
      <c r="BS35">
        <v>0</v>
      </c>
      <c r="BT35">
        <v>0</v>
      </c>
      <c r="BU35">
        <v>0</v>
      </c>
      <c r="BV35">
        <v>0</v>
      </c>
      <c r="BW35">
        <v>1</v>
      </c>
      <c r="CV35">
        <v>0</v>
      </c>
      <c r="CW35">
        <f>ROUND(Y35*Source!I38*DO35,7)</f>
        <v>0</v>
      </c>
      <c r="CX35">
        <f>ROUND(Y35*Source!I38,7)</f>
        <v>2.5649999999999999</v>
      </c>
      <c r="CY35">
        <f>AB35</f>
        <v>30.54</v>
      </c>
      <c r="CZ35">
        <f>AF35</f>
        <v>26.1</v>
      </c>
      <c r="DA35">
        <f>AJ35</f>
        <v>1.17</v>
      </c>
      <c r="DB35">
        <f>ROUND((ROUND(AT35*CZ35,2)*ROUND((0.35+1),7)),6)</f>
        <v>66.9465</v>
      </c>
      <c r="DC35">
        <f>ROUND((ROUND(AT35*AG35,2)*ROUND((0.35+1),7)),6)</f>
        <v>0</v>
      </c>
      <c r="DD35" t="s">
        <v>3</v>
      </c>
      <c r="DE35" t="s">
        <v>3</v>
      </c>
      <c r="DF35">
        <f>ROUND(ROUND(AE35,2)*CX35,2)</f>
        <v>0</v>
      </c>
      <c r="DG35">
        <f>ROUND(ROUND(AF35*AJ35,2)*CX35,2)</f>
        <v>78.34</v>
      </c>
      <c r="DH35">
        <f t="shared" si="13"/>
        <v>0</v>
      </c>
      <c r="DI35">
        <f t="shared" si="14"/>
        <v>0</v>
      </c>
      <c r="DJ35">
        <f>DG35+DH35</f>
        <v>78.34</v>
      </c>
      <c r="DK35">
        <v>0</v>
      </c>
      <c r="DL35" t="s">
        <v>3</v>
      </c>
      <c r="DM35">
        <v>0</v>
      </c>
      <c r="DN35" t="s">
        <v>3</v>
      </c>
      <c r="DO35">
        <v>0</v>
      </c>
    </row>
    <row r="36" spans="1:119" x14ac:dyDescent="0.2">
      <c r="A36">
        <f>ROW(Source!A38)</f>
        <v>38</v>
      </c>
      <c r="B36">
        <v>82813384</v>
      </c>
      <c r="C36">
        <v>82813638</v>
      </c>
      <c r="D36">
        <v>81036692</v>
      </c>
      <c r="E36">
        <v>1</v>
      </c>
      <c r="F36">
        <v>1</v>
      </c>
      <c r="G36">
        <v>1</v>
      </c>
      <c r="H36">
        <v>3</v>
      </c>
      <c r="I36" t="s">
        <v>339</v>
      </c>
      <c r="J36" t="s">
        <v>340</v>
      </c>
      <c r="K36" t="s">
        <v>341</v>
      </c>
      <c r="L36">
        <v>1339</v>
      </c>
      <c r="N36">
        <v>1007</v>
      </c>
      <c r="O36" t="s">
        <v>296</v>
      </c>
      <c r="P36" t="s">
        <v>296</v>
      </c>
      <c r="Q36">
        <v>1</v>
      </c>
      <c r="W36">
        <v>0</v>
      </c>
      <c r="X36">
        <v>727623859</v>
      </c>
      <c r="Y36">
        <f t="shared" ref="Y36:Y54" si="15">AT36</f>
        <v>0.14599999999999999</v>
      </c>
      <c r="AA36">
        <v>54.64</v>
      </c>
      <c r="AB36">
        <v>0</v>
      </c>
      <c r="AC36">
        <v>0</v>
      </c>
      <c r="AD36">
        <v>0</v>
      </c>
      <c r="AE36">
        <v>35.71</v>
      </c>
      <c r="AF36">
        <v>0</v>
      </c>
      <c r="AG36">
        <v>0</v>
      </c>
      <c r="AH36">
        <v>0</v>
      </c>
      <c r="AI36">
        <v>1.53</v>
      </c>
      <c r="AJ36">
        <v>1</v>
      </c>
      <c r="AK36">
        <v>1</v>
      </c>
      <c r="AL36">
        <v>1</v>
      </c>
      <c r="AM36">
        <v>2</v>
      </c>
      <c r="AN36">
        <v>0</v>
      </c>
      <c r="AO36">
        <v>0</v>
      </c>
      <c r="AP36">
        <v>1</v>
      </c>
      <c r="AQ36">
        <v>1</v>
      </c>
      <c r="AR36">
        <v>0</v>
      </c>
      <c r="AS36" t="s">
        <v>3</v>
      </c>
      <c r="AT36">
        <v>0.14599999999999999</v>
      </c>
      <c r="AU36" t="s">
        <v>3</v>
      </c>
      <c r="AV36">
        <v>0</v>
      </c>
      <c r="AW36">
        <v>2</v>
      </c>
      <c r="AX36">
        <v>82813641</v>
      </c>
      <c r="AY36">
        <v>1</v>
      </c>
      <c r="AZ36">
        <v>0</v>
      </c>
      <c r="BA36">
        <v>36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5.21366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1</v>
      </c>
      <c r="BQ36">
        <v>5.21366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1</v>
      </c>
      <c r="CV36">
        <v>0</v>
      </c>
      <c r="CW36">
        <v>0</v>
      </c>
      <c r="CX36">
        <f>ROUND(Y36*Source!I38,7)</f>
        <v>0.14599999999999999</v>
      </c>
      <c r="CY36">
        <f>AA36</f>
        <v>54.64</v>
      </c>
      <c r="CZ36">
        <f>AE36</f>
        <v>35.71</v>
      </c>
      <c r="DA36">
        <f>AI36</f>
        <v>1.53</v>
      </c>
      <c r="DB36">
        <f t="shared" ref="DB36:DB54" si="16">ROUND(ROUND(AT36*CZ36,2),6)</f>
        <v>5.21</v>
      </c>
      <c r="DC36">
        <f t="shared" ref="DC36:DC54" si="17">ROUND(ROUND(AT36*AG36,2),6)</f>
        <v>0</v>
      </c>
      <c r="DD36" t="s">
        <v>3</v>
      </c>
      <c r="DE36" t="s">
        <v>3</v>
      </c>
      <c r="DF36">
        <f>ROUND(ROUND(AE36*AI36,2)*CX36,2)</f>
        <v>7.98</v>
      </c>
      <c r="DG36">
        <f t="shared" ref="DG36:DG42" si="18">ROUND(ROUND(AF36,2)*CX36,2)</f>
        <v>0</v>
      </c>
      <c r="DH36">
        <f t="shared" si="13"/>
        <v>0</v>
      </c>
      <c r="DI36">
        <f t="shared" si="14"/>
        <v>0</v>
      </c>
      <c r="DJ36">
        <f>DF36</f>
        <v>7.98</v>
      </c>
      <c r="DK36">
        <v>0</v>
      </c>
      <c r="DL36" t="s">
        <v>3</v>
      </c>
      <c r="DM36">
        <v>0</v>
      </c>
      <c r="DN36" t="s">
        <v>3</v>
      </c>
      <c r="DO36">
        <v>0</v>
      </c>
    </row>
    <row r="37" spans="1:119" x14ac:dyDescent="0.2">
      <c r="A37">
        <f>ROW(Source!A38)</f>
        <v>38</v>
      </c>
      <c r="B37">
        <v>82813384</v>
      </c>
      <c r="C37">
        <v>82813638</v>
      </c>
      <c r="D37">
        <v>81038720</v>
      </c>
      <c r="E37">
        <v>1</v>
      </c>
      <c r="F37">
        <v>1</v>
      </c>
      <c r="G37">
        <v>1</v>
      </c>
      <c r="H37">
        <v>3</v>
      </c>
      <c r="I37" t="s">
        <v>81</v>
      </c>
      <c r="J37" t="s">
        <v>83</v>
      </c>
      <c r="K37" t="s">
        <v>82</v>
      </c>
      <c r="L37">
        <v>1371</v>
      </c>
      <c r="N37">
        <v>1013</v>
      </c>
      <c r="O37" t="s">
        <v>30</v>
      </c>
      <c r="P37" t="s">
        <v>30</v>
      </c>
      <c r="Q37">
        <v>1</v>
      </c>
      <c r="W37">
        <v>0</v>
      </c>
      <c r="X37">
        <v>46660561</v>
      </c>
      <c r="Y37">
        <f t="shared" si="15"/>
        <v>6.5000000000000002E-2</v>
      </c>
      <c r="AA37">
        <v>1165.06</v>
      </c>
      <c r="AB37">
        <v>0</v>
      </c>
      <c r="AC37">
        <v>0</v>
      </c>
      <c r="AD37">
        <v>0</v>
      </c>
      <c r="AE37">
        <v>954.97</v>
      </c>
      <c r="AF37">
        <v>0</v>
      </c>
      <c r="AG37">
        <v>0</v>
      </c>
      <c r="AH37">
        <v>0</v>
      </c>
      <c r="AI37">
        <v>1.22</v>
      </c>
      <c r="AJ37">
        <v>1</v>
      </c>
      <c r="AK37">
        <v>1</v>
      </c>
      <c r="AL37">
        <v>1</v>
      </c>
      <c r="AM37">
        <v>0</v>
      </c>
      <c r="AN37">
        <v>0</v>
      </c>
      <c r="AO37">
        <v>0</v>
      </c>
      <c r="AP37">
        <v>1</v>
      </c>
      <c r="AQ37">
        <v>0</v>
      </c>
      <c r="AR37">
        <v>0</v>
      </c>
      <c r="AS37" t="s">
        <v>3</v>
      </c>
      <c r="AT37">
        <v>6.5000000000000002E-2</v>
      </c>
      <c r="AU37" t="s">
        <v>3</v>
      </c>
      <c r="AV37">
        <v>0</v>
      </c>
      <c r="AW37">
        <v>1</v>
      </c>
      <c r="AX37">
        <v>-1</v>
      </c>
      <c r="AY37">
        <v>0</v>
      </c>
      <c r="AZ37">
        <v>0</v>
      </c>
      <c r="BA37" t="s">
        <v>3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V37">
        <v>0</v>
      </c>
      <c r="CW37">
        <v>0</v>
      </c>
      <c r="CX37">
        <f>ROUND(Y37*Source!I38,7)</f>
        <v>6.5000000000000002E-2</v>
      </c>
      <c r="CY37">
        <f>AA37</f>
        <v>1165.06</v>
      </c>
      <c r="CZ37">
        <f>AE37</f>
        <v>954.97</v>
      </c>
      <c r="DA37">
        <f>AI37</f>
        <v>1.22</v>
      </c>
      <c r="DB37">
        <f t="shared" si="16"/>
        <v>62.07</v>
      </c>
      <c r="DC37">
        <f t="shared" si="17"/>
        <v>0</v>
      </c>
      <c r="DD37" t="s">
        <v>3</v>
      </c>
      <c r="DE37" t="s">
        <v>3</v>
      </c>
      <c r="DF37">
        <f>ROUND(ROUND(AE37*AI37,2)*CX37,2)</f>
        <v>75.73</v>
      </c>
      <c r="DG37">
        <f t="shared" si="18"/>
        <v>0</v>
      </c>
      <c r="DH37">
        <f t="shared" si="13"/>
        <v>0</v>
      </c>
      <c r="DI37">
        <f t="shared" si="14"/>
        <v>0</v>
      </c>
      <c r="DJ37">
        <f>DF37</f>
        <v>75.73</v>
      </c>
      <c r="DK37">
        <v>0</v>
      </c>
      <c r="DL37" t="s">
        <v>3</v>
      </c>
      <c r="DM37">
        <v>0</v>
      </c>
      <c r="DN37" t="s">
        <v>3</v>
      </c>
      <c r="DO37">
        <v>0</v>
      </c>
    </row>
    <row r="38" spans="1:119" x14ac:dyDescent="0.2">
      <c r="A38">
        <f>ROW(Source!A40)</f>
        <v>40</v>
      </c>
      <c r="B38">
        <v>82813384</v>
      </c>
      <c r="C38">
        <v>82813529</v>
      </c>
      <c r="D38">
        <v>80959950</v>
      </c>
      <c r="E38">
        <v>118</v>
      </c>
      <c r="F38">
        <v>1</v>
      </c>
      <c r="G38">
        <v>1</v>
      </c>
      <c r="H38">
        <v>1</v>
      </c>
      <c r="I38" t="s">
        <v>300</v>
      </c>
      <c r="J38" t="s">
        <v>3</v>
      </c>
      <c r="K38" t="s">
        <v>301</v>
      </c>
      <c r="L38">
        <v>1191</v>
      </c>
      <c r="N38">
        <v>1013</v>
      </c>
      <c r="O38" t="s">
        <v>288</v>
      </c>
      <c r="P38" t="s">
        <v>288</v>
      </c>
      <c r="Q38">
        <v>1</v>
      </c>
      <c r="W38">
        <v>0</v>
      </c>
      <c r="X38">
        <v>888410196</v>
      </c>
      <c r="Y38">
        <f t="shared" si="15"/>
        <v>43.3</v>
      </c>
      <c r="AA38">
        <v>0</v>
      </c>
      <c r="AB38">
        <v>0</v>
      </c>
      <c r="AC38">
        <v>0</v>
      </c>
      <c r="AD38">
        <v>731.08</v>
      </c>
      <c r="AE38">
        <v>0</v>
      </c>
      <c r="AF38">
        <v>0</v>
      </c>
      <c r="AG38">
        <v>0</v>
      </c>
      <c r="AH38">
        <v>731.08</v>
      </c>
      <c r="AI38">
        <v>1</v>
      </c>
      <c r="AJ38">
        <v>1</v>
      </c>
      <c r="AK38">
        <v>1</v>
      </c>
      <c r="AL38">
        <v>1</v>
      </c>
      <c r="AM38">
        <v>-2</v>
      </c>
      <c r="AN38">
        <v>0</v>
      </c>
      <c r="AO38">
        <v>0</v>
      </c>
      <c r="AP38">
        <v>0</v>
      </c>
      <c r="AQ38">
        <v>1</v>
      </c>
      <c r="AR38">
        <v>0</v>
      </c>
      <c r="AS38" t="s">
        <v>3</v>
      </c>
      <c r="AT38">
        <v>43.3</v>
      </c>
      <c r="AU38" t="s">
        <v>3</v>
      </c>
      <c r="AV38">
        <v>1</v>
      </c>
      <c r="AW38">
        <v>2</v>
      </c>
      <c r="AX38">
        <v>82813530</v>
      </c>
      <c r="AY38">
        <v>1</v>
      </c>
      <c r="AZ38">
        <v>0</v>
      </c>
      <c r="BA38">
        <v>38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31655.763999999999</v>
      </c>
      <c r="BN38">
        <v>43.3</v>
      </c>
      <c r="BO38">
        <v>0</v>
      </c>
      <c r="BP38">
        <v>1</v>
      </c>
      <c r="BQ38">
        <v>0</v>
      </c>
      <c r="BR38">
        <v>0</v>
      </c>
      <c r="BS38">
        <v>0</v>
      </c>
      <c r="BT38">
        <v>31655.763999999999</v>
      </c>
      <c r="BU38">
        <v>43.3</v>
      </c>
      <c r="BV38">
        <v>0</v>
      </c>
      <c r="BW38">
        <v>1</v>
      </c>
      <c r="CU38">
        <f>ROUND(AT38*Source!I40*AH38*AL38,2)</f>
        <v>4748.3599999999997</v>
      </c>
      <c r="CV38">
        <f>ROUND(Y38*Source!I40,7)</f>
        <v>6.4950000000000001</v>
      </c>
      <c r="CW38">
        <v>0</v>
      </c>
      <c r="CX38">
        <f>ROUND(Y38*Source!I40,7)</f>
        <v>6.4950000000000001</v>
      </c>
      <c r="CY38">
        <f>AD38</f>
        <v>731.08</v>
      </c>
      <c r="CZ38">
        <f>AH38</f>
        <v>731.08</v>
      </c>
      <c r="DA38">
        <f>AL38</f>
        <v>1</v>
      </c>
      <c r="DB38">
        <f t="shared" si="16"/>
        <v>31655.759999999998</v>
      </c>
      <c r="DC38">
        <f t="shared" si="17"/>
        <v>0</v>
      </c>
      <c r="DD38" t="s">
        <v>3</v>
      </c>
      <c r="DE38" t="s">
        <v>3</v>
      </c>
      <c r="DF38">
        <f t="shared" ref="DF38:DF43" si="19">ROUND(ROUND(AE38,2)*CX38,2)</f>
        <v>0</v>
      </c>
      <c r="DG38">
        <f t="shared" si="18"/>
        <v>0</v>
      </c>
      <c r="DH38">
        <f t="shared" si="13"/>
        <v>0</v>
      </c>
      <c r="DI38">
        <f t="shared" si="14"/>
        <v>4748.3599999999997</v>
      </c>
      <c r="DJ38">
        <f>DI38</f>
        <v>4748.3599999999997</v>
      </c>
      <c r="DK38">
        <v>1</v>
      </c>
      <c r="DL38" t="s">
        <v>3</v>
      </c>
      <c r="DM38">
        <v>0</v>
      </c>
      <c r="DN38" t="s">
        <v>3</v>
      </c>
      <c r="DO38">
        <v>0</v>
      </c>
    </row>
    <row r="39" spans="1:119" x14ac:dyDescent="0.2">
      <c r="A39">
        <f>ROW(Source!A40)</f>
        <v>40</v>
      </c>
      <c r="B39">
        <v>82813384</v>
      </c>
      <c r="C39">
        <v>82813529</v>
      </c>
      <c r="D39">
        <v>80960127</v>
      </c>
      <c r="E39">
        <v>118</v>
      </c>
      <c r="F39">
        <v>1</v>
      </c>
      <c r="G39">
        <v>1</v>
      </c>
      <c r="H39">
        <v>1</v>
      </c>
      <c r="I39" t="s">
        <v>302</v>
      </c>
      <c r="J39" t="s">
        <v>3</v>
      </c>
      <c r="K39" t="s">
        <v>303</v>
      </c>
      <c r="L39">
        <v>1191</v>
      </c>
      <c r="N39">
        <v>1013</v>
      </c>
      <c r="O39" t="s">
        <v>288</v>
      </c>
      <c r="P39" t="s">
        <v>288</v>
      </c>
      <c r="Q39">
        <v>1</v>
      </c>
      <c r="W39">
        <v>0</v>
      </c>
      <c r="X39">
        <v>-1417349443</v>
      </c>
      <c r="Y39">
        <f t="shared" si="15"/>
        <v>0.99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1</v>
      </c>
      <c r="AJ39">
        <v>1</v>
      </c>
      <c r="AK39">
        <v>1</v>
      </c>
      <c r="AL39">
        <v>1</v>
      </c>
      <c r="AM39">
        <v>-2</v>
      </c>
      <c r="AN39">
        <v>0</v>
      </c>
      <c r="AO39">
        <v>0</v>
      </c>
      <c r="AP39">
        <v>0</v>
      </c>
      <c r="AQ39">
        <v>1</v>
      </c>
      <c r="AR39">
        <v>0</v>
      </c>
      <c r="AS39" t="s">
        <v>3</v>
      </c>
      <c r="AT39">
        <v>0.99</v>
      </c>
      <c r="AU39" t="s">
        <v>3</v>
      </c>
      <c r="AV39">
        <v>2</v>
      </c>
      <c r="AW39">
        <v>2</v>
      </c>
      <c r="AX39">
        <v>82813531</v>
      </c>
      <c r="AY39">
        <v>1</v>
      </c>
      <c r="AZ39">
        <v>0</v>
      </c>
      <c r="BA39">
        <v>39</v>
      </c>
      <c r="BB39">
        <v>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CV39">
        <v>0</v>
      </c>
      <c r="CW39">
        <v>0</v>
      </c>
      <c r="CX39">
        <f>ROUND(Y39*Source!I40,7)</f>
        <v>0.14849999999999999</v>
      </c>
      <c r="CY39">
        <f>AD39</f>
        <v>0</v>
      </c>
      <c r="CZ39">
        <f>AH39</f>
        <v>0</v>
      </c>
      <c r="DA39">
        <f>AL39</f>
        <v>1</v>
      </c>
      <c r="DB39">
        <f t="shared" si="16"/>
        <v>0</v>
      </c>
      <c r="DC39">
        <f t="shared" si="17"/>
        <v>0</v>
      </c>
      <c r="DD39" t="s">
        <v>3</v>
      </c>
      <c r="DE39" t="s">
        <v>3</v>
      </c>
      <c r="DF39">
        <f t="shared" si="19"/>
        <v>0</v>
      </c>
      <c r="DG39">
        <f t="shared" si="18"/>
        <v>0</v>
      </c>
      <c r="DH39">
        <f t="shared" si="13"/>
        <v>0</v>
      </c>
      <c r="DI39">
        <f t="shared" si="14"/>
        <v>0</v>
      </c>
      <c r="DJ39">
        <f>DI39</f>
        <v>0</v>
      </c>
      <c r="DK39">
        <v>0</v>
      </c>
      <c r="DL39" t="s">
        <v>3</v>
      </c>
      <c r="DM39">
        <v>0</v>
      </c>
      <c r="DN39" t="s">
        <v>3</v>
      </c>
      <c r="DO39">
        <v>0</v>
      </c>
    </row>
    <row r="40" spans="1:119" x14ac:dyDescent="0.2">
      <c r="A40">
        <f>ROW(Source!A40)</f>
        <v>40</v>
      </c>
      <c r="B40">
        <v>82813384</v>
      </c>
      <c r="C40">
        <v>82813529</v>
      </c>
      <c r="D40">
        <v>81086531</v>
      </c>
      <c r="E40">
        <v>1</v>
      </c>
      <c r="F40">
        <v>1</v>
      </c>
      <c r="G40">
        <v>1</v>
      </c>
      <c r="H40">
        <v>2</v>
      </c>
      <c r="I40" t="s">
        <v>304</v>
      </c>
      <c r="J40" t="s">
        <v>305</v>
      </c>
      <c r="K40" t="s">
        <v>306</v>
      </c>
      <c r="L40">
        <v>1368</v>
      </c>
      <c r="N40">
        <v>1011</v>
      </c>
      <c r="O40" t="s">
        <v>292</v>
      </c>
      <c r="P40" t="s">
        <v>292</v>
      </c>
      <c r="Q40">
        <v>1</v>
      </c>
      <c r="W40">
        <v>0</v>
      </c>
      <c r="X40">
        <v>-1073301144</v>
      </c>
      <c r="Y40">
        <f t="shared" si="15"/>
        <v>0.14000000000000001</v>
      </c>
      <c r="AA40">
        <v>0</v>
      </c>
      <c r="AB40">
        <v>1036.96</v>
      </c>
      <c r="AC40">
        <v>982.04</v>
      </c>
      <c r="AD40">
        <v>0</v>
      </c>
      <c r="AE40">
        <v>0</v>
      </c>
      <c r="AF40">
        <v>1036.96</v>
      </c>
      <c r="AG40">
        <v>982.04</v>
      </c>
      <c r="AH40">
        <v>0</v>
      </c>
      <c r="AI40">
        <v>1</v>
      </c>
      <c r="AJ40">
        <v>1</v>
      </c>
      <c r="AK40">
        <v>1</v>
      </c>
      <c r="AL40">
        <v>1</v>
      </c>
      <c r="AM40">
        <v>-2</v>
      </c>
      <c r="AN40">
        <v>0</v>
      </c>
      <c r="AO40">
        <v>0</v>
      </c>
      <c r="AP40">
        <v>0</v>
      </c>
      <c r="AQ40">
        <v>1</v>
      </c>
      <c r="AR40">
        <v>0</v>
      </c>
      <c r="AS40" t="s">
        <v>3</v>
      </c>
      <c r="AT40">
        <v>0.14000000000000001</v>
      </c>
      <c r="AU40" t="s">
        <v>3</v>
      </c>
      <c r="AV40">
        <v>1</v>
      </c>
      <c r="AW40">
        <v>2</v>
      </c>
      <c r="AX40">
        <v>82813532</v>
      </c>
      <c r="AY40">
        <v>1</v>
      </c>
      <c r="AZ40">
        <v>0</v>
      </c>
      <c r="BA40">
        <v>40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145.17440000000002</v>
      </c>
      <c r="BL40">
        <v>137.48560000000001</v>
      </c>
      <c r="BM40">
        <v>0</v>
      </c>
      <c r="BN40">
        <v>0</v>
      </c>
      <c r="BO40">
        <v>0.14000000000000001</v>
      </c>
      <c r="BP40">
        <v>1</v>
      </c>
      <c r="BQ40">
        <v>0</v>
      </c>
      <c r="BR40">
        <v>145.17440000000002</v>
      </c>
      <c r="BS40">
        <v>137.48560000000001</v>
      </c>
      <c r="BT40">
        <v>0</v>
      </c>
      <c r="BU40">
        <v>0</v>
      </c>
      <c r="BV40">
        <v>0.14000000000000001</v>
      </c>
      <c r="BW40">
        <v>1</v>
      </c>
      <c r="CV40">
        <v>0</v>
      </c>
      <c r="CW40">
        <f>ROUND(Y40*Source!I40*DO40,7)</f>
        <v>2.1000000000000001E-2</v>
      </c>
      <c r="CX40">
        <f>ROUND(Y40*Source!I40,7)</f>
        <v>2.1000000000000001E-2</v>
      </c>
      <c r="CY40">
        <f>AB40</f>
        <v>1036.96</v>
      </c>
      <c r="CZ40">
        <f>AF40</f>
        <v>1036.96</v>
      </c>
      <c r="DA40">
        <f>AJ40</f>
        <v>1</v>
      </c>
      <c r="DB40">
        <f t="shared" si="16"/>
        <v>145.16999999999999</v>
      </c>
      <c r="DC40">
        <f t="shared" si="17"/>
        <v>137.49</v>
      </c>
      <c r="DD40" t="s">
        <v>3</v>
      </c>
      <c r="DE40" t="s">
        <v>3</v>
      </c>
      <c r="DF40">
        <f t="shared" si="19"/>
        <v>0</v>
      </c>
      <c r="DG40">
        <f t="shared" si="18"/>
        <v>21.78</v>
      </c>
      <c r="DH40">
        <f t="shared" si="13"/>
        <v>20.62</v>
      </c>
      <c r="DI40">
        <f t="shared" si="14"/>
        <v>0</v>
      </c>
      <c r="DJ40">
        <f>DG40+DH40</f>
        <v>42.400000000000006</v>
      </c>
      <c r="DK40">
        <v>1</v>
      </c>
      <c r="DL40" t="s">
        <v>307</v>
      </c>
      <c r="DM40">
        <v>6</v>
      </c>
      <c r="DN40" t="s">
        <v>288</v>
      </c>
      <c r="DO40">
        <v>1</v>
      </c>
    </row>
    <row r="41" spans="1:119" x14ac:dyDescent="0.2">
      <c r="A41">
        <f>ROW(Source!A40)</f>
        <v>40</v>
      </c>
      <c r="B41">
        <v>82813384</v>
      </c>
      <c r="C41">
        <v>82813529</v>
      </c>
      <c r="D41">
        <v>81086585</v>
      </c>
      <c r="E41">
        <v>1</v>
      </c>
      <c r="F41">
        <v>1</v>
      </c>
      <c r="G41">
        <v>1</v>
      </c>
      <c r="H41">
        <v>2</v>
      </c>
      <c r="I41" t="s">
        <v>342</v>
      </c>
      <c r="J41" t="s">
        <v>343</v>
      </c>
      <c r="K41" t="s">
        <v>344</v>
      </c>
      <c r="L41">
        <v>1368</v>
      </c>
      <c r="N41">
        <v>1011</v>
      </c>
      <c r="O41" t="s">
        <v>292</v>
      </c>
      <c r="P41" t="s">
        <v>292</v>
      </c>
      <c r="Q41">
        <v>1</v>
      </c>
      <c r="W41">
        <v>0</v>
      </c>
      <c r="X41">
        <v>-1068589559</v>
      </c>
      <c r="Y41">
        <f t="shared" si="15"/>
        <v>0.06</v>
      </c>
      <c r="AA41">
        <v>0</v>
      </c>
      <c r="AB41">
        <v>1585.56</v>
      </c>
      <c r="AC41">
        <v>982.04</v>
      </c>
      <c r="AD41">
        <v>0</v>
      </c>
      <c r="AE41">
        <v>0</v>
      </c>
      <c r="AF41">
        <v>1585.56</v>
      </c>
      <c r="AG41">
        <v>982.04</v>
      </c>
      <c r="AH41">
        <v>0</v>
      </c>
      <c r="AI41">
        <v>1</v>
      </c>
      <c r="AJ41">
        <v>1</v>
      </c>
      <c r="AK41">
        <v>1</v>
      </c>
      <c r="AL41">
        <v>1</v>
      </c>
      <c r="AM41">
        <v>-2</v>
      </c>
      <c r="AN41">
        <v>0</v>
      </c>
      <c r="AO41">
        <v>0</v>
      </c>
      <c r="AP41">
        <v>0</v>
      </c>
      <c r="AQ41">
        <v>1</v>
      </c>
      <c r="AR41">
        <v>0</v>
      </c>
      <c r="AS41" t="s">
        <v>3</v>
      </c>
      <c r="AT41">
        <v>0.06</v>
      </c>
      <c r="AU41" t="s">
        <v>3</v>
      </c>
      <c r="AV41">
        <v>1</v>
      </c>
      <c r="AW41">
        <v>2</v>
      </c>
      <c r="AX41">
        <v>82813533</v>
      </c>
      <c r="AY41">
        <v>1</v>
      </c>
      <c r="AZ41">
        <v>0</v>
      </c>
      <c r="BA41">
        <v>41</v>
      </c>
      <c r="BB41">
        <v>1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95.133599999999987</v>
      </c>
      <c r="BL41">
        <v>58.922399999999996</v>
      </c>
      <c r="BM41">
        <v>0</v>
      </c>
      <c r="BN41">
        <v>0</v>
      </c>
      <c r="BO41">
        <v>0.06</v>
      </c>
      <c r="BP41">
        <v>1</v>
      </c>
      <c r="BQ41">
        <v>0</v>
      </c>
      <c r="BR41">
        <v>95.133599999999987</v>
      </c>
      <c r="BS41">
        <v>58.922399999999996</v>
      </c>
      <c r="BT41">
        <v>0</v>
      </c>
      <c r="BU41">
        <v>0</v>
      </c>
      <c r="BV41">
        <v>0.06</v>
      </c>
      <c r="BW41">
        <v>1</v>
      </c>
      <c r="CV41">
        <v>0</v>
      </c>
      <c r="CW41">
        <f>ROUND(Y41*Source!I40*DO41,7)</f>
        <v>8.9999999999999993E-3</v>
      </c>
      <c r="CX41">
        <f>ROUND(Y41*Source!I40,7)</f>
        <v>8.9999999999999993E-3</v>
      </c>
      <c r="CY41">
        <f>AB41</f>
        <v>1585.56</v>
      </c>
      <c r="CZ41">
        <f>AF41</f>
        <v>1585.56</v>
      </c>
      <c r="DA41">
        <f>AJ41</f>
        <v>1</v>
      </c>
      <c r="DB41">
        <f t="shared" si="16"/>
        <v>95.13</v>
      </c>
      <c r="DC41">
        <f t="shared" si="17"/>
        <v>58.92</v>
      </c>
      <c r="DD41" t="s">
        <v>3</v>
      </c>
      <c r="DE41" t="s">
        <v>3</v>
      </c>
      <c r="DF41">
        <f t="shared" si="19"/>
        <v>0</v>
      </c>
      <c r="DG41">
        <f t="shared" si="18"/>
        <v>14.27</v>
      </c>
      <c r="DH41">
        <f t="shared" si="13"/>
        <v>8.84</v>
      </c>
      <c r="DI41">
        <f t="shared" si="14"/>
        <v>0</v>
      </c>
      <c r="DJ41">
        <f>DG41+DH41</f>
        <v>23.11</v>
      </c>
      <c r="DK41">
        <v>1</v>
      </c>
      <c r="DL41" t="s">
        <v>307</v>
      </c>
      <c r="DM41">
        <v>6</v>
      </c>
      <c r="DN41" t="s">
        <v>288</v>
      </c>
      <c r="DO41">
        <v>1</v>
      </c>
    </row>
    <row r="42" spans="1:119" x14ac:dyDescent="0.2">
      <c r="A42">
        <f>ROW(Source!A40)</f>
        <v>40</v>
      </c>
      <c r="B42">
        <v>82813384</v>
      </c>
      <c r="C42">
        <v>82813529</v>
      </c>
      <c r="D42">
        <v>81087487</v>
      </c>
      <c r="E42">
        <v>1</v>
      </c>
      <c r="F42">
        <v>1</v>
      </c>
      <c r="G42">
        <v>1</v>
      </c>
      <c r="H42">
        <v>2</v>
      </c>
      <c r="I42" t="s">
        <v>308</v>
      </c>
      <c r="J42" t="s">
        <v>309</v>
      </c>
      <c r="K42" t="s">
        <v>310</v>
      </c>
      <c r="L42">
        <v>1368</v>
      </c>
      <c r="N42">
        <v>1011</v>
      </c>
      <c r="O42" t="s">
        <v>292</v>
      </c>
      <c r="P42" t="s">
        <v>292</v>
      </c>
      <c r="Q42">
        <v>1</v>
      </c>
      <c r="W42">
        <v>0</v>
      </c>
      <c r="X42">
        <v>-312038840</v>
      </c>
      <c r="Y42">
        <f t="shared" si="15"/>
        <v>0.79</v>
      </c>
      <c r="AA42">
        <v>0</v>
      </c>
      <c r="AB42">
        <v>544.91999999999996</v>
      </c>
      <c r="AC42">
        <v>731.08</v>
      </c>
      <c r="AD42">
        <v>0</v>
      </c>
      <c r="AE42">
        <v>0</v>
      </c>
      <c r="AF42">
        <v>544.91999999999996</v>
      </c>
      <c r="AG42">
        <v>731.08</v>
      </c>
      <c r="AH42">
        <v>0</v>
      </c>
      <c r="AI42">
        <v>1</v>
      </c>
      <c r="AJ42">
        <v>1</v>
      </c>
      <c r="AK42">
        <v>1</v>
      </c>
      <c r="AL42">
        <v>1</v>
      </c>
      <c r="AM42">
        <v>-2</v>
      </c>
      <c r="AN42">
        <v>0</v>
      </c>
      <c r="AO42">
        <v>0</v>
      </c>
      <c r="AP42">
        <v>0</v>
      </c>
      <c r="AQ42">
        <v>1</v>
      </c>
      <c r="AR42">
        <v>0</v>
      </c>
      <c r="AS42" t="s">
        <v>3</v>
      </c>
      <c r="AT42">
        <v>0.79</v>
      </c>
      <c r="AU42" t="s">
        <v>3</v>
      </c>
      <c r="AV42">
        <v>1</v>
      </c>
      <c r="AW42">
        <v>2</v>
      </c>
      <c r="AX42">
        <v>82813534</v>
      </c>
      <c r="AY42">
        <v>1</v>
      </c>
      <c r="AZ42">
        <v>0</v>
      </c>
      <c r="BA42">
        <v>42</v>
      </c>
      <c r="BB42">
        <v>1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430.48679999999996</v>
      </c>
      <c r="BL42">
        <v>577.55320000000006</v>
      </c>
      <c r="BM42">
        <v>0</v>
      </c>
      <c r="BN42">
        <v>0</v>
      </c>
      <c r="BO42">
        <v>0.79</v>
      </c>
      <c r="BP42">
        <v>1</v>
      </c>
      <c r="BQ42">
        <v>0</v>
      </c>
      <c r="BR42">
        <v>430.48679999999996</v>
      </c>
      <c r="BS42">
        <v>577.55320000000006</v>
      </c>
      <c r="BT42">
        <v>0</v>
      </c>
      <c r="BU42">
        <v>0</v>
      </c>
      <c r="BV42">
        <v>0.79</v>
      </c>
      <c r="BW42">
        <v>1</v>
      </c>
      <c r="CV42">
        <v>0</v>
      </c>
      <c r="CW42">
        <f>ROUND(Y42*Source!I40*DO42,7)</f>
        <v>0.11849999999999999</v>
      </c>
      <c r="CX42">
        <f>ROUND(Y42*Source!I40,7)</f>
        <v>0.11849999999999999</v>
      </c>
      <c r="CY42">
        <f>AB42</f>
        <v>544.91999999999996</v>
      </c>
      <c r="CZ42">
        <f>AF42</f>
        <v>544.91999999999996</v>
      </c>
      <c r="DA42">
        <f>AJ42</f>
        <v>1</v>
      </c>
      <c r="DB42">
        <f t="shared" si="16"/>
        <v>430.49</v>
      </c>
      <c r="DC42">
        <f t="shared" si="17"/>
        <v>577.54999999999995</v>
      </c>
      <c r="DD42" t="s">
        <v>3</v>
      </c>
      <c r="DE42" t="s">
        <v>3</v>
      </c>
      <c r="DF42">
        <f t="shared" si="19"/>
        <v>0</v>
      </c>
      <c r="DG42">
        <f t="shared" si="18"/>
        <v>64.569999999999993</v>
      </c>
      <c r="DH42">
        <f t="shared" si="13"/>
        <v>86.63</v>
      </c>
      <c r="DI42">
        <f t="shared" si="14"/>
        <v>0</v>
      </c>
      <c r="DJ42">
        <f>DG42+DH42</f>
        <v>151.19999999999999</v>
      </c>
      <c r="DK42">
        <v>1</v>
      </c>
      <c r="DL42" t="s">
        <v>311</v>
      </c>
      <c r="DM42">
        <v>4</v>
      </c>
      <c r="DN42" t="s">
        <v>288</v>
      </c>
      <c r="DO42">
        <v>1</v>
      </c>
    </row>
    <row r="43" spans="1:119" x14ac:dyDescent="0.2">
      <c r="A43">
        <f>ROW(Source!A40)</f>
        <v>40</v>
      </c>
      <c r="B43">
        <v>82813384</v>
      </c>
      <c r="C43">
        <v>82813529</v>
      </c>
      <c r="D43">
        <v>81087646</v>
      </c>
      <c r="E43">
        <v>1</v>
      </c>
      <c r="F43">
        <v>1</v>
      </c>
      <c r="G43">
        <v>1</v>
      </c>
      <c r="H43">
        <v>2</v>
      </c>
      <c r="I43" t="s">
        <v>289</v>
      </c>
      <c r="J43" t="s">
        <v>290</v>
      </c>
      <c r="K43" t="s">
        <v>291</v>
      </c>
      <c r="L43">
        <v>1368</v>
      </c>
      <c r="N43">
        <v>1011</v>
      </c>
      <c r="O43" t="s">
        <v>292</v>
      </c>
      <c r="P43" t="s">
        <v>292</v>
      </c>
      <c r="Q43">
        <v>1</v>
      </c>
      <c r="W43">
        <v>0</v>
      </c>
      <c r="X43">
        <v>-536748942</v>
      </c>
      <c r="Y43">
        <f t="shared" si="15"/>
        <v>1.69</v>
      </c>
      <c r="AA43">
        <v>0</v>
      </c>
      <c r="AB43">
        <v>5.35</v>
      </c>
      <c r="AC43">
        <v>0</v>
      </c>
      <c r="AD43">
        <v>0</v>
      </c>
      <c r="AE43">
        <v>0</v>
      </c>
      <c r="AF43">
        <v>4.3499999999999996</v>
      </c>
      <c r="AG43">
        <v>0</v>
      </c>
      <c r="AH43">
        <v>0</v>
      </c>
      <c r="AI43">
        <v>1</v>
      </c>
      <c r="AJ43">
        <v>1.23</v>
      </c>
      <c r="AK43">
        <v>1</v>
      </c>
      <c r="AL43">
        <v>1</v>
      </c>
      <c r="AM43">
        <v>2</v>
      </c>
      <c r="AN43">
        <v>0</v>
      </c>
      <c r="AO43">
        <v>0</v>
      </c>
      <c r="AP43">
        <v>0</v>
      </c>
      <c r="AQ43">
        <v>1</v>
      </c>
      <c r="AR43">
        <v>0</v>
      </c>
      <c r="AS43" t="s">
        <v>3</v>
      </c>
      <c r="AT43">
        <v>1.69</v>
      </c>
      <c r="AU43" t="s">
        <v>3</v>
      </c>
      <c r="AV43">
        <v>1</v>
      </c>
      <c r="AW43">
        <v>2</v>
      </c>
      <c r="AX43">
        <v>82813535</v>
      </c>
      <c r="AY43">
        <v>1</v>
      </c>
      <c r="AZ43">
        <v>0</v>
      </c>
      <c r="BA43">
        <v>43</v>
      </c>
      <c r="BB43">
        <v>1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7.3514999999999988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0</v>
      </c>
      <c r="BR43">
        <v>7.3514999999999988</v>
      </c>
      <c r="BS43">
        <v>0</v>
      </c>
      <c r="BT43">
        <v>0</v>
      </c>
      <c r="BU43">
        <v>0</v>
      </c>
      <c r="BV43">
        <v>0</v>
      </c>
      <c r="BW43">
        <v>1</v>
      </c>
      <c r="CV43">
        <v>0</v>
      </c>
      <c r="CW43">
        <f>ROUND(Y43*Source!I40*DO43,7)</f>
        <v>0</v>
      </c>
      <c r="CX43">
        <f>ROUND(Y43*Source!I40,7)</f>
        <v>0.2535</v>
      </c>
      <c r="CY43">
        <f>AB43</f>
        <v>5.35</v>
      </c>
      <c r="CZ43">
        <f>AF43</f>
        <v>4.3499999999999996</v>
      </c>
      <c r="DA43">
        <f>AJ43</f>
        <v>1.23</v>
      </c>
      <c r="DB43">
        <f t="shared" si="16"/>
        <v>7.35</v>
      </c>
      <c r="DC43">
        <f t="shared" si="17"/>
        <v>0</v>
      </c>
      <c r="DD43" t="s">
        <v>3</v>
      </c>
      <c r="DE43" t="s">
        <v>3</v>
      </c>
      <c r="DF43">
        <f t="shared" si="19"/>
        <v>0</v>
      </c>
      <c r="DG43">
        <f>ROUND(ROUND(AF43*AJ43,2)*CX43,2)</f>
        <v>1.36</v>
      </c>
      <c r="DH43">
        <f t="shared" si="13"/>
        <v>0</v>
      </c>
      <c r="DI43">
        <f t="shared" si="14"/>
        <v>0</v>
      </c>
      <c r="DJ43">
        <f>DG43+DH43</f>
        <v>1.36</v>
      </c>
      <c r="DK43">
        <v>0</v>
      </c>
      <c r="DL43" t="s">
        <v>3</v>
      </c>
      <c r="DM43">
        <v>0</v>
      </c>
      <c r="DN43" t="s">
        <v>3</v>
      </c>
      <c r="DO43">
        <v>0</v>
      </c>
    </row>
    <row r="44" spans="1:119" x14ac:dyDescent="0.2">
      <c r="A44">
        <f>ROW(Source!A40)</f>
        <v>40</v>
      </c>
      <c r="B44">
        <v>82813384</v>
      </c>
      <c r="C44">
        <v>82813529</v>
      </c>
      <c r="D44">
        <v>81034713</v>
      </c>
      <c r="E44">
        <v>1</v>
      </c>
      <c r="F44">
        <v>1</v>
      </c>
      <c r="G44">
        <v>1</v>
      </c>
      <c r="H44">
        <v>3</v>
      </c>
      <c r="I44" t="s">
        <v>345</v>
      </c>
      <c r="J44" t="s">
        <v>346</v>
      </c>
      <c r="K44" t="s">
        <v>347</v>
      </c>
      <c r="L44">
        <v>1348</v>
      </c>
      <c r="N44">
        <v>1009</v>
      </c>
      <c r="O44" t="s">
        <v>59</v>
      </c>
      <c r="P44" t="s">
        <v>59</v>
      </c>
      <c r="Q44">
        <v>1000</v>
      </c>
      <c r="W44">
        <v>0</v>
      </c>
      <c r="X44">
        <v>1734426451</v>
      </c>
      <c r="Y44">
        <f t="shared" si="15"/>
        <v>3.8000000000000002E-4</v>
      </c>
      <c r="AA44">
        <v>665704.95999999996</v>
      </c>
      <c r="AB44">
        <v>0</v>
      </c>
      <c r="AC44">
        <v>0</v>
      </c>
      <c r="AD44">
        <v>0</v>
      </c>
      <c r="AE44">
        <v>416065.6</v>
      </c>
      <c r="AF44">
        <v>0</v>
      </c>
      <c r="AG44">
        <v>0</v>
      </c>
      <c r="AH44">
        <v>0</v>
      </c>
      <c r="AI44">
        <v>1.6</v>
      </c>
      <c r="AJ44">
        <v>1</v>
      </c>
      <c r="AK44">
        <v>1</v>
      </c>
      <c r="AL44">
        <v>1</v>
      </c>
      <c r="AM44">
        <v>2</v>
      </c>
      <c r="AN44">
        <v>0</v>
      </c>
      <c r="AO44">
        <v>0</v>
      </c>
      <c r="AP44">
        <v>0</v>
      </c>
      <c r="AQ44">
        <v>1</v>
      </c>
      <c r="AR44">
        <v>0</v>
      </c>
      <c r="AS44" t="s">
        <v>3</v>
      </c>
      <c r="AT44">
        <v>3.8000000000000002E-4</v>
      </c>
      <c r="AU44" t="s">
        <v>3</v>
      </c>
      <c r="AV44">
        <v>0</v>
      </c>
      <c r="AW44">
        <v>2</v>
      </c>
      <c r="AX44">
        <v>82813536</v>
      </c>
      <c r="AY44">
        <v>1</v>
      </c>
      <c r="AZ44">
        <v>0</v>
      </c>
      <c r="BA44">
        <v>44</v>
      </c>
      <c r="BB44">
        <v>1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158.104928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1</v>
      </c>
      <c r="BQ44">
        <v>158.104928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1</v>
      </c>
      <c r="CV44">
        <v>0</v>
      </c>
      <c r="CW44">
        <v>0</v>
      </c>
      <c r="CX44">
        <f>ROUND(Y44*Source!I40,7)</f>
        <v>5.7000000000000003E-5</v>
      </c>
      <c r="CY44">
        <f t="shared" ref="CY44:CY54" si="20">AA44</f>
        <v>665704.95999999996</v>
      </c>
      <c r="CZ44">
        <f t="shared" ref="CZ44:CZ54" si="21">AE44</f>
        <v>416065.6</v>
      </c>
      <c r="DA44">
        <f t="shared" ref="DA44:DA54" si="22">AI44</f>
        <v>1.6</v>
      </c>
      <c r="DB44">
        <f t="shared" si="16"/>
        <v>158.1</v>
      </c>
      <c r="DC44">
        <f t="shared" si="17"/>
        <v>0</v>
      </c>
      <c r="DD44" t="s">
        <v>3</v>
      </c>
      <c r="DE44" t="s">
        <v>3</v>
      </c>
      <c r="DF44">
        <f t="shared" ref="DF44:DF51" si="23">ROUND(ROUND(AE44*AI44,2)*CX44,2)</f>
        <v>37.950000000000003</v>
      </c>
      <c r="DG44">
        <f t="shared" ref="DG44:DG59" si="24">ROUND(ROUND(AF44,2)*CX44,2)</f>
        <v>0</v>
      </c>
      <c r="DH44">
        <f t="shared" si="13"/>
        <v>0</v>
      </c>
      <c r="DI44">
        <f t="shared" si="14"/>
        <v>0</v>
      </c>
      <c r="DJ44">
        <f t="shared" ref="DJ44:DJ54" si="25">DF44</f>
        <v>37.950000000000003</v>
      </c>
      <c r="DK44">
        <v>0</v>
      </c>
      <c r="DL44" t="s">
        <v>3</v>
      </c>
      <c r="DM44">
        <v>0</v>
      </c>
      <c r="DN44" t="s">
        <v>3</v>
      </c>
      <c r="DO44">
        <v>0</v>
      </c>
    </row>
    <row r="45" spans="1:119" x14ac:dyDescent="0.2">
      <c r="A45">
        <f>ROW(Source!A40)</f>
        <v>40</v>
      </c>
      <c r="B45">
        <v>82813384</v>
      </c>
      <c r="C45">
        <v>82813529</v>
      </c>
      <c r="D45">
        <v>81034728</v>
      </c>
      <c r="E45">
        <v>1</v>
      </c>
      <c r="F45">
        <v>1</v>
      </c>
      <c r="G45">
        <v>1</v>
      </c>
      <c r="H45">
        <v>3</v>
      </c>
      <c r="I45" t="s">
        <v>297</v>
      </c>
      <c r="J45" t="s">
        <v>298</v>
      </c>
      <c r="K45" t="s">
        <v>299</v>
      </c>
      <c r="L45">
        <v>1339</v>
      </c>
      <c r="N45">
        <v>1007</v>
      </c>
      <c r="O45" t="s">
        <v>296</v>
      </c>
      <c r="P45" t="s">
        <v>296</v>
      </c>
      <c r="Q45">
        <v>1</v>
      </c>
      <c r="W45">
        <v>0</v>
      </c>
      <c r="X45">
        <v>1531571680</v>
      </c>
      <c r="Y45">
        <f t="shared" si="15"/>
        <v>0.64600000000000002</v>
      </c>
      <c r="AA45">
        <v>98.59</v>
      </c>
      <c r="AB45">
        <v>0</v>
      </c>
      <c r="AC45">
        <v>0</v>
      </c>
      <c r="AD45">
        <v>0</v>
      </c>
      <c r="AE45">
        <v>114.64</v>
      </c>
      <c r="AF45">
        <v>0</v>
      </c>
      <c r="AG45">
        <v>0</v>
      </c>
      <c r="AH45">
        <v>0</v>
      </c>
      <c r="AI45">
        <v>0.86</v>
      </c>
      <c r="AJ45">
        <v>1</v>
      </c>
      <c r="AK45">
        <v>1</v>
      </c>
      <c r="AL45">
        <v>1</v>
      </c>
      <c r="AM45">
        <v>2</v>
      </c>
      <c r="AN45">
        <v>0</v>
      </c>
      <c r="AO45">
        <v>0</v>
      </c>
      <c r="AP45">
        <v>0</v>
      </c>
      <c r="AQ45">
        <v>1</v>
      </c>
      <c r="AR45">
        <v>0</v>
      </c>
      <c r="AS45" t="s">
        <v>3</v>
      </c>
      <c r="AT45">
        <v>0.64600000000000002</v>
      </c>
      <c r="AU45" t="s">
        <v>3</v>
      </c>
      <c r="AV45">
        <v>0</v>
      </c>
      <c r="AW45">
        <v>2</v>
      </c>
      <c r="AX45">
        <v>82813537</v>
      </c>
      <c r="AY45">
        <v>1</v>
      </c>
      <c r="AZ45">
        <v>0</v>
      </c>
      <c r="BA45">
        <v>45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74.05744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1</v>
      </c>
      <c r="BQ45">
        <v>74.05744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1</v>
      </c>
      <c r="CV45">
        <v>0</v>
      </c>
      <c r="CW45">
        <v>0</v>
      </c>
      <c r="CX45">
        <f>ROUND(Y45*Source!I40,7)</f>
        <v>9.69E-2</v>
      </c>
      <c r="CY45">
        <f t="shared" si="20"/>
        <v>98.59</v>
      </c>
      <c r="CZ45">
        <f t="shared" si="21"/>
        <v>114.64</v>
      </c>
      <c r="DA45">
        <f t="shared" si="22"/>
        <v>0.86</v>
      </c>
      <c r="DB45">
        <f t="shared" si="16"/>
        <v>74.06</v>
      </c>
      <c r="DC45">
        <f t="shared" si="17"/>
        <v>0</v>
      </c>
      <c r="DD45" t="s">
        <v>3</v>
      </c>
      <c r="DE45" t="s">
        <v>3</v>
      </c>
      <c r="DF45">
        <f t="shared" si="23"/>
        <v>9.5500000000000007</v>
      </c>
      <c r="DG45">
        <f t="shared" si="24"/>
        <v>0</v>
      </c>
      <c r="DH45">
        <f t="shared" si="13"/>
        <v>0</v>
      </c>
      <c r="DI45">
        <f t="shared" si="14"/>
        <v>0</v>
      </c>
      <c r="DJ45">
        <f t="shared" si="25"/>
        <v>9.5500000000000007</v>
      </c>
      <c r="DK45">
        <v>0</v>
      </c>
      <c r="DL45" t="s">
        <v>3</v>
      </c>
      <c r="DM45">
        <v>0</v>
      </c>
      <c r="DN45" t="s">
        <v>3</v>
      </c>
      <c r="DO45">
        <v>0</v>
      </c>
    </row>
    <row r="46" spans="1:119" x14ac:dyDescent="0.2">
      <c r="A46">
        <f>ROW(Source!A40)</f>
        <v>40</v>
      </c>
      <c r="B46">
        <v>82813384</v>
      </c>
      <c r="C46">
        <v>82813529</v>
      </c>
      <c r="D46">
        <v>81036692</v>
      </c>
      <c r="E46">
        <v>1</v>
      </c>
      <c r="F46">
        <v>1</v>
      </c>
      <c r="G46">
        <v>1</v>
      </c>
      <c r="H46">
        <v>3</v>
      </c>
      <c r="I46" t="s">
        <v>339</v>
      </c>
      <c r="J46" t="s">
        <v>340</v>
      </c>
      <c r="K46" t="s">
        <v>341</v>
      </c>
      <c r="L46">
        <v>1339</v>
      </c>
      <c r="N46">
        <v>1007</v>
      </c>
      <c r="O46" t="s">
        <v>296</v>
      </c>
      <c r="P46" t="s">
        <v>296</v>
      </c>
      <c r="Q46">
        <v>1</v>
      </c>
      <c r="W46">
        <v>0</v>
      </c>
      <c r="X46">
        <v>727623859</v>
      </c>
      <c r="Y46">
        <f t="shared" si="15"/>
        <v>2.75</v>
      </c>
      <c r="AA46">
        <v>54.64</v>
      </c>
      <c r="AB46">
        <v>0</v>
      </c>
      <c r="AC46">
        <v>0</v>
      </c>
      <c r="AD46">
        <v>0</v>
      </c>
      <c r="AE46">
        <v>35.71</v>
      </c>
      <c r="AF46">
        <v>0</v>
      </c>
      <c r="AG46">
        <v>0</v>
      </c>
      <c r="AH46">
        <v>0</v>
      </c>
      <c r="AI46">
        <v>1.53</v>
      </c>
      <c r="AJ46">
        <v>1</v>
      </c>
      <c r="AK46">
        <v>1</v>
      </c>
      <c r="AL46">
        <v>1</v>
      </c>
      <c r="AM46">
        <v>2</v>
      </c>
      <c r="AN46">
        <v>0</v>
      </c>
      <c r="AO46">
        <v>0</v>
      </c>
      <c r="AP46">
        <v>0</v>
      </c>
      <c r="AQ46">
        <v>1</v>
      </c>
      <c r="AR46">
        <v>0</v>
      </c>
      <c r="AS46" t="s">
        <v>3</v>
      </c>
      <c r="AT46">
        <v>2.75</v>
      </c>
      <c r="AU46" t="s">
        <v>3</v>
      </c>
      <c r="AV46">
        <v>0</v>
      </c>
      <c r="AW46">
        <v>2</v>
      </c>
      <c r="AX46">
        <v>82813538</v>
      </c>
      <c r="AY46">
        <v>1</v>
      </c>
      <c r="AZ46">
        <v>0</v>
      </c>
      <c r="BA46">
        <v>46</v>
      </c>
      <c r="BB46">
        <v>1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98.202500000000001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1</v>
      </c>
      <c r="BQ46">
        <v>98.202500000000001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1</v>
      </c>
      <c r="CV46">
        <v>0</v>
      </c>
      <c r="CW46">
        <v>0</v>
      </c>
      <c r="CX46">
        <f>ROUND(Y46*Source!I40,7)</f>
        <v>0.41249999999999998</v>
      </c>
      <c r="CY46">
        <f t="shared" si="20"/>
        <v>54.64</v>
      </c>
      <c r="CZ46">
        <f t="shared" si="21"/>
        <v>35.71</v>
      </c>
      <c r="DA46">
        <f t="shared" si="22"/>
        <v>1.53</v>
      </c>
      <c r="DB46">
        <f t="shared" si="16"/>
        <v>98.2</v>
      </c>
      <c r="DC46">
        <f t="shared" si="17"/>
        <v>0</v>
      </c>
      <c r="DD46" t="s">
        <v>3</v>
      </c>
      <c r="DE46" t="s">
        <v>3</v>
      </c>
      <c r="DF46">
        <f t="shared" si="23"/>
        <v>22.54</v>
      </c>
      <c r="DG46">
        <f t="shared" si="24"/>
        <v>0</v>
      </c>
      <c r="DH46">
        <f t="shared" si="13"/>
        <v>0</v>
      </c>
      <c r="DI46">
        <f t="shared" si="14"/>
        <v>0</v>
      </c>
      <c r="DJ46">
        <f t="shared" si="25"/>
        <v>22.54</v>
      </c>
      <c r="DK46">
        <v>0</v>
      </c>
      <c r="DL46" t="s">
        <v>3</v>
      </c>
      <c r="DM46">
        <v>0</v>
      </c>
      <c r="DN46" t="s">
        <v>3</v>
      </c>
      <c r="DO46">
        <v>0</v>
      </c>
    </row>
    <row r="47" spans="1:119" x14ac:dyDescent="0.2">
      <c r="A47">
        <f>ROW(Source!A40)</f>
        <v>40</v>
      </c>
      <c r="B47">
        <v>82813384</v>
      </c>
      <c r="C47">
        <v>82813529</v>
      </c>
      <c r="D47">
        <v>81037163</v>
      </c>
      <c r="E47">
        <v>1</v>
      </c>
      <c r="F47">
        <v>1</v>
      </c>
      <c r="G47">
        <v>1</v>
      </c>
      <c r="H47">
        <v>3</v>
      </c>
      <c r="I47" t="s">
        <v>348</v>
      </c>
      <c r="J47" t="s">
        <v>349</v>
      </c>
      <c r="K47" t="s">
        <v>350</v>
      </c>
      <c r="L47">
        <v>1346</v>
      </c>
      <c r="N47">
        <v>1009</v>
      </c>
      <c r="O47" t="s">
        <v>93</v>
      </c>
      <c r="P47" t="s">
        <v>93</v>
      </c>
      <c r="Q47">
        <v>1</v>
      </c>
      <c r="W47">
        <v>0</v>
      </c>
      <c r="X47">
        <v>908818435</v>
      </c>
      <c r="Y47">
        <f t="shared" si="15"/>
        <v>0.02</v>
      </c>
      <c r="AA47">
        <v>173.34</v>
      </c>
      <c r="AB47">
        <v>0</v>
      </c>
      <c r="AC47">
        <v>0</v>
      </c>
      <c r="AD47">
        <v>0</v>
      </c>
      <c r="AE47">
        <v>128.4</v>
      </c>
      <c r="AF47">
        <v>0</v>
      </c>
      <c r="AG47">
        <v>0</v>
      </c>
      <c r="AH47">
        <v>0</v>
      </c>
      <c r="AI47">
        <v>1.35</v>
      </c>
      <c r="AJ47">
        <v>1</v>
      </c>
      <c r="AK47">
        <v>1</v>
      </c>
      <c r="AL47">
        <v>1</v>
      </c>
      <c r="AM47">
        <v>2</v>
      </c>
      <c r="AN47">
        <v>0</v>
      </c>
      <c r="AO47">
        <v>0</v>
      </c>
      <c r="AP47">
        <v>0</v>
      </c>
      <c r="AQ47">
        <v>1</v>
      </c>
      <c r="AR47">
        <v>0</v>
      </c>
      <c r="AS47" t="s">
        <v>3</v>
      </c>
      <c r="AT47">
        <v>0.02</v>
      </c>
      <c r="AU47" t="s">
        <v>3</v>
      </c>
      <c r="AV47">
        <v>0</v>
      </c>
      <c r="AW47">
        <v>2</v>
      </c>
      <c r="AX47">
        <v>82813539</v>
      </c>
      <c r="AY47">
        <v>1</v>
      </c>
      <c r="AZ47">
        <v>0</v>
      </c>
      <c r="BA47">
        <v>47</v>
      </c>
      <c r="BB47">
        <v>1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2.5680000000000001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1</v>
      </c>
      <c r="BQ47">
        <v>2.5680000000000001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1</v>
      </c>
      <c r="CV47">
        <v>0</v>
      </c>
      <c r="CW47">
        <v>0</v>
      </c>
      <c r="CX47">
        <f>ROUND(Y47*Source!I40,7)</f>
        <v>3.0000000000000001E-3</v>
      </c>
      <c r="CY47">
        <f t="shared" si="20"/>
        <v>173.34</v>
      </c>
      <c r="CZ47">
        <f t="shared" si="21"/>
        <v>128.4</v>
      </c>
      <c r="DA47">
        <f t="shared" si="22"/>
        <v>1.35</v>
      </c>
      <c r="DB47">
        <f t="shared" si="16"/>
        <v>2.57</v>
      </c>
      <c r="DC47">
        <f t="shared" si="17"/>
        <v>0</v>
      </c>
      <c r="DD47" t="s">
        <v>3</v>
      </c>
      <c r="DE47" t="s">
        <v>3</v>
      </c>
      <c r="DF47">
        <f t="shared" si="23"/>
        <v>0.52</v>
      </c>
      <c r="DG47">
        <f t="shared" si="24"/>
        <v>0</v>
      </c>
      <c r="DH47">
        <f t="shared" si="13"/>
        <v>0</v>
      </c>
      <c r="DI47">
        <f t="shared" si="14"/>
        <v>0</v>
      </c>
      <c r="DJ47">
        <f t="shared" si="25"/>
        <v>0.52</v>
      </c>
      <c r="DK47">
        <v>0</v>
      </c>
      <c r="DL47" t="s">
        <v>3</v>
      </c>
      <c r="DM47">
        <v>0</v>
      </c>
      <c r="DN47" t="s">
        <v>3</v>
      </c>
      <c r="DO47">
        <v>0</v>
      </c>
    </row>
    <row r="48" spans="1:119" x14ac:dyDescent="0.2">
      <c r="A48">
        <f>ROW(Source!A40)</f>
        <v>40</v>
      </c>
      <c r="B48">
        <v>82813384</v>
      </c>
      <c r="C48">
        <v>82813529</v>
      </c>
      <c r="D48">
        <v>81037319</v>
      </c>
      <c r="E48">
        <v>1</v>
      </c>
      <c r="F48">
        <v>1</v>
      </c>
      <c r="G48">
        <v>1</v>
      </c>
      <c r="H48">
        <v>3</v>
      </c>
      <c r="I48" t="s">
        <v>351</v>
      </c>
      <c r="J48" t="s">
        <v>352</v>
      </c>
      <c r="K48" t="s">
        <v>353</v>
      </c>
      <c r="L48">
        <v>1348</v>
      </c>
      <c r="N48">
        <v>1009</v>
      </c>
      <c r="O48" t="s">
        <v>59</v>
      </c>
      <c r="P48" t="s">
        <v>59</v>
      </c>
      <c r="Q48">
        <v>1000</v>
      </c>
      <c r="W48">
        <v>0</v>
      </c>
      <c r="X48">
        <v>-1103083935</v>
      </c>
      <c r="Y48">
        <f t="shared" si="15"/>
        <v>4.0000000000000002E-4</v>
      </c>
      <c r="AA48">
        <v>109929.65</v>
      </c>
      <c r="AB48">
        <v>0</v>
      </c>
      <c r="AC48">
        <v>0</v>
      </c>
      <c r="AD48">
        <v>0</v>
      </c>
      <c r="AE48">
        <v>97282.880000000005</v>
      </c>
      <c r="AF48">
        <v>0</v>
      </c>
      <c r="AG48">
        <v>0</v>
      </c>
      <c r="AH48">
        <v>0</v>
      </c>
      <c r="AI48">
        <v>1.1299999999999999</v>
      </c>
      <c r="AJ48">
        <v>1</v>
      </c>
      <c r="AK48">
        <v>1</v>
      </c>
      <c r="AL48">
        <v>1</v>
      </c>
      <c r="AM48">
        <v>2</v>
      </c>
      <c r="AN48">
        <v>0</v>
      </c>
      <c r="AO48">
        <v>0</v>
      </c>
      <c r="AP48">
        <v>0</v>
      </c>
      <c r="AQ48">
        <v>1</v>
      </c>
      <c r="AR48">
        <v>0</v>
      </c>
      <c r="AS48" t="s">
        <v>3</v>
      </c>
      <c r="AT48">
        <v>4.0000000000000002E-4</v>
      </c>
      <c r="AU48" t="s">
        <v>3</v>
      </c>
      <c r="AV48">
        <v>0</v>
      </c>
      <c r="AW48">
        <v>2</v>
      </c>
      <c r="AX48">
        <v>82813540</v>
      </c>
      <c r="AY48">
        <v>1</v>
      </c>
      <c r="AZ48">
        <v>0</v>
      </c>
      <c r="BA48">
        <v>48</v>
      </c>
      <c r="BB48">
        <v>1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38.913152000000004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1</v>
      </c>
      <c r="BQ48">
        <v>38.913152000000004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1</v>
      </c>
      <c r="CV48">
        <v>0</v>
      </c>
      <c r="CW48">
        <v>0</v>
      </c>
      <c r="CX48">
        <f>ROUND(Y48*Source!I40,7)</f>
        <v>6.0000000000000002E-5</v>
      </c>
      <c r="CY48">
        <f t="shared" si="20"/>
        <v>109929.65</v>
      </c>
      <c r="CZ48">
        <f t="shared" si="21"/>
        <v>97282.880000000005</v>
      </c>
      <c r="DA48">
        <f t="shared" si="22"/>
        <v>1.1299999999999999</v>
      </c>
      <c r="DB48">
        <f t="shared" si="16"/>
        <v>38.909999999999997</v>
      </c>
      <c r="DC48">
        <f t="shared" si="17"/>
        <v>0</v>
      </c>
      <c r="DD48" t="s">
        <v>3</v>
      </c>
      <c r="DE48" t="s">
        <v>3</v>
      </c>
      <c r="DF48">
        <f t="shared" si="23"/>
        <v>6.6</v>
      </c>
      <c r="DG48">
        <f t="shared" si="24"/>
        <v>0</v>
      </c>
      <c r="DH48">
        <f t="shared" si="13"/>
        <v>0</v>
      </c>
      <c r="DI48">
        <f t="shared" si="14"/>
        <v>0</v>
      </c>
      <c r="DJ48">
        <f t="shared" si="25"/>
        <v>6.6</v>
      </c>
      <c r="DK48">
        <v>0</v>
      </c>
      <c r="DL48" t="s">
        <v>3</v>
      </c>
      <c r="DM48">
        <v>0</v>
      </c>
      <c r="DN48" t="s">
        <v>3</v>
      </c>
      <c r="DO48">
        <v>0</v>
      </c>
    </row>
    <row r="49" spans="1:119" x14ac:dyDescent="0.2">
      <c r="A49">
        <f>ROW(Source!A40)</f>
        <v>40</v>
      </c>
      <c r="B49">
        <v>82813384</v>
      </c>
      <c r="C49">
        <v>82813529</v>
      </c>
      <c r="D49">
        <v>81040064</v>
      </c>
      <c r="E49">
        <v>1</v>
      </c>
      <c r="F49">
        <v>1</v>
      </c>
      <c r="G49">
        <v>1</v>
      </c>
      <c r="H49">
        <v>3</v>
      </c>
      <c r="I49" t="s">
        <v>354</v>
      </c>
      <c r="J49" t="s">
        <v>355</v>
      </c>
      <c r="K49" t="s">
        <v>356</v>
      </c>
      <c r="L49">
        <v>1346</v>
      </c>
      <c r="N49">
        <v>1009</v>
      </c>
      <c r="O49" t="s">
        <v>93</v>
      </c>
      <c r="P49" t="s">
        <v>93</v>
      </c>
      <c r="Q49">
        <v>1</v>
      </c>
      <c r="W49">
        <v>0</v>
      </c>
      <c r="X49">
        <v>1251286720</v>
      </c>
      <c r="Y49">
        <f t="shared" si="15"/>
        <v>9.9000000000000008E-3</v>
      </c>
      <c r="AA49">
        <v>87.93</v>
      </c>
      <c r="AB49">
        <v>0</v>
      </c>
      <c r="AC49">
        <v>0</v>
      </c>
      <c r="AD49">
        <v>0</v>
      </c>
      <c r="AE49">
        <v>59.41</v>
      </c>
      <c r="AF49">
        <v>0</v>
      </c>
      <c r="AG49">
        <v>0</v>
      </c>
      <c r="AH49">
        <v>0</v>
      </c>
      <c r="AI49">
        <v>1.48</v>
      </c>
      <c r="AJ49">
        <v>1</v>
      </c>
      <c r="AK49">
        <v>1</v>
      </c>
      <c r="AL49">
        <v>1</v>
      </c>
      <c r="AM49">
        <v>2</v>
      </c>
      <c r="AN49">
        <v>0</v>
      </c>
      <c r="AO49">
        <v>0</v>
      </c>
      <c r="AP49">
        <v>0</v>
      </c>
      <c r="AQ49">
        <v>1</v>
      </c>
      <c r="AR49">
        <v>0</v>
      </c>
      <c r="AS49" t="s">
        <v>3</v>
      </c>
      <c r="AT49">
        <v>9.9000000000000008E-3</v>
      </c>
      <c r="AU49" t="s">
        <v>3</v>
      </c>
      <c r="AV49">
        <v>0</v>
      </c>
      <c r="AW49">
        <v>2</v>
      </c>
      <c r="AX49">
        <v>82813541</v>
      </c>
      <c r="AY49">
        <v>1</v>
      </c>
      <c r="AZ49">
        <v>0</v>
      </c>
      <c r="BA49">
        <v>49</v>
      </c>
      <c r="BB49">
        <v>1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0.58815899999999999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1</v>
      </c>
      <c r="BQ49">
        <v>0.58815899999999999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1</v>
      </c>
      <c r="CV49">
        <v>0</v>
      </c>
      <c r="CW49">
        <v>0</v>
      </c>
      <c r="CX49">
        <f>ROUND(Y49*Source!I40,7)</f>
        <v>1.485E-3</v>
      </c>
      <c r="CY49">
        <f t="shared" si="20"/>
        <v>87.93</v>
      </c>
      <c r="CZ49">
        <f t="shared" si="21"/>
        <v>59.41</v>
      </c>
      <c r="DA49">
        <f t="shared" si="22"/>
        <v>1.48</v>
      </c>
      <c r="DB49">
        <f t="shared" si="16"/>
        <v>0.59</v>
      </c>
      <c r="DC49">
        <f t="shared" si="17"/>
        <v>0</v>
      </c>
      <c r="DD49" t="s">
        <v>3</v>
      </c>
      <c r="DE49" t="s">
        <v>3</v>
      </c>
      <c r="DF49">
        <f t="shared" si="23"/>
        <v>0.13</v>
      </c>
      <c r="DG49">
        <f t="shared" si="24"/>
        <v>0</v>
      </c>
      <c r="DH49">
        <f t="shared" si="13"/>
        <v>0</v>
      </c>
      <c r="DI49">
        <f t="shared" si="14"/>
        <v>0</v>
      </c>
      <c r="DJ49">
        <f t="shared" si="25"/>
        <v>0.13</v>
      </c>
      <c r="DK49">
        <v>0</v>
      </c>
      <c r="DL49" t="s">
        <v>3</v>
      </c>
      <c r="DM49">
        <v>0</v>
      </c>
      <c r="DN49" t="s">
        <v>3</v>
      </c>
      <c r="DO49">
        <v>0</v>
      </c>
    </row>
    <row r="50" spans="1:119" x14ac:dyDescent="0.2">
      <c r="A50">
        <f>ROW(Source!A40)</f>
        <v>40</v>
      </c>
      <c r="B50">
        <v>82813384</v>
      </c>
      <c r="C50">
        <v>82813529</v>
      </c>
      <c r="D50">
        <v>81055711</v>
      </c>
      <c r="E50">
        <v>1</v>
      </c>
      <c r="F50">
        <v>1</v>
      </c>
      <c r="G50">
        <v>1</v>
      </c>
      <c r="H50">
        <v>3</v>
      </c>
      <c r="I50" t="s">
        <v>357</v>
      </c>
      <c r="J50" t="s">
        <v>358</v>
      </c>
      <c r="K50" t="s">
        <v>359</v>
      </c>
      <c r="L50">
        <v>1346</v>
      </c>
      <c r="N50">
        <v>1009</v>
      </c>
      <c r="O50" t="s">
        <v>93</v>
      </c>
      <c r="P50" t="s">
        <v>93</v>
      </c>
      <c r="Q50">
        <v>1</v>
      </c>
      <c r="W50">
        <v>0</v>
      </c>
      <c r="X50">
        <v>2025193363</v>
      </c>
      <c r="Y50">
        <f t="shared" si="15"/>
        <v>0.54</v>
      </c>
      <c r="AA50">
        <v>110.23</v>
      </c>
      <c r="AB50">
        <v>0</v>
      </c>
      <c r="AC50">
        <v>0</v>
      </c>
      <c r="AD50">
        <v>0</v>
      </c>
      <c r="AE50">
        <v>79.88</v>
      </c>
      <c r="AF50">
        <v>0</v>
      </c>
      <c r="AG50">
        <v>0</v>
      </c>
      <c r="AH50">
        <v>0</v>
      </c>
      <c r="AI50">
        <v>1.38</v>
      </c>
      <c r="AJ50">
        <v>1</v>
      </c>
      <c r="AK50">
        <v>1</v>
      </c>
      <c r="AL50">
        <v>1</v>
      </c>
      <c r="AM50">
        <v>2</v>
      </c>
      <c r="AN50">
        <v>0</v>
      </c>
      <c r="AO50">
        <v>0</v>
      </c>
      <c r="AP50">
        <v>0</v>
      </c>
      <c r="AQ50">
        <v>1</v>
      </c>
      <c r="AR50">
        <v>0</v>
      </c>
      <c r="AS50" t="s">
        <v>3</v>
      </c>
      <c r="AT50">
        <v>0.54</v>
      </c>
      <c r="AU50" t="s">
        <v>3</v>
      </c>
      <c r="AV50">
        <v>0</v>
      </c>
      <c r="AW50">
        <v>2</v>
      </c>
      <c r="AX50">
        <v>82813542</v>
      </c>
      <c r="AY50">
        <v>1</v>
      </c>
      <c r="AZ50">
        <v>0</v>
      </c>
      <c r="BA50">
        <v>50</v>
      </c>
      <c r="BB50">
        <v>1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43.135199999999998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43.135199999999998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1</v>
      </c>
      <c r="CV50">
        <v>0</v>
      </c>
      <c r="CW50">
        <v>0</v>
      </c>
      <c r="CX50">
        <f>ROUND(Y50*Source!I40,7)</f>
        <v>8.1000000000000003E-2</v>
      </c>
      <c r="CY50">
        <f t="shared" si="20"/>
        <v>110.23</v>
      </c>
      <c r="CZ50">
        <f t="shared" si="21"/>
        <v>79.88</v>
      </c>
      <c r="DA50">
        <f t="shared" si="22"/>
        <v>1.38</v>
      </c>
      <c r="DB50">
        <f t="shared" si="16"/>
        <v>43.14</v>
      </c>
      <c r="DC50">
        <f t="shared" si="17"/>
        <v>0</v>
      </c>
      <c r="DD50" t="s">
        <v>3</v>
      </c>
      <c r="DE50" t="s">
        <v>3</v>
      </c>
      <c r="DF50">
        <f t="shared" si="23"/>
        <v>8.93</v>
      </c>
      <c r="DG50">
        <f t="shared" si="24"/>
        <v>0</v>
      </c>
      <c r="DH50">
        <f t="shared" si="13"/>
        <v>0</v>
      </c>
      <c r="DI50">
        <f t="shared" si="14"/>
        <v>0</v>
      </c>
      <c r="DJ50">
        <f t="shared" si="25"/>
        <v>8.93</v>
      </c>
      <c r="DK50">
        <v>0</v>
      </c>
      <c r="DL50" t="s">
        <v>3</v>
      </c>
      <c r="DM50">
        <v>0</v>
      </c>
      <c r="DN50" t="s">
        <v>3</v>
      </c>
      <c r="DO50">
        <v>0</v>
      </c>
    </row>
    <row r="51" spans="1:119" x14ac:dyDescent="0.2">
      <c r="A51">
        <f>ROW(Source!A40)</f>
        <v>40</v>
      </c>
      <c r="B51">
        <v>82813384</v>
      </c>
      <c r="C51">
        <v>82813529</v>
      </c>
      <c r="D51">
        <v>81055984</v>
      </c>
      <c r="E51">
        <v>1</v>
      </c>
      <c r="F51">
        <v>1</v>
      </c>
      <c r="G51">
        <v>1</v>
      </c>
      <c r="H51">
        <v>3</v>
      </c>
      <c r="I51" t="s">
        <v>360</v>
      </c>
      <c r="J51" t="s">
        <v>361</v>
      </c>
      <c r="K51" t="s">
        <v>362</v>
      </c>
      <c r="L51">
        <v>1348</v>
      </c>
      <c r="N51">
        <v>1009</v>
      </c>
      <c r="O51" t="s">
        <v>59</v>
      </c>
      <c r="P51" t="s">
        <v>59</v>
      </c>
      <c r="Q51">
        <v>1000</v>
      </c>
      <c r="W51">
        <v>0</v>
      </c>
      <c r="X51">
        <v>406662533</v>
      </c>
      <c r="Y51">
        <f t="shared" si="15"/>
        <v>6.2E-4</v>
      </c>
      <c r="AA51">
        <v>74050.600000000006</v>
      </c>
      <c r="AB51">
        <v>0</v>
      </c>
      <c r="AC51">
        <v>0</v>
      </c>
      <c r="AD51">
        <v>0</v>
      </c>
      <c r="AE51">
        <v>60697.21</v>
      </c>
      <c r="AF51">
        <v>0</v>
      </c>
      <c r="AG51">
        <v>0</v>
      </c>
      <c r="AH51">
        <v>0</v>
      </c>
      <c r="AI51">
        <v>1.22</v>
      </c>
      <c r="AJ51">
        <v>1</v>
      </c>
      <c r="AK51">
        <v>1</v>
      </c>
      <c r="AL51">
        <v>1</v>
      </c>
      <c r="AM51">
        <v>2</v>
      </c>
      <c r="AN51">
        <v>0</v>
      </c>
      <c r="AO51">
        <v>0</v>
      </c>
      <c r="AP51">
        <v>0</v>
      </c>
      <c r="AQ51">
        <v>1</v>
      </c>
      <c r="AR51">
        <v>0</v>
      </c>
      <c r="AS51" t="s">
        <v>3</v>
      </c>
      <c r="AT51">
        <v>6.2E-4</v>
      </c>
      <c r="AU51" t="s">
        <v>3</v>
      </c>
      <c r="AV51">
        <v>0</v>
      </c>
      <c r="AW51">
        <v>2</v>
      </c>
      <c r="AX51">
        <v>82813543</v>
      </c>
      <c r="AY51">
        <v>1</v>
      </c>
      <c r="AZ51">
        <v>0</v>
      </c>
      <c r="BA51">
        <v>51</v>
      </c>
      <c r="BB51">
        <v>1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37.632270200000001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1</v>
      </c>
      <c r="BQ51">
        <v>37.632270200000001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1</v>
      </c>
      <c r="CV51">
        <v>0</v>
      </c>
      <c r="CW51">
        <v>0</v>
      </c>
      <c r="CX51">
        <f>ROUND(Y51*Source!I40,7)</f>
        <v>9.2999999999999997E-5</v>
      </c>
      <c r="CY51">
        <f t="shared" si="20"/>
        <v>74050.600000000006</v>
      </c>
      <c r="CZ51">
        <f t="shared" si="21"/>
        <v>60697.21</v>
      </c>
      <c r="DA51">
        <f t="shared" si="22"/>
        <v>1.22</v>
      </c>
      <c r="DB51">
        <f t="shared" si="16"/>
        <v>37.630000000000003</v>
      </c>
      <c r="DC51">
        <f t="shared" si="17"/>
        <v>0</v>
      </c>
      <c r="DD51" t="s">
        <v>3</v>
      </c>
      <c r="DE51" t="s">
        <v>3</v>
      </c>
      <c r="DF51">
        <f t="shared" si="23"/>
        <v>6.89</v>
      </c>
      <c r="DG51">
        <f t="shared" si="24"/>
        <v>0</v>
      </c>
      <c r="DH51">
        <f t="shared" si="13"/>
        <v>0</v>
      </c>
      <c r="DI51">
        <f t="shared" si="14"/>
        <v>0</v>
      </c>
      <c r="DJ51">
        <f t="shared" si="25"/>
        <v>6.89</v>
      </c>
      <c r="DK51">
        <v>0</v>
      </c>
      <c r="DL51" t="s">
        <v>3</v>
      </c>
      <c r="DM51">
        <v>0</v>
      </c>
      <c r="DN51" t="s">
        <v>3</v>
      </c>
      <c r="DO51">
        <v>0</v>
      </c>
    </row>
    <row r="52" spans="1:119" x14ac:dyDescent="0.2">
      <c r="A52">
        <f>ROW(Source!A40)</f>
        <v>40</v>
      </c>
      <c r="B52">
        <v>82813384</v>
      </c>
      <c r="C52">
        <v>82813529</v>
      </c>
      <c r="D52">
        <v>80964496</v>
      </c>
      <c r="E52">
        <v>118</v>
      </c>
      <c r="F52">
        <v>1</v>
      </c>
      <c r="G52">
        <v>1</v>
      </c>
      <c r="H52">
        <v>3</v>
      </c>
      <c r="I52" t="s">
        <v>87</v>
      </c>
      <c r="J52" t="s">
        <v>3</v>
      </c>
      <c r="K52" t="s">
        <v>88</v>
      </c>
      <c r="L52">
        <v>1371</v>
      </c>
      <c r="N52">
        <v>1013</v>
      </c>
      <c r="O52" t="s">
        <v>30</v>
      </c>
      <c r="P52" t="s">
        <v>30</v>
      </c>
      <c r="Q52">
        <v>1</v>
      </c>
      <c r="W52">
        <v>0</v>
      </c>
      <c r="X52">
        <v>-194554667</v>
      </c>
      <c r="Y52">
        <f t="shared" si="15"/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1</v>
      </c>
      <c r="AJ52">
        <v>1</v>
      </c>
      <c r="AK52">
        <v>1</v>
      </c>
      <c r="AL52">
        <v>1</v>
      </c>
      <c r="AM52">
        <v>0</v>
      </c>
      <c r="AN52">
        <v>1</v>
      </c>
      <c r="AO52">
        <v>0</v>
      </c>
      <c r="AP52">
        <v>0</v>
      </c>
      <c r="AQ52">
        <v>0</v>
      </c>
      <c r="AR52">
        <v>0</v>
      </c>
      <c r="AS52" t="s">
        <v>3</v>
      </c>
      <c r="AT52">
        <v>0</v>
      </c>
      <c r="AU52" t="s">
        <v>3</v>
      </c>
      <c r="AV52">
        <v>0</v>
      </c>
      <c r="AW52">
        <v>2</v>
      </c>
      <c r="AX52">
        <v>82813544</v>
      </c>
      <c r="AY52">
        <v>1</v>
      </c>
      <c r="AZ52">
        <v>0</v>
      </c>
      <c r="BA52">
        <v>52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V52">
        <v>0</v>
      </c>
      <c r="CW52">
        <v>0</v>
      </c>
      <c r="CX52">
        <f>ROUND(Y52*Source!I40,7)</f>
        <v>0</v>
      </c>
      <c r="CY52">
        <f t="shared" si="20"/>
        <v>0</v>
      </c>
      <c r="CZ52">
        <f t="shared" si="21"/>
        <v>0</v>
      </c>
      <c r="DA52">
        <f t="shared" si="22"/>
        <v>1</v>
      </c>
      <c r="DB52">
        <f t="shared" si="16"/>
        <v>0</v>
      </c>
      <c r="DC52">
        <f t="shared" si="17"/>
        <v>0</v>
      </c>
      <c r="DD52" t="s">
        <v>3</v>
      </c>
      <c r="DE52" t="s">
        <v>3</v>
      </c>
      <c r="DF52">
        <f t="shared" ref="DF52:DF60" si="26">ROUND(ROUND(AE52,2)*CX52,2)</f>
        <v>0</v>
      </c>
      <c r="DG52">
        <f t="shared" si="24"/>
        <v>0</v>
      </c>
      <c r="DH52">
        <f t="shared" si="13"/>
        <v>0</v>
      </c>
      <c r="DI52">
        <f t="shared" si="14"/>
        <v>0</v>
      </c>
      <c r="DJ52">
        <f t="shared" si="25"/>
        <v>0</v>
      </c>
      <c r="DK52">
        <v>0</v>
      </c>
      <c r="DL52" t="s">
        <v>3</v>
      </c>
      <c r="DM52">
        <v>0</v>
      </c>
      <c r="DN52" t="s">
        <v>3</v>
      </c>
      <c r="DO52">
        <v>0</v>
      </c>
    </row>
    <row r="53" spans="1:119" x14ac:dyDescent="0.2">
      <c r="A53">
        <f>ROW(Source!A40)</f>
        <v>40</v>
      </c>
      <c r="B53">
        <v>82813384</v>
      </c>
      <c r="C53">
        <v>82813529</v>
      </c>
      <c r="D53">
        <v>80964664</v>
      </c>
      <c r="E53">
        <v>118</v>
      </c>
      <c r="F53">
        <v>1</v>
      </c>
      <c r="G53">
        <v>1</v>
      </c>
      <c r="H53">
        <v>3</v>
      </c>
      <c r="I53" t="s">
        <v>89</v>
      </c>
      <c r="J53" t="s">
        <v>3</v>
      </c>
      <c r="K53" t="s">
        <v>90</v>
      </c>
      <c r="L53">
        <v>1301</v>
      </c>
      <c r="N53">
        <v>1003</v>
      </c>
      <c r="O53" t="s">
        <v>72</v>
      </c>
      <c r="P53" t="s">
        <v>72</v>
      </c>
      <c r="Q53">
        <v>1</v>
      </c>
      <c r="W53">
        <v>0</v>
      </c>
      <c r="X53">
        <v>-507910143</v>
      </c>
      <c r="Y53">
        <f t="shared" si="15"/>
        <v>100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1</v>
      </c>
      <c r="AJ53">
        <v>1</v>
      </c>
      <c r="AK53">
        <v>1</v>
      </c>
      <c r="AL53">
        <v>1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 t="s">
        <v>3</v>
      </c>
      <c r="AT53">
        <v>100</v>
      </c>
      <c r="AU53" t="s">
        <v>3</v>
      </c>
      <c r="AV53">
        <v>0</v>
      </c>
      <c r="AW53">
        <v>2</v>
      </c>
      <c r="AX53">
        <v>82813545</v>
      </c>
      <c r="AY53">
        <v>1</v>
      </c>
      <c r="AZ53">
        <v>0</v>
      </c>
      <c r="BA53">
        <v>53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CV53">
        <v>0</v>
      </c>
      <c r="CW53">
        <v>0</v>
      </c>
      <c r="CX53">
        <f>ROUND(Y53*Source!I40,7)</f>
        <v>15</v>
      </c>
      <c r="CY53">
        <f t="shared" si="20"/>
        <v>0</v>
      </c>
      <c r="CZ53">
        <f t="shared" si="21"/>
        <v>0</v>
      </c>
      <c r="DA53">
        <f t="shared" si="22"/>
        <v>1</v>
      </c>
      <c r="DB53">
        <f t="shared" si="16"/>
        <v>0</v>
      </c>
      <c r="DC53">
        <f t="shared" si="17"/>
        <v>0</v>
      </c>
      <c r="DD53" t="s">
        <v>3</v>
      </c>
      <c r="DE53" t="s">
        <v>3</v>
      </c>
      <c r="DF53">
        <f t="shared" si="26"/>
        <v>0</v>
      </c>
      <c r="DG53">
        <f t="shared" si="24"/>
        <v>0</v>
      </c>
      <c r="DH53">
        <f t="shared" si="13"/>
        <v>0</v>
      </c>
      <c r="DI53">
        <f t="shared" si="14"/>
        <v>0</v>
      </c>
      <c r="DJ53">
        <f t="shared" si="25"/>
        <v>0</v>
      </c>
      <c r="DK53">
        <v>0</v>
      </c>
      <c r="DL53" t="s">
        <v>3</v>
      </c>
      <c r="DM53">
        <v>0</v>
      </c>
      <c r="DN53" t="s">
        <v>3</v>
      </c>
      <c r="DO53">
        <v>0</v>
      </c>
    </row>
    <row r="54" spans="1:119" x14ac:dyDescent="0.2">
      <c r="A54">
        <f>ROW(Source!A40)</f>
        <v>40</v>
      </c>
      <c r="B54">
        <v>82813384</v>
      </c>
      <c r="C54">
        <v>82813529</v>
      </c>
      <c r="D54">
        <v>80965317</v>
      </c>
      <c r="E54">
        <v>118</v>
      </c>
      <c r="F54">
        <v>1</v>
      </c>
      <c r="G54">
        <v>1</v>
      </c>
      <c r="H54">
        <v>3</v>
      </c>
      <c r="I54" t="s">
        <v>91</v>
      </c>
      <c r="J54" t="s">
        <v>3</v>
      </c>
      <c r="K54" t="s">
        <v>92</v>
      </c>
      <c r="L54">
        <v>1346</v>
      </c>
      <c r="N54">
        <v>1009</v>
      </c>
      <c r="O54" t="s">
        <v>93</v>
      </c>
      <c r="P54" t="s">
        <v>93</v>
      </c>
      <c r="Q54">
        <v>1</v>
      </c>
      <c r="W54">
        <v>0</v>
      </c>
      <c r="X54">
        <v>1447119578</v>
      </c>
      <c r="Y54">
        <f t="shared" si="15"/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1</v>
      </c>
      <c r="AJ54">
        <v>1</v>
      </c>
      <c r="AK54">
        <v>1</v>
      </c>
      <c r="AL54">
        <v>1</v>
      </c>
      <c r="AM54">
        <v>0</v>
      </c>
      <c r="AN54">
        <v>1</v>
      </c>
      <c r="AO54">
        <v>0</v>
      </c>
      <c r="AP54">
        <v>0</v>
      </c>
      <c r="AQ54">
        <v>0</v>
      </c>
      <c r="AR54">
        <v>0</v>
      </c>
      <c r="AS54" t="s">
        <v>3</v>
      </c>
      <c r="AT54">
        <v>0</v>
      </c>
      <c r="AU54" t="s">
        <v>3</v>
      </c>
      <c r="AV54">
        <v>0</v>
      </c>
      <c r="AW54">
        <v>2</v>
      </c>
      <c r="AX54">
        <v>82813546</v>
      </c>
      <c r="AY54">
        <v>1</v>
      </c>
      <c r="AZ54">
        <v>0</v>
      </c>
      <c r="BA54">
        <v>54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CV54">
        <v>0</v>
      </c>
      <c r="CW54">
        <v>0</v>
      </c>
      <c r="CX54">
        <f>ROUND(Y54*Source!I40,7)</f>
        <v>0</v>
      </c>
      <c r="CY54">
        <f t="shared" si="20"/>
        <v>0</v>
      </c>
      <c r="CZ54">
        <f t="shared" si="21"/>
        <v>0</v>
      </c>
      <c r="DA54">
        <f t="shared" si="22"/>
        <v>1</v>
      </c>
      <c r="DB54">
        <f t="shared" si="16"/>
        <v>0</v>
      </c>
      <c r="DC54">
        <f t="shared" si="17"/>
        <v>0</v>
      </c>
      <c r="DD54" t="s">
        <v>3</v>
      </c>
      <c r="DE54" t="s">
        <v>3</v>
      </c>
      <c r="DF54">
        <f t="shared" si="26"/>
        <v>0</v>
      </c>
      <c r="DG54">
        <f t="shared" si="24"/>
        <v>0</v>
      </c>
      <c r="DH54">
        <f t="shared" si="13"/>
        <v>0</v>
      </c>
      <c r="DI54">
        <f t="shared" si="14"/>
        <v>0</v>
      </c>
      <c r="DJ54">
        <f t="shared" si="25"/>
        <v>0</v>
      </c>
      <c r="DK54">
        <v>0</v>
      </c>
      <c r="DL54" t="s">
        <v>3</v>
      </c>
      <c r="DM54">
        <v>0</v>
      </c>
      <c r="DN54" t="s">
        <v>3</v>
      </c>
      <c r="DO54">
        <v>0</v>
      </c>
    </row>
    <row r="55" spans="1:119" x14ac:dyDescent="0.2">
      <c r="A55">
        <f>ROW(Source!A44)</f>
        <v>44</v>
      </c>
      <c r="B55">
        <v>82813384</v>
      </c>
      <c r="C55">
        <v>82813550</v>
      </c>
      <c r="D55">
        <v>80959954</v>
      </c>
      <c r="E55">
        <v>118</v>
      </c>
      <c r="F55">
        <v>1</v>
      </c>
      <c r="G55">
        <v>1</v>
      </c>
      <c r="H55">
        <v>1</v>
      </c>
      <c r="I55" t="s">
        <v>363</v>
      </c>
      <c r="J55" t="s">
        <v>3</v>
      </c>
      <c r="K55" t="s">
        <v>364</v>
      </c>
      <c r="L55">
        <v>1191</v>
      </c>
      <c r="N55">
        <v>1013</v>
      </c>
      <c r="O55" t="s">
        <v>288</v>
      </c>
      <c r="P55" t="s">
        <v>288</v>
      </c>
      <c r="Q55">
        <v>1</v>
      </c>
      <c r="W55">
        <v>0</v>
      </c>
      <c r="X55">
        <v>174150515</v>
      </c>
      <c r="Y55">
        <f>(AT55*ROUND(((0.35+1)*1.15),7))</f>
        <v>85.853249999999989</v>
      </c>
      <c r="AA55">
        <v>0</v>
      </c>
      <c r="AB55">
        <v>0</v>
      </c>
      <c r="AC55">
        <v>0</v>
      </c>
      <c r="AD55">
        <v>741.99</v>
      </c>
      <c r="AE55">
        <v>0</v>
      </c>
      <c r="AF55">
        <v>0</v>
      </c>
      <c r="AG55">
        <v>0</v>
      </c>
      <c r="AH55">
        <v>741.99</v>
      </c>
      <c r="AI55">
        <v>1</v>
      </c>
      <c r="AJ55">
        <v>1</v>
      </c>
      <c r="AK55">
        <v>1</v>
      </c>
      <c r="AL55">
        <v>1</v>
      </c>
      <c r="AM55">
        <v>-2</v>
      </c>
      <c r="AN55">
        <v>0</v>
      </c>
      <c r="AO55">
        <v>0</v>
      </c>
      <c r="AP55">
        <v>1</v>
      </c>
      <c r="AQ55">
        <v>1</v>
      </c>
      <c r="AR55">
        <v>0</v>
      </c>
      <c r="AS55" t="s">
        <v>3</v>
      </c>
      <c r="AT55">
        <v>55.3</v>
      </c>
      <c r="AU55" t="s">
        <v>33</v>
      </c>
      <c r="AV55">
        <v>1</v>
      </c>
      <c r="AW55">
        <v>2</v>
      </c>
      <c r="AX55">
        <v>82813551</v>
      </c>
      <c r="AY55">
        <v>1</v>
      </c>
      <c r="AZ55">
        <v>0</v>
      </c>
      <c r="BA55">
        <v>55</v>
      </c>
      <c r="BB55">
        <v>1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41032.046999999999</v>
      </c>
      <c r="BN55">
        <v>55.3</v>
      </c>
      <c r="BO55">
        <v>0</v>
      </c>
      <c r="BP55">
        <v>1</v>
      </c>
      <c r="BQ55">
        <v>0</v>
      </c>
      <c r="BR55">
        <v>0</v>
      </c>
      <c r="BS55">
        <v>0</v>
      </c>
      <c r="BT55">
        <v>63702.25296749999</v>
      </c>
      <c r="BU55">
        <v>85.853249999999989</v>
      </c>
      <c r="BV55">
        <v>0</v>
      </c>
      <c r="BW55">
        <v>1</v>
      </c>
      <c r="CU55">
        <f>ROUND(AT55*Source!I44*AH55*AL55,2)</f>
        <v>6154.81</v>
      </c>
      <c r="CV55">
        <f>ROUND(Y55*Source!I44,7)</f>
        <v>12.8779875</v>
      </c>
      <c r="CW55">
        <v>0</v>
      </c>
      <c r="CX55">
        <f>ROUND(Y55*Source!I44,7)</f>
        <v>12.8779875</v>
      </c>
      <c r="CY55">
        <f>AD55</f>
        <v>741.99</v>
      </c>
      <c r="CZ55">
        <f>AH55</f>
        <v>741.99</v>
      </c>
      <c r="DA55">
        <f>AL55</f>
        <v>1</v>
      </c>
      <c r="DB55">
        <f>ROUND((ROUND(AT55*CZ55,2)*ROUND(((0.35+1)*1.15),7)),6)</f>
        <v>63702.257624999998</v>
      </c>
      <c r="DC55">
        <f>ROUND((ROUND(AT55*AG55,2)*ROUND(((0.35+1)*1.15),7)),6)</f>
        <v>0</v>
      </c>
      <c r="DD55" t="s">
        <v>3</v>
      </c>
      <c r="DE55" t="s">
        <v>3</v>
      </c>
      <c r="DF55">
        <f t="shared" si="26"/>
        <v>0</v>
      </c>
      <c r="DG55">
        <f t="shared" si="24"/>
        <v>0</v>
      </c>
      <c r="DH55">
        <f t="shared" si="13"/>
        <v>0</v>
      </c>
      <c r="DI55">
        <f t="shared" si="14"/>
        <v>9555.34</v>
      </c>
      <c r="DJ55">
        <f>DI55</f>
        <v>9555.34</v>
      </c>
      <c r="DK55">
        <v>1</v>
      </c>
      <c r="DL55" t="s">
        <v>3</v>
      </c>
      <c r="DM55">
        <v>0</v>
      </c>
      <c r="DN55" t="s">
        <v>3</v>
      </c>
      <c r="DO55">
        <v>0</v>
      </c>
    </row>
    <row r="56" spans="1:119" x14ac:dyDescent="0.2">
      <c r="A56">
        <f>ROW(Source!A44)</f>
        <v>44</v>
      </c>
      <c r="B56">
        <v>82813384</v>
      </c>
      <c r="C56">
        <v>82813550</v>
      </c>
      <c r="D56">
        <v>80960127</v>
      </c>
      <c r="E56">
        <v>118</v>
      </c>
      <c r="F56">
        <v>1</v>
      </c>
      <c r="G56">
        <v>1</v>
      </c>
      <c r="H56">
        <v>1</v>
      </c>
      <c r="I56" t="s">
        <v>302</v>
      </c>
      <c r="J56" t="s">
        <v>3</v>
      </c>
      <c r="K56" t="s">
        <v>303</v>
      </c>
      <c r="L56">
        <v>1191</v>
      </c>
      <c r="N56">
        <v>1013</v>
      </c>
      <c r="O56" t="s">
        <v>288</v>
      </c>
      <c r="P56" t="s">
        <v>288</v>
      </c>
      <c r="Q56">
        <v>1</v>
      </c>
      <c r="W56">
        <v>0</v>
      </c>
      <c r="X56">
        <v>-1417349443</v>
      </c>
      <c r="Y56">
        <f>(AT56*ROUND(((0.35+1)*1.25),7))</f>
        <v>1.7887500000000001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1</v>
      </c>
      <c r="AJ56">
        <v>1</v>
      </c>
      <c r="AK56">
        <v>1</v>
      </c>
      <c r="AL56">
        <v>1</v>
      </c>
      <c r="AM56">
        <v>-2</v>
      </c>
      <c r="AN56">
        <v>0</v>
      </c>
      <c r="AO56">
        <v>0</v>
      </c>
      <c r="AP56">
        <v>1</v>
      </c>
      <c r="AQ56">
        <v>1</v>
      </c>
      <c r="AR56">
        <v>0</v>
      </c>
      <c r="AS56" t="s">
        <v>3</v>
      </c>
      <c r="AT56">
        <v>1.06</v>
      </c>
      <c r="AU56" t="s">
        <v>32</v>
      </c>
      <c r="AV56">
        <v>2</v>
      </c>
      <c r="AW56">
        <v>2</v>
      </c>
      <c r="AX56">
        <v>82813552</v>
      </c>
      <c r="AY56">
        <v>1</v>
      </c>
      <c r="AZ56">
        <v>0</v>
      </c>
      <c r="BA56">
        <v>56</v>
      </c>
      <c r="BB56">
        <v>1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CV56">
        <v>0</v>
      </c>
      <c r="CW56">
        <v>0</v>
      </c>
      <c r="CX56">
        <f>ROUND(Y56*Source!I44,7)</f>
        <v>0.26831250000000001</v>
      </c>
      <c r="CY56">
        <f>AD56</f>
        <v>0</v>
      </c>
      <c r="CZ56">
        <f>AH56</f>
        <v>0</v>
      </c>
      <c r="DA56">
        <f>AL56</f>
        <v>1</v>
      </c>
      <c r="DB56">
        <f>ROUND((ROUND(AT56*CZ56,2)*ROUND(((0.35+1)*1.25),7)),6)</f>
        <v>0</v>
      </c>
      <c r="DC56">
        <f>ROUND((ROUND(AT56*AG56,2)*ROUND(((0.35+1)*1.25),7)),6)</f>
        <v>0</v>
      </c>
      <c r="DD56" t="s">
        <v>3</v>
      </c>
      <c r="DE56" t="s">
        <v>3</v>
      </c>
      <c r="DF56">
        <f t="shared" si="26"/>
        <v>0</v>
      </c>
      <c r="DG56">
        <f t="shared" si="24"/>
        <v>0</v>
      </c>
      <c r="DH56">
        <f t="shared" si="13"/>
        <v>0</v>
      </c>
      <c r="DI56">
        <f t="shared" si="14"/>
        <v>0</v>
      </c>
      <c r="DJ56">
        <f>DI56</f>
        <v>0</v>
      </c>
      <c r="DK56">
        <v>0</v>
      </c>
      <c r="DL56" t="s">
        <v>3</v>
      </c>
      <c r="DM56">
        <v>0</v>
      </c>
      <c r="DN56" t="s">
        <v>3</v>
      </c>
      <c r="DO56">
        <v>0</v>
      </c>
    </row>
    <row r="57" spans="1:119" x14ac:dyDescent="0.2">
      <c r="A57">
        <f>ROW(Source!A44)</f>
        <v>44</v>
      </c>
      <c r="B57">
        <v>82813384</v>
      </c>
      <c r="C57">
        <v>82813550</v>
      </c>
      <c r="D57">
        <v>81086531</v>
      </c>
      <c r="E57">
        <v>1</v>
      </c>
      <c r="F57">
        <v>1</v>
      </c>
      <c r="G57">
        <v>1</v>
      </c>
      <c r="H57">
        <v>2</v>
      </c>
      <c r="I57" t="s">
        <v>304</v>
      </c>
      <c r="J57" t="s">
        <v>305</v>
      </c>
      <c r="K57" t="s">
        <v>306</v>
      </c>
      <c r="L57">
        <v>1368</v>
      </c>
      <c r="N57">
        <v>1011</v>
      </c>
      <c r="O57" t="s">
        <v>292</v>
      </c>
      <c r="P57" t="s">
        <v>292</v>
      </c>
      <c r="Q57">
        <v>1</v>
      </c>
      <c r="W57">
        <v>0</v>
      </c>
      <c r="X57">
        <v>-1073301144</v>
      </c>
      <c r="Y57">
        <f>(AT57*ROUND(((0.35+1)*1.25),7))</f>
        <v>0.20249999999999999</v>
      </c>
      <c r="AA57">
        <v>0</v>
      </c>
      <c r="AB57">
        <v>1036.96</v>
      </c>
      <c r="AC57">
        <v>982.04</v>
      </c>
      <c r="AD57">
        <v>0</v>
      </c>
      <c r="AE57">
        <v>0</v>
      </c>
      <c r="AF57">
        <v>1036.96</v>
      </c>
      <c r="AG57">
        <v>982.04</v>
      </c>
      <c r="AH57">
        <v>0</v>
      </c>
      <c r="AI57">
        <v>1</v>
      </c>
      <c r="AJ57">
        <v>1</v>
      </c>
      <c r="AK57">
        <v>1</v>
      </c>
      <c r="AL57">
        <v>1</v>
      </c>
      <c r="AM57">
        <v>-2</v>
      </c>
      <c r="AN57">
        <v>0</v>
      </c>
      <c r="AO57">
        <v>0</v>
      </c>
      <c r="AP57">
        <v>1</v>
      </c>
      <c r="AQ57">
        <v>1</v>
      </c>
      <c r="AR57">
        <v>0</v>
      </c>
      <c r="AS57" t="s">
        <v>3</v>
      </c>
      <c r="AT57">
        <v>0.12</v>
      </c>
      <c r="AU57" t="s">
        <v>32</v>
      </c>
      <c r="AV57">
        <v>1</v>
      </c>
      <c r="AW57">
        <v>2</v>
      </c>
      <c r="AX57">
        <v>82813553</v>
      </c>
      <c r="AY57">
        <v>1</v>
      </c>
      <c r="AZ57">
        <v>0</v>
      </c>
      <c r="BA57">
        <v>57</v>
      </c>
      <c r="BB57">
        <v>1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124.43519999999999</v>
      </c>
      <c r="BL57">
        <v>117.84479999999999</v>
      </c>
      <c r="BM57">
        <v>0</v>
      </c>
      <c r="BN57">
        <v>0</v>
      </c>
      <c r="BO57">
        <v>0.12</v>
      </c>
      <c r="BP57">
        <v>1</v>
      </c>
      <c r="BQ57">
        <v>0</v>
      </c>
      <c r="BR57">
        <v>209.98440000000002</v>
      </c>
      <c r="BS57">
        <v>198.8631</v>
      </c>
      <c r="BT57">
        <v>0</v>
      </c>
      <c r="BU57">
        <v>0</v>
      </c>
      <c r="BV57">
        <v>0.20250000000000001</v>
      </c>
      <c r="BW57">
        <v>1</v>
      </c>
      <c r="CV57">
        <v>0</v>
      </c>
      <c r="CW57">
        <f>ROUND(Y57*Source!I44*DO57,7)</f>
        <v>3.0374999999999999E-2</v>
      </c>
      <c r="CX57">
        <f>ROUND(Y57*Source!I44,7)</f>
        <v>3.0374999999999999E-2</v>
      </c>
      <c r="CY57">
        <f>AB57</f>
        <v>1036.96</v>
      </c>
      <c r="CZ57">
        <f>AF57</f>
        <v>1036.96</v>
      </c>
      <c r="DA57">
        <f>AJ57</f>
        <v>1</v>
      </c>
      <c r="DB57">
        <f>ROUND((ROUND(AT57*CZ57,2)*ROUND(((0.35+1)*1.25),7)),6)</f>
        <v>209.99250000000001</v>
      </c>
      <c r="DC57">
        <f>ROUND((ROUND(AT57*AG57,2)*ROUND(((0.35+1)*1.25),7)),6)</f>
        <v>198.85499999999999</v>
      </c>
      <c r="DD57" t="s">
        <v>3</v>
      </c>
      <c r="DE57" t="s">
        <v>3</v>
      </c>
      <c r="DF57">
        <f t="shared" si="26"/>
        <v>0</v>
      </c>
      <c r="DG57">
        <f t="shared" si="24"/>
        <v>31.5</v>
      </c>
      <c r="DH57">
        <f t="shared" si="13"/>
        <v>29.83</v>
      </c>
      <c r="DI57">
        <f t="shared" si="14"/>
        <v>0</v>
      </c>
      <c r="DJ57">
        <f>DG57+DH57</f>
        <v>61.33</v>
      </c>
      <c r="DK57">
        <v>1</v>
      </c>
      <c r="DL57" t="s">
        <v>307</v>
      </c>
      <c r="DM57">
        <v>6</v>
      </c>
      <c r="DN57" t="s">
        <v>288</v>
      </c>
      <c r="DO57">
        <v>1</v>
      </c>
    </row>
    <row r="58" spans="1:119" x14ac:dyDescent="0.2">
      <c r="A58">
        <f>ROW(Source!A44)</f>
        <v>44</v>
      </c>
      <c r="B58">
        <v>82813384</v>
      </c>
      <c r="C58">
        <v>82813550</v>
      </c>
      <c r="D58">
        <v>81086585</v>
      </c>
      <c r="E58">
        <v>1</v>
      </c>
      <c r="F58">
        <v>1</v>
      </c>
      <c r="G58">
        <v>1</v>
      </c>
      <c r="H58">
        <v>2</v>
      </c>
      <c r="I58" t="s">
        <v>342</v>
      </c>
      <c r="J58" t="s">
        <v>343</v>
      </c>
      <c r="K58" t="s">
        <v>344</v>
      </c>
      <c r="L58">
        <v>1368</v>
      </c>
      <c r="N58">
        <v>1011</v>
      </c>
      <c r="O58" t="s">
        <v>292</v>
      </c>
      <c r="P58" t="s">
        <v>292</v>
      </c>
      <c r="Q58">
        <v>1</v>
      </c>
      <c r="W58">
        <v>0</v>
      </c>
      <c r="X58">
        <v>-1068589559</v>
      </c>
      <c r="Y58">
        <f>(AT58*ROUND(((0.35+1)*1.25),7))</f>
        <v>0.11812500000000001</v>
      </c>
      <c r="AA58">
        <v>0</v>
      </c>
      <c r="AB58">
        <v>1585.56</v>
      </c>
      <c r="AC58">
        <v>982.04</v>
      </c>
      <c r="AD58">
        <v>0</v>
      </c>
      <c r="AE58">
        <v>0</v>
      </c>
      <c r="AF58">
        <v>1585.56</v>
      </c>
      <c r="AG58">
        <v>982.04</v>
      </c>
      <c r="AH58">
        <v>0</v>
      </c>
      <c r="AI58">
        <v>1</v>
      </c>
      <c r="AJ58">
        <v>1</v>
      </c>
      <c r="AK58">
        <v>1</v>
      </c>
      <c r="AL58">
        <v>1</v>
      </c>
      <c r="AM58">
        <v>-2</v>
      </c>
      <c r="AN58">
        <v>0</v>
      </c>
      <c r="AO58">
        <v>0</v>
      </c>
      <c r="AP58">
        <v>1</v>
      </c>
      <c r="AQ58">
        <v>1</v>
      </c>
      <c r="AR58">
        <v>0</v>
      </c>
      <c r="AS58" t="s">
        <v>3</v>
      </c>
      <c r="AT58">
        <v>7.0000000000000007E-2</v>
      </c>
      <c r="AU58" t="s">
        <v>32</v>
      </c>
      <c r="AV58">
        <v>1</v>
      </c>
      <c r="AW58">
        <v>2</v>
      </c>
      <c r="AX58">
        <v>82813554</v>
      </c>
      <c r="AY58">
        <v>1</v>
      </c>
      <c r="AZ58">
        <v>0</v>
      </c>
      <c r="BA58">
        <v>58</v>
      </c>
      <c r="BB58">
        <v>1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110.98920000000001</v>
      </c>
      <c r="BL58">
        <v>68.742800000000003</v>
      </c>
      <c r="BM58">
        <v>0</v>
      </c>
      <c r="BN58">
        <v>0</v>
      </c>
      <c r="BO58">
        <v>7.0000000000000007E-2</v>
      </c>
      <c r="BP58">
        <v>1</v>
      </c>
      <c r="BQ58">
        <v>0</v>
      </c>
      <c r="BR58">
        <v>187.29427500000003</v>
      </c>
      <c r="BS58">
        <v>116.00347500000002</v>
      </c>
      <c r="BT58">
        <v>0</v>
      </c>
      <c r="BU58">
        <v>0</v>
      </c>
      <c r="BV58">
        <v>0.11812500000000002</v>
      </c>
      <c r="BW58">
        <v>1</v>
      </c>
      <c r="CV58">
        <v>0</v>
      </c>
      <c r="CW58">
        <f>ROUND(Y58*Source!I44*DO58,7)</f>
        <v>1.77188E-2</v>
      </c>
      <c r="CX58">
        <f>ROUND(Y58*Source!I44,7)</f>
        <v>1.77188E-2</v>
      </c>
      <c r="CY58">
        <f>AB58</f>
        <v>1585.56</v>
      </c>
      <c r="CZ58">
        <f>AF58</f>
        <v>1585.56</v>
      </c>
      <c r="DA58">
        <f>AJ58</f>
        <v>1</v>
      </c>
      <c r="DB58">
        <f>ROUND((ROUND(AT58*CZ58,2)*ROUND(((0.35+1)*1.25),7)),6)</f>
        <v>187.295625</v>
      </c>
      <c r="DC58">
        <f>ROUND((ROUND(AT58*AG58,2)*ROUND(((0.35+1)*1.25),7)),6)</f>
        <v>115.99875</v>
      </c>
      <c r="DD58" t="s">
        <v>3</v>
      </c>
      <c r="DE58" t="s">
        <v>3</v>
      </c>
      <c r="DF58">
        <f t="shared" si="26"/>
        <v>0</v>
      </c>
      <c r="DG58">
        <f t="shared" si="24"/>
        <v>28.09</v>
      </c>
      <c r="DH58">
        <f t="shared" si="13"/>
        <v>17.399999999999999</v>
      </c>
      <c r="DI58">
        <f t="shared" si="14"/>
        <v>0</v>
      </c>
      <c r="DJ58">
        <f>DG58+DH58</f>
        <v>45.489999999999995</v>
      </c>
      <c r="DK58">
        <v>1</v>
      </c>
      <c r="DL58" t="s">
        <v>307</v>
      </c>
      <c r="DM58">
        <v>6</v>
      </c>
      <c r="DN58" t="s">
        <v>288</v>
      </c>
      <c r="DO58">
        <v>1</v>
      </c>
    </row>
    <row r="59" spans="1:119" x14ac:dyDescent="0.2">
      <c r="A59">
        <f>ROW(Source!A44)</f>
        <v>44</v>
      </c>
      <c r="B59">
        <v>82813384</v>
      </c>
      <c r="C59">
        <v>82813550</v>
      </c>
      <c r="D59">
        <v>81087487</v>
      </c>
      <c r="E59">
        <v>1</v>
      </c>
      <c r="F59">
        <v>1</v>
      </c>
      <c r="G59">
        <v>1</v>
      </c>
      <c r="H59">
        <v>2</v>
      </c>
      <c r="I59" t="s">
        <v>308</v>
      </c>
      <c r="J59" t="s">
        <v>309</v>
      </c>
      <c r="K59" t="s">
        <v>310</v>
      </c>
      <c r="L59">
        <v>1368</v>
      </c>
      <c r="N59">
        <v>1011</v>
      </c>
      <c r="O59" t="s">
        <v>292</v>
      </c>
      <c r="P59" t="s">
        <v>292</v>
      </c>
      <c r="Q59">
        <v>1</v>
      </c>
      <c r="W59">
        <v>0</v>
      </c>
      <c r="X59">
        <v>-312038840</v>
      </c>
      <c r="Y59">
        <f>(AT59*ROUND(((0.35+1)*1.25),7))</f>
        <v>1.4681249999999999</v>
      </c>
      <c r="AA59">
        <v>0</v>
      </c>
      <c r="AB59">
        <v>544.91999999999996</v>
      </c>
      <c r="AC59">
        <v>731.08</v>
      </c>
      <c r="AD59">
        <v>0</v>
      </c>
      <c r="AE59">
        <v>0</v>
      </c>
      <c r="AF59">
        <v>544.91999999999996</v>
      </c>
      <c r="AG59">
        <v>731.08</v>
      </c>
      <c r="AH59">
        <v>0</v>
      </c>
      <c r="AI59">
        <v>1</v>
      </c>
      <c r="AJ59">
        <v>1</v>
      </c>
      <c r="AK59">
        <v>1</v>
      </c>
      <c r="AL59">
        <v>1</v>
      </c>
      <c r="AM59">
        <v>-2</v>
      </c>
      <c r="AN59">
        <v>0</v>
      </c>
      <c r="AO59">
        <v>0</v>
      </c>
      <c r="AP59">
        <v>1</v>
      </c>
      <c r="AQ59">
        <v>1</v>
      </c>
      <c r="AR59">
        <v>0</v>
      </c>
      <c r="AS59" t="s">
        <v>3</v>
      </c>
      <c r="AT59">
        <v>0.87</v>
      </c>
      <c r="AU59" t="s">
        <v>32</v>
      </c>
      <c r="AV59">
        <v>1</v>
      </c>
      <c r="AW59">
        <v>2</v>
      </c>
      <c r="AX59">
        <v>82813555</v>
      </c>
      <c r="AY59">
        <v>1</v>
      </c>
      <c r="AZ59">
        <v>0</v>
      </c>
      <c r="BA59">
        <v>59</v>
      </c>
      <c r="BB59">
        <v>1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474.08039999999994</v>
      </c>
      <c r="BL59">
        <v>636.03960000000006</v>
      </c>
      <c r="BM59">
        <v>0</v>
      </c>
      <c r="BN59">
        <v>0</v>
      </c>
      <c r="BO59">
        <v>0.87</v>
      </c>
      <c r="BP59">
        <v>1</v>
      </c>
      <c r="BQ59">
        <v>0</v>
      </c>
      <c r="BR59">
        <v>800.01067499999999</v>
      </c>
      <c r="BS59">
        <v>1073.3168250000001</v>
      </c>
      <c r="BT59">
        <v>0</v>
      </c>
      <c r="BU59">
        <v>0</v>
      </c>
      <c r="BV59">
        <v>1.4681250000000001</v>
      </c>
      <c r="BW59">
        <v>1</v>
      </c>
      <c r="CV59">
        <v>0</v>
      </c>
      <c r="CW59">
        <f>ROUND(Y59*Source!I44*DO59,7)</f>
        <v>0.22021879999999999</v>
      </c>
      <c r="CX59">
        <f>ROUND(Y59*Source!I44,7)</f>
        <v>0.22021879999999999</v>
      </c>
      <c r="CY59">
        <f>AB59</f>
        <v>544.91999999999996</v>
      </c>
      <c r="CZ59">
        <f>AF59</f>
        <v>544.91999999999996</v>
      </c>
      <c r="DA59">
        <f>AJ59</f>
        <v>1</v>
      </c>
      <c r="DB59">
        <f>ROUND((ROUND(AT59*CZ59,2)*ROUND(((0.35+1)*1.25),7)),6)</f>
        <v>800.01</v>
      </c>
      <c r="DC59">
        <f>ROUND((ROUND(AT59*AG59,2)*ROUND(((0.35+1)*1.25),7)),6)</f>
        <v>1073.3175000000001</v>
      </c>
      <c r="DD59" t="s">
        <v>3</v>
      </c>
      <c r="DE59" t="s">
        <v>3</v>
      </c>
      <c r="DF59">
        <f t="shared" si="26"/>
        <v>0</v>
      </c>
      <c r="DG59">
        <f t="shared" si="24"/>
        <v>120</v>
      </c>
      <c r="DH59">
        <f t="shared" si="13"/>
        <v>161</v>
      </c>
      <c r="DI59">
        <f t="shared" si="14"/>
        <v>0</v>
      </c>
      <c r="DJ59">
        <f>DG59+DH59</f>
        <v>281</v>
      </c>
      <c r="DK59">
        <v>1</v>
      </c>
      <c r="DL59" t="s">
        <v>311</v>
      </c>
      <c r="DM59">
        <v>4</v>
      </c>
      <c r="DN59" t="s">
        <v>288</v>
      </c>
      <c r="DO59">
        <v>1</v>
      </c>
    </row>
    <row r="60" spans="1:119" x14ac:dyDescent="0.2">
      <c r="A60">
        <f>ROW(Source!A44)</f>
        <v>44</v>
      </c>
      <c r="B60">
        <v>82813384</v>
      </c>
      <c r="C60">
        <v>82813550</v>
      </c>
      <c r="D60">
        <v>81087646</v>
      </c>
      <c r="E60">
        <v>1</v>
      </c>
      <c r="F60">
        <v>1</v>
      </c>
      <c r="G60">
        <v>1</v>
      </c>
      <c r="H60">
        <v>2</v>
      </c>
      <c r="I60" t="s">
        <v>289</v>
      </c>
      <c r="J60" t="s">
        <v>290</v>
      </c>
      <c r="K60" t="s">
        <v>291</v>
      </c>
      <c r="L60">
        <v>1368</v>
      </c>
      <c r="N60">
        <v>1011</v>
      </c>
      <c r="O60" t="s">
        <v>292</v>
      </c>
      <c r="P60" t="s">
        <v>292</v>
      </c>
      <c r="Q60">
        <v>1</v>
      </c>
      <c r="W60">
        <v>0</v>
      </c>
      <c r="X60">
        <v>-536748942</v>
      </c>
      <c r="Y60">
        <f>(AT60*ROUND(((0.35+1)*1.25),7))</f>
        <v>31.117500000000003</v>
      </c>
      <c r="AA60">
        <v>0</v>
      </c>
      <c r="AB60">
        <v>5.35</v>
      </c>
      <c r="AC60">
        <v>0</v>
      </c>
      <c r="AD60">
        <v>0</v>
      </c>
      <c r="AE60">
        <v>0</v>
      </c>
      <c r="AF60">
        <v>4.3499999999999996</v>
      </c>
      <c r="AG60">
        <v>0</v>
      </c>
      <c r="AH60">
        <v>0</v>
      </c>
      <c r="AI60">
        <v>1</v>
      </c>
      <c r="AJ60">
        <v>1.23</v>
      </c>
      <c r="AK60">
        <v>1</v>
      </c>
      <c r="AL60">
        <v>1</v>
      </c>
      <c r="AM60">
        <v>2</v>
      </c>
      <c r="AN60">
        <v>0</v>
      </c>
      <c r="AO60">
        <v>0</v>
      </c>
      <c r="AP60">
        <v>1</v>
      </c>
      <c r="AQ60">
        <v>1</v>
      </c>
      <c r="AR60">
        <v>0</v>
      </c>
      <c r="AS60" t="s">
        <v>3</v>
      </c>
      <c r="AT60">
        <v>18.440000000000001</v>
      </c>
      <c r="AU60" t="s">
        <v>32</v>
      </c>
      <c r="AV60">
        <v>1</v>
      </c>
      <c r="AW60">
        <v>2</v>
      </c>
      <c r="AX60">
        <v>82813556</v>
      </c>
      <c r="AY60">
        <v>1</v>
      </c>
      <c r="AZ60">
        <v>0</v>
      </c>
      <c r="BA60">
        <v>60</v>
      </c>
      <c r="BB60">
        <v>1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80.213999999999999</v>
      </c>
      <c r="BL60">
        <v>0</v>
      </c>
      <c r="BM60">
        <v>0</v>
      </c>
      <c r="BN60">
        <v>0</v>
      </c>
      <c r="BO60">
        <v>0</v>
      </c>
      <c r="BP60">
        <v>1</v>
      </c>
      <c r="BQ60">
        <v>0</v>
      </c>
      <c r="BR60">
        <v>135.36112500000002</v>
      </c>
      <c r="BS60">
        <v>0</v>
      </c>
      <c r="BT60">
        <v>0</v>
      </c>
      <c r="BU60">
        <v>0</v>
      </c>
      <c r="BV60">
        <v>0</v>
      </c>
      <c r="BW60">
        <v>1</v>
      </c>
      <c r="CV60">
        <v>0</v>
      </c>
      <c r="CW60">
        <f>ROUND(Y60*Source!I44*DO60,7)</f>
        <v>0</v>
      </c>
      <c r="CX60">
        <f>ROUND(Y60*Source!I44,7)</f>
        <v>4.6676250000000001</v>
      </c>
      <c r="CY60">
        <f>AB60</f>
        <v>5.35</v>
      </c>
      <c r="CZ60">
        <f>AF60</f>
        <v>4.3499999999999996</v>
      </c>
      <c r="DA60">
        <f>AJ60</f>
        <v>1.23</v>
      </c>
      <c r="DB60">
        <f>ROUND((ROUND(AT60*CZ60,2)*ROUND(((0.35+1)*1.25),7)),6)</f>
        <v>135.354375</v>
      </c>
      <c r="DC60">
        <f>ROUND((ROUND(AT60*AG60,2)*ROUND(((0.35+1)*1.25),7)),6)</f>
        <v>0</v>
      </c>
      <c r="DD60" t="s">
        <v>3</v>
      </c>
      <c r="DE60" t="s">
        <v>3</v>
      </c>
      <c r="DF60">
        <f t="shared" si="26"/>
        <v>0</v>
      </c>
      <c r="DG60">
        <f>ROUND(ROUND(AF60*AJ60,2)*CX60,2)</f>
        <v>24.97</v>
      </c>
      <c r="DH60">
        <f t="shared" si="13"/>
        <v>0</v>
      </c>
      <c r="DI60">
        <f t="shared" si="14"/>
        <v>0</v>
      </c>
      <c r="DJ60">
        <f>DG60+DH60</f>
        <v>24.97</v>
      </c>
      <c r="DK60">
        <v>0</v>
      </c>
      <c r="DL60" t="s">
        <v>3</v>
      </c>
      <c r="DM60">
        <v>0</v>
      </c>
      <c r="DN60" t="s">
        <v>3</v>
      </c>
      <c r="DO60">
        <v>0</v>
      </c>
    </row>
    <row r="61" spans="1:119" x14ac:dyDescent="0.2">
      <c r="A61">
        <f>ROW(Source!A44)</f>
        <v>44</v>
      </c>
      <c r="B61">
        <v>82813384</v>
      </c>
      <c r="C61">
        <v>82813550</v>
      </c>
      <c r="D61">
        <v>81034712</v>
      </c>
      <c r="E61">
        <v>1</v>
      </c>
      <c r="F61">
        <v>1</v>
      </c>
      <c r="G61">
        <v>1</v>
      </c>
      <c r="H61">
        <v>3</v>
      </c>
      <c r="I61" t="s">
        <v>293</v>
      </c>
      <c r="J61" t="s">
        <v>294</v>
      </c>
      <c r="K61" t="s">
        <v>295</v>
      </c>
      <c r="L61">
        <v>1339</v>
      </c>
      <c r="N61">
        <v>1007</v>
      </c>
      <c r="O61" t="s">
        <v>296</v>
      </c>
      <c r="P61" t="s">
        <v>296</v>
      </c>
      <c r="Q61">
        <v>1</v>
      </c>
      <c r="W61">
        <v>0</v>
      </c>
      <c r="X61">
        <v>58756862</v>
      </c>
      <c r="Y61">
        <f t="shared" ref="Y61:Y96" si="27">AT61</f>
        <v>0.32</v>
      </c>
      <c r="AA61">
        <v>544.66</v>
      </c>
      <c r="AB61">
        <v>0</v>
      </c>
      <c r="AC61">
        <v>0</v>
      </c>
      <c r="AD61">
        <v>0</v>
      </c>
      <c r="AE61">
        <v>340.41</v>
      </c>
      <c r="AF61">
        <v>0</v>
      </c>
      <c r="AG61">
        <v>0</v>
      </c>
      <c r="AH61">
        <v>0</v>
      </c>
      <c r="AI61">
        <v>1.6</v>
      </c>
      <c r="AJ61">
        <v>1</v>
      </c>
      <c r="AK61">
        <v>1</v>
      </c>
      <c r="AL61">
        <v>1</v>
      </c>
      <c r="AM61">
        <v>2</v>
      </c>
      <c r="AN61">
        <v>0</v>
      </c>
      <c r="AO61">
        <v>0</v>
      </c>
      <c r="AP61">
        <v>1</v>
      </c>
      <c r="AQ61">
        <v>1</v>
      </c>
      <c r="AR61">
        <v>0</v>
      </c>
      <c r="AS61" t="s">
        <v>3</v>
      </c>
      <c r="AT61">
        <v>0.32</v>
      </c>
      <c r="AU61" t="s">
        <v>3</v>
      </c>
      <c r="AV61">
        <v>0</v>
      </c>
      <c r="AW61">
        <v>2</v>
      </c>
      <c r="AX61">
        <v>82813557</v>
      </c>
      <c r="AY61">
        <v>1</v>
      </c>
      <c r="AZ61">
        <v>0</v>
      </c>
      <c r="BA61">
        <v>61</v>
      </c>
      <c r="BB61">
        <v>1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108.9312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</v>
      </c>
      <c r="BQ61">
        <v>108.9312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1</v>
      </c>
      <c r="CV61">
        <v>0</v>
      </c>
      <c r="CW61">
        <v>0</v>
      </c>
      <c r="CX61">
        <f>ROUND(Y61*Source!I44,7)</f>
        <v>4.8000000000000001E-2</v>
      </c>
      <c r="CY61">
        <f t="shared" ref="CY61:CY71" si="28">AA61</f>
        <v>544.66</v>
      </c>
      <c r="CZ61">
        <f t="shared" ref="CZ61:CZ71" si="29">AE61</f>
        <v>340.41</v>
      </c>
      <c r="DA61">
        <f t="shared" ref="DA61:DA71" si="30">AI61</f>
        <v>1.6</v>
      </c>
      <c r="DB61">
        <f t="shared" ref="DB61:DB96" si="31">ROUND(ROUND(AT61*CZ61,2),6)</f>
        <v>108.93</v>
      </c>
      <c r="DC61">
        <f t="shared" ref="DC61:DC96" si="32">ROUND(ROUND(AT61*AG61,2),6)</f>
        <v>0</v>
      </c>
      <c r="DD61" t="s">
        <v>3</v>
      </c>
      <c r="DE61" t="s">
        <v>3</v>
      </c>
      <c r="DF61">
        <f t="shared" ref="DF61:DF67" si="33">ROUND(ROUND(AE61*AI61,2)*CX61,2)</f>
        <v>26.14</v>
      </c>
      <c r="DG61">
        <f t="shared" ref="DG61:DG76" si="34">ROUND(ROUND(AF61,2)*CX61,2)</f>
        <v>0</v>
      </c>
      <c r="DH61">
        <f t="shared" si="13"/>
        <v>0</v>
      </c>
      <c r="DI61">
        <f t="shared" si="14"/>
        <v>0</v>
      </c>
      <c r="DJ61">
        <f t="shared" ref="DJ61:DJ71" si="35">DF61</f>
        <v>26.14</v>
      </c>
      <c r="DK61">
        <v>0</v>
      </c>
      <c r="DL61" t="s">
        <v>3</v>
      </c>
      <c r="DM61">
        <v>0</v>
      </c>
      <c r="DN61" t="s">
        <v>3</v>
      </c>
      <c r="DO61">
        <v>0</v>
      </c>
    </row>
    <row r="62" spans="1:119" x14ac:dyDescent="0.2">
      <c r="A62">
        <f>ROW(Source!A44)</f>
        <v>44</v>
      </c>
      <c r="B62">
        <v>82813384</v>
      </c>
      <c r="C62">
        <v>82813550</v>
      </c>
      <c r="D62">
        <v>81034728</v>
      </c>
      <c r="E62">
        <v>1</v>
      </c>
      <c r="F62">
        <v>1</v>
      </c>
      <c r="G62">
        <v>1</v>
      </c>
      <c r="H62">
        <v>3</v>
      </c>
      <c r="I62" t="s">
        <v>297</v>
      </c>
      <c r="J62" t="s">
        <v>298</v>
      </c>
      <c r="K62" t="s">
        <v>299</v>
      </c>
      <c r="L62">
        <v>1339</v>
      </c>
      <c r="N62">
        <v>1007</v>
      </c>
      <c r="O62" t="s">
        <v>296</v>
      </c>
      <c r="P62" t="s">
        <v>296</v>
      </c>
      <c r="Q62">
        <v>1</v>
      </c>
      <c r="W62">
        <v>0</v>
      </c>
      <c r="X62">
        <v>1531571680</v>
      </c>
      <c r="Y62">
        <f t="shared" si="27"/>
        <v>0.35</v>
      </c>
      <c r="AA62">
        <v>98.59</v>
      </c>
      <c r="AB62">
        <v>0</v>
      </c>
      <c r="AC62">
        <v>0</v>
      </c>
      <c r="AD62">
        <v>0</v>
      </c>
      <c r="AE62">
        <v>114.64</v>
      </c>
      <c r="AF62">
        <v>0</v>
      </c>
      <c r="AG62">
        <v>0</v>
      </c>
      <c r="AH62">
        <v>0</v>
      </c>
      <c r="AI62">
        <v>0.86</v>
      </c>
      <c r="AJ62">
        <v>1</v>
      </c>
      <c r="AK62">
        <v>1</v>
      </c>
      <c r="AL62">
        <v>1</v>
      </c>
      <c r="AM62">
        <v>2</v>
      </c>
      <c r="AN62">
        <v>0</v>
      </c>
      <c r="AO62">
        <v>0</v>
      </c>
      <c r="AP62">
        <v>1</v>
      </c>
      <c r="AQ62">
        <v>1</v>
      </c>
      <c r="AR62">
        <v>0</v>
      </c>
      <c r="AS62" t="s">
        <v>3</v>
      </c>
      <c r="AT62">
        <v>0.35</v>
      </c>
      <c r="AU62" t="s">
        <v>3</v>
      </c>
      <c r="AV62">
        <v>0</v>
      </c>
      <c r="AW62">
        <v>2</v>
      </c>
      <c r="AX62">
        <v>82813558</v>
      </c>
      <c r="AY62">
        <v>1</v>
      </c>
      <c r="AZ62">
        <v>0</v>
      </c>
      <c r="BA62">
        <v>62</v>
      </c>
      <c r="BB62">
        <v>1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40.123999999999995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1</v>
      </c>
      <c r="BQ62">
        <v>40.123999999999995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1</v>
      </c>
      <c r="CV62">
        <v>0</v>
      </c>
      <c r="CW62">
        <v>0</v>
      </c>
      <c r="CX62">
        <f>ROUND(Y62*Source!I44,7)</f>
        <v>5.2499999999999998E-2</v>
      </c>
      <c r="CY62">
        <f t="shared" si="28"/>
        <v>98.59</v>
      </c>
      <c r="CZ62">
        <f t="shared" si="29"/>
        <v>114.64</v>
      </c>
      <c r="DA62">
        <f t="shared" si="30"/>
        <v>0.86</v>
      </c>
      <c r="DB62">
        <f t="shared" si="31"/>
        <v>40.119999999999997</v>
      </c>
      <c r="DC62">
        <f t="shared" si="32"/>
        <v>0</v>
      </c>
      <c r="DD62" t="s">
        <v>3</v>
      </c>
      <c r="DE62" t="s">
        <v>3</v>
      </c>
      <c r="DF62">
        <f t="shared" si="33"/>
        <v>5.18</v>
      </c>
      <c r="DG62">
        <f t="shared" si="34"/>
        <v>0</v>
      </c>
      <c r="DH62">
        <f t="shared" si="13"/>
        <v>0</v>
      </c>
      <c r="DI62">
        <f t="shared" si="14"/>
        <v>0</v>
      </c>
      <c r="DJ62">
        <f t="shared" si="35"/>
        <v>5.18</v>
      </c>
      <c r="DK62">
        <v>0</v>
      </c>
      <c r="DL62" t="s">
        <v>3</v>
      </c>
      <c r="DM62">
        <v>0</v>
      </c>
      <c r="DN62" t="s">
        <v>3</v>
      </c>
      <c r="DO62">
        <v>0</v>
      </c>
    </row>
    <row r="63" spans="1:119" x14ac:dyDescent="0.2">
      <c r="A63">
        <f>ROW(Source!A44)</f>
        <v>44</v>
      </c>
      <c r="B63">
        <v>82813384</v>
      </c>
      <c r="C63">
        <v>82813550</v>
      </c>
      <c r="D63">
        <v>81036692</v>
      </c>
      <c r="E63">
        <v>1</v>
      </c>
      <c r="F63">
        <v>1</v>
      </c>
      <c r="G63">
        <v>1</v>
      </c>
      <c r="H63">
        <v>3</v>
      </c>
      <c r="I63" t="s">
        <v>339</v>
      </c>
      <c r="J63" t="s">
        <v>340</v>
      </c>
      <c r="K63" t="s">
        <v>341</v>
      </c>
      <c r="L63">
        <v>1339</v>
      </c>
      <c r="N63">
        <v>1007</v>
      </c>
      <c r="O63" t="s">
        <v>296</v>
      </c>
      <c r="P63" t="s">
        <v>296</v>
      </c>
      <c r="Q63">
        <v>1</v>
      </c>
      <c r="W63">
        <v>0</v>
      </c>
      <c r="X63">
        <v>727623859</v>
      </c>
      <c r="Y63">
        <f t="shared" si="27"/>
        <v>2.75</v>
      </c>
      <c r="AA63">
        <v>54.64</v>
      </c>
      <c r="AB63">
        <v>0</v>
      </c>
      <c r="AC63">
        <v>0</v>
      </c>
      <c r="AD63">
        <v>0</v>
      </c>
      <c r="AE63">
        <v>35.71</v>
      </c>
      <c r="AF63">
        <v>0</v>
      </c>
      <c r="AG63">
        <v>0</v>
      </c>
      <c r="AH63">
        <v>0</v>
      </c>
      <c r="AI63">
        <v>1.53</v>
      </c>
      <c r="AJ63">
        <v>1</v>
      </c>
      <c r="AK63">
        <v>1</v>
      </c>
      <c r="AL63">
        <v>1</v>
      </c>
      <c r="AM63">
        <v>2</v>
      </c>
      <c r="AN63">
        <v>0</v>
      </c>
      <c r="AO63">
        <v>0</v>
      </c>
      <c r="AP63">
        <v>1</v>
      </c>
      <c r="AQ63">
        <v>1</v>
      </c>
      <c r="AR63">
        <v>0</v>
      </c>
      <c r="AS63" t="s">
        <v>3</v>
      </c>
      <c r="AT63">
        <v>2.75</v>
      </c>
      <c r="AU63" t="s">
        <v>3</v>
      </c>
      <c r="AV63">
        <v>0</v>
      </c>
      <c r="AW63">
        <v>2</v>
      </c>
      <c r="AX63">
        <v>82813559</v>
      </c>
      <c r="AY63">
        <v>1</v>
      </c>
      <c r="AZ63">
        <v>0</v>
      </c>
      <c r="BA63">
        <v>63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98.202500000000001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1</v>
      </c>
      <c r="BQ63">
        <v>98.202500000000001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1</v>
      </c>
      <c r="CV63">
        <v>0</v>
      </c>
      <c r="CW63">
        <v>0</v>
      </c>
      <c r="CX63">
        <f>ROUND(Y63*Source!I44,7)</f>
        <v>0.41249999999999998</v>
      </c>
      <c r="CY63">
        <f t="shared" si="28"/>
        <v>54.64</v>
      </c>
      <c r="CZ63">
        <f t="shared" si="29"/>
        <v>35.71</v>
      </c>
      <c r="DA63">
        <f t="shared" si="30"/>
        <v>1.53</v>
      </c>
      <c r="DB63">
        <f t="shared" si="31"/>
        <v>98.2</v>
      </c>
      <c r="DC63">
        <f t="shared" si="32"/>
        <v>0</v>
      </c>
      <c r="DD63" t="s">
        <v>3</v>
      </c>
      <c r="DE63" t="s">
        <v>3</v>
      </c>
      <c r="DF63">
        <f t="shared" si="33"/>
        <v>22.54</v>
      </c>
      <c r="DG63">
        <f t="shared" si="34"/>
        <v>0</v>
      </c>
      <c r="DH63">
        <f t="shared" si="13"/>
        <v>0</v>
      </c>
      <c r="DI63">
        <f t="shared" si="14"/>
        <v>0</v>
      </c>
      <c r="DJ63">
        <f t="shared" si="35"/>
        <v>22.54</v>
      </c>
      <c r="DK63">
        <v>0</v>
      </c>
      <c r="DL63" t="s">
        <v>3</v>
      </c>
      <c r="DM63">
        <v>0</v>
      </c>
      <c r="DN63" t="s">
        <v>3</v>
      </c>
      <c r="DO63">
        <v>0</v>
      </c>
    </row>
    <row r="64" spans="1:119" x14ac:dyDescent="0.2">
      <c r="A64">
        <f>ROW(Source!A44)</f>
        <v>44</v>
      </c>
      <c r="B64">
        <v>82813384</v>
      </c>
      <c r="C64">
        <v>82813550</v>
      </c>
      <c r="D64">
        <v>81037319</v>
      </c>
      <c r="E64">
        <v>1</v>
      </c>
      <c r="F64">
        <v>1</v>
      </c>
      <c r="G64">
        <v>1</v>
      </c>
      <c r="H64">
        <v>3</v>
      </c>
      <c r="I64" t="s">
        <v>351</v>
      </c>
      <c r="J64" t="s">
        <v>352</v>
      </c>
      <c r="K64" t="s">
        <v>353</v>
      </c>
      <c r="L64">
        <v>1348</v>
      </c>
      <c r="N64">
        <v>1009</v>
      </c>
      <c r="O64" t="s">
        <v>59</v>
      </c>
      <c r="P64" t="s">
        <v>59</v>
      </c>
      <c r="Q64">
        <v>1000</v>
      </c>
      <c r="W64">
        <v>0</v>
      </c>
      <c r="X64">
        <v>-1103083935</v>
      </c>
      <c r="Y64">
        <f t="shared" si="27"/>
        <v>2.0000000000000001E-4</v>
      </c>
      <c r="AA64">
        <v>109929.65</v>
      </c>
      <c r="AB64">
        <v>0</v>
      </c>
      <c r="AC64">
        <v>0</v>
      </c>
      <c r="AD64">
        <v>0</v>
      </c>
      <c r="AE64">
        <v>97282.880000000005</v>
      </c>
      <c r="AF64">
        <v>0</v>
      </c>
      <c r="AG64">
        <v>0</v>
      </c>
      <c r="AH64">
        <v>0</v>
      </c>
      <c r="AI64">
        <v>1.1299999999999999</v>
      </c>
      <c r="AJ64">
        <v>1</v>
      </c>
      <c r="AK64">
        <v>1</v>
      </c>
      <c r="AL64">
        <v>1</v>
      </c>
      <c r="AM64">
        <v>2</v>
      </c>
      <c r="AN64">
        <v>0</v>
      </c>
      <c r="AO64">
        <v>0</v>
      </c>
      <c r="AP64">
        <v>1</v>
      </c>
      <c r="AQ64">
        <v>1</v>
      </c>
      <c r="AR64">
        <v>0</v>
      </c>
      <c r="AS64" t="s">
        <v>3</v>
      </c>
      <c r="AT64">
        <v>2.0000000000000001E-4</v>
      </c>
      <c r="AU64" t="s">
        <v>3</v>
      </c>
      <c r="AV64">
        <v>0</v>
      </c>
      <c r="AW64">
        <v>2</v>
      </c>
      <c r="AX64">
        <v>82813560</v>
      </c>
      <c r="AY64">
        <v>1</v>
      </c>
      <c r="AZ64">
        <v>0</v>
      </c>
      <c r="BA64">
        <v>64</v>
      </c>
      <c r="BB64">
        <v>1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19.456576000000002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1</v>
      </c>
      <c r="BQ64">
        <v>19.456576000000002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1</v>
      </c>
      <c r="CV64">
        <v>0</v>
      </c>
      <c r="CW64">
        <v>0</v>
      </c>
      <c r="CX64">
        <f>ROUND(Y64*Source!I44,7)</f>
        <v>3.0000000000000001E-5</v>
      </c>
      <c r="CY64">
        <f t="shared" si="28"/>
        <v>109929.65</v>
      </c>
      <c r="CZ64">
        <f t="shared" si="29"/>
        <v>97282.880000000005</v>
      </c>
      <c r="DA64">
        <f t="shared" si="30"/>
        <v>1.1299999999999999</v>
      </c>
      <c r="DB64">
        <f t="shared" si="31"/>
        <v>19.46</v>
      </c>
      <c r="DC64">
        <f t="shared" si="32"/>
        <v>0</v>
      </c>
      <c r="DD64" t="s">
        <v>3</v>
      </c>
      <c r="DE64" t="s">
        <v>3</v>
      </c>
      <c r="DF64">
        <f t="shared" si="33"/>
        <v>3.3</v>
      </c>
      <c r="DG64">
        <f t="shared" si="34"/>
        <v>0</v>
      </c>
      <c r="DH64">
        <f t="shared" si="13"/>
        <v>0</v>
      </c>
      <c r="DI64">
        <f t="shared" si="14"/>
        <v>0</v>
      </c>
      <c r="DJ64">
        <f t="shared" si="35"/>
        <v>3.3</v>
      </c>
      <c r="DK64">
        <v>0</v>
      </c>
      <c r="DL64" t="s">
        <v>3</v>
      </c>
      <c r="DM64">
        <v>0</v>
      </c>
      <c r="DN64" t="s">
        <v>3</v>
      </c>
      <c r="DO64">
        <v>0</v>
      </c>
    </row>
    <row r="65" spans="1:119" x14ac:dyDescent="0.2">
      <c r="A65">
        <f>ROW(Source!A44)</f>
        <v>44</v>
      </c>
      <c r="B65">
        <v>82813384</v>
      </c>
      <c r="C65">
        <v>82813550</v>
      </c>
      <c r="D65">
        <v>81040064</v>
      </c>
      <c r="E65">
        <v>1</v>
      </c>
      <c r="F65">
        <v>1</v>
      </c>
      <c r="G65">
        <v>1</v>
      </c>
      <c r="H65">
        <v>3</v>
      </c>
      <c r="I65" t="s">
        <v>354</v>
      </c>
      <c r="J65" t="s">
        <v>355</v>
      </c>
      <c r="K65" t="s">
        <v>356</v>
      </c>
      <c r="L65">
        <v>1346</v>
      </c>
      <c r="N65">
        <v>1009</v>
      </c>
      <c r="O65" t="s">
        <v>93</v>
      </c>
      <c r="P65" t="s">
        <v>93</v>
      </c>
      <c r="Q65">
        <v>1</v>
      </c>
      <c r="W65">
        <v>0</v>
      </c>
      <c r="X65">
        <v>1251286720</v>
      </c>
      <c r="Y65">
        <f t="shared" si="27"/>
        <v>9.9000000000000008E-3</v>
      </c>
      <c r="AA65">
        <v>87.93</v>
      </c>
      <c r="AB65">
        <v>0</v>
      </c>
      <c r="AC65">
        <v>0</v>
      </c>
      <c r="AD65">
        <v>0</v>
      </c>
      <c r="AE65">
        <v>59.41</v>
      </c>
      <c r="AF65">
        <v>0</v>
      </c>
      <c r="AG65">
        <v>0</v>
      </c>
      <c r="AH65">
        <v>0</v>
      </c>
      <c r="AI65">
        <v>1.48</v>
      </c>
      <c r="AJ65">
        <v>1</v>
      </c>
      <c r="AK65">
        <v>1</v>
      </c>
      <c r="AL65">
        <v>1</v>
      </c>
      <c r="AM65">
        <v>2</v>
      </c>
      <c r="AN65">
        <v>0</v>
      </c>
      <c r="AO65">
        <v>0</v>
      </c>
      <c r="AP65">
        <v>1</v>
      </c>
      <c r="AQ65">
        <v>1</v>
      </c>
      <c r="AR65">
        <v>0</v>
      </c>
      <c r="AS65" t="s">
        <v>3</v>
      </c>
      <c r="AT65">
        <v>9.9000000000000008E-3</v>
      </c>
      <c r="AU65" t="s">
        <v>3</v>
      </c>
      <c r="AV65">
        <v>0</v>
      </c>
      <c r="AW65">
        <v>2</v>
      </c>
      <c r="AX65">
        <v>82813561</v>
      </c>
      <c r="AY65">
        <v>1</v>
      </c>
      <c r="AZ65">
        <v>0</v>
      </c>
      <c r="BA65">
        <v>65</v>
      </c>
      <c r="BB65">
        <v>1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0.58815899999999999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1</v>
      </c>
      <c r="BQ65">
        <v>0.58815899999999999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1</v>
      </c>
      <c r="CV65">
        <v>0</v>
      </c>
      <c r="CW65">
        <v>0</v>
      </c>
      <c r="CX65">
        <f>ROUND(Y65*Source!I44,7)</f>
        <v>1.485E-3</v>
      </c>
      <c r="CY65">
        <f t="shared" si="28"/>
        <v>87.93</v>
      </c>
      <c r="CZ65">
        <f t="shared" si="29"/>
        <v>59.41</v>
      </c>
      <c r="DA65">
        <f t="shared" si="30"/>
        <v>1.48</v>
      </c>
      <c r="DB65">
        <f t="shared" si="31"/>
        <v>0.59</v>
      </c>
      <c r="DC65">
        <f t="shared" si="32"/>
        <v>0</v>
      </c>
      <c r="DD65" t="s">
        <v>3</v>
      </c>
      <c r="DE65" t="s">
        <v>3</v>
      </c>
      <c r="DF65">
        <f t="shared" si="33"/>
        <v>0.13</v>
      </c>
      <c r="DG65">
        <f t="shared" si="34"/>
        <v>0</v>
      </c>
      <c r="DH65">
        <f t="shared" ref="DH65:DH96" si="36">ROUND(ROUND(AG65,2)*CX65,2)</f>
        <v>0</v>
      </c>
      <c r="DI65">
        <f t="shared" ref="DI65:DI96" si="37">ROUND(ROUND(AH65,2)*CX65,2)</f>
        <v>0</v>
      </c>
      <c r="DJ65">
        <f t="shared" si="35"/>
        <v>0.13</v>
      </c>
      <c r="DK65">
        <v>0</v>
      </c>
      <c r="DL65" t="s">
        <v>3</v>
      </c>
      <c r="DM65">
        <v>0</v>
      </c>
      <c r="DN65" t="s">
        <v>3</v>
      </c>
      <c r="DO65">
        <v>0</v>
      </c>
    </row>
    <row r="66" spans="1:119" x14ac:dyDescent="0.2">
      <c r="A66">
        <f>ROW(Source!A44)</f>
        <v>44</v>
      </c>
      <c r="B66">
        <v>82813384</v>
      </c>
      <c r="C66">
        <v>82813550</v>
      </c>
      <c r="D66">
        <v>81040652</v>
      </c>
      <c r="E66">
        <v>1</v>
      </c>
      <c r="F66">
        <v>1</v>
      </c>
      <c r="G66">
        <v>1</v>
      </c>
      <c r="H66">
        <v>3</v>
      </c>
      <c r="I66" t="s">
        <v>365</v>
      </c>
      <c r="J66" t="s">
        <v>366</v>
      </c>
      <c r="K66" t="s">
        <v>367</v>
      </c>
      <c r="L66">
        <v>1339</v>
      </c>
      <c r="N66">
        <v>1007</v>
      </c>
      <c r="O66" t="s">
        <v>296</v>
      </c>
      <c r="P66" t="s">
        <v>296</v>
      </c>
      <c r="Q66">
        <v>1</v>
      </c>
      <c r="W66">
        <v>0</v>
      </c>
      <c r="X66">
        <v>13638091</v>
      </c>
      <c r="Y66">
        <f t="shared" si="27"/>
        <v>8.0000000000000002E-3</v>
      </c>
      <c r="AA66">
        <v>5647.07</v>
      </c>
      <c r="AB66">
        <v>0</v>
      </c>
      <c r="AC66">
        <v>0</v>
      </c>
      <c r="AD66">
        <v>0</v>
      </c>
      <c r="AE66">
        <v>4033.62</v>
      </c>
      <c r="AF66">
        <v>0</v>
      </c>
      <c r="AG66">
        <v>0</v>
      </c>
      <c r="AH66">
        <v>0</v>
      </c>
      <c r="AI66">
        <v>1.4</v>
      </c>
      <c r="AJ66">
        <v>1</v>
      </c>
      <c r="AK66">
        <v>1</v>
      </c>
      <c r="AL66">
        <v>1</v>
      </c>
      <c r="AM66">
        <v>2</v>
      </c>
      <c r="AN66">
        <v>0</v>
      </c>
      <c r="AO66">
        <v>0</v>
      </c>
      <c r="AP66">
        <v>1</v>
      </c>
      <c r="AQ66">
        <v>1</v>
      </c>
      <c r="AR66">
        <v>0</v>
      </c>
      <c r="AS66" t="s">
        <v>3</v>
      </c>
      <c r="AT66">
        <v>8.0000000000000002E-3</v>
      </c>
      <c r="AU66" t="s">
        <v>3</v>
      </c>
      <c r="AV66">
        <v>0</v>
      </c>
      <c r="AW66">
        <v>2</v>
      </c>
      <c r="AX66">
        <v>82813562</v>
      </c>
      <c r="AY66">
        <v>1</v>
      </c>
      <c r="AZ66">
        <v>0</v>
      </c>
      <c r="BA66">
        <v>66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32.26896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1</v>
      </c>
      <c r="BQ66">
        <v>32.26896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1</v>
      </c>
      <c r="CV66">
        <v>0</v>
      </c>
      <c r="CW66">
        <v>0</v>
      </c>
      <c r="CX66">
        <f>ROUND(Y66*Source!I44,7)</f>
        <v>1.1999999999999999E-3</v>
      </c>
      <c r="CY66">
        <f t="shared" si="28"/>
        <v>5647.07</v>
      </c>
      <c r="CZ66">
        <f t="shared" si="29"/>
        <v>4033.62</v>
      </c>
      <c r="DA66">
        <f t="shared" si="30"/>
        <v>1.4</v>
      </c>
      <c r="DB66">
        <f t="shared" si="31"/>
        <v>32.270000000000003</v>
      </c>
      <c r="DC66">
        <f t="shared" si="32"/>
        <v>0</v>
      </c>
      <c r="DD66" t="s">
        <v>3</v>
      </c>
      <c r="DE66" t="s">
        <v>3</v>
      </c>
      <c r="DF66">
        <f t="shared" si="33"/>
        <v>6.78</v>
      </c>
      <c r="DG66">
        <f t="shared" si="34"/>
        <v>0</v>
      </c>
      <c r="DH66">
        <f t="shared" si="36"/>
        <v>0</v>
      </c>
      <c r="DI66">
        <f t="shared" si="37"/>
        <v>0</v>
      </c>
      <c r="DJ66">
        <f t="shared" si="35"/>
        <v>6.78</v>
      </c>
      <c r="DK66">
        <v>0</v>
      </c>
      <c r="DL66" t="s">
        <v>3</v>
      </c>
      <c r="DM66">
        <v>0</v>
      </c>
      <c r="DN66" t="s">
        <v>3</v>
      </c>
      <c r="DO66">
        <v>0</v>
      </c>
    </row>
    <row r="67" spans="1:119" x14ac:dyDescent="0.2">
      <c r="A67">
        <f>ROW(Source!A44)</f>
        <v>44</v>
      </c>
      <c r="B67">
        <v>82813384</v>
      </c>
      <c r="C67">
        <v>82813550</v>
      </c>
      <c r="D67">
        <v>81043331</v>
      </c>
      <c r="E67">
        <v>1</v>
      </c>
      <c r="F67">
        <v>1</v>
      </c>
      <c r="G67">
        <v>1</v>
      </c>
      <c r="H67">
        <v>3</v>
      </c>
      <c r="I67" t="s">
        <v>107</v>
      </c>
      <c r="J67" t="s">
        <v>110</v>
      </c>
      <c r="K67" t="s">
        <v>108</v>
      </c>
      <c r="L67">
        <v>1425</v>
      </c>
      <c r="N67">
        <v>1013</v>
      </c>
      <c r="O67" t="s">
        <v>109</v>
      </c>
      <c r="P67" t="s">
        <v>109</v>
      </c>
      <c r="Q67">
        <v>1</v>
      </c>
      <c r="W67">
        <v>0</v>
      </c>
      <c r="X67">
        <v>1697395067</v>
      </c>
      <c r="Y67">
        <f t="shared" si="27"/>
        <v>0.3333333</v>
      </c>
      <c r="AA67">
        <v>987.99</v>
      </c>
      <c r="AB67">
        <v>0</v>
      </c>
      <c r="AC67">
        <v>0</v>
      </c>
      <c r="AD67">
        <v>0</v>
      </c>
      <c r="AE67">
        <v>658.66</v>
      </c>
      <c r="AF67">
        <v>0</v>
      </c>
      <c r="AG67">
        <v>0</v>
      </c>
      <c r="AH67">
        <v>0</v>
      </c>
      <c r="AI67">
        <v>1.5</v>
      </c>
      <c r="AJ67">
        <v>1</v>
      </c>
      <c r="AK67">
        <v>1</v>
      </c>
      <c r="AL67">
        <v>1</v>
      </c>
      <c r="AM67">
        <v>0</v>
      </c>
      <c r="AN67">
        <v>0</v>
      </c>
      <c r="AO67">
        <v>0</v>
      </c>
      <c r="AP67">
        <v>1</v>
      </c>
      <c r="AQ67">
        <v>0</v>
      </c>
      <c r="AR67">
        <v>0</v>
      </c>
      <c r="AS67" t="s">
        <v>3</v>
      </c>
      <c r="AT67">
        <v>0.3333333</v>
      </c>
      <c r="AU67" t="s">
        <v>3</v>
      </c>
      <c r="AV67">
        <v>0</v>
      </c>
      <c r="AW67">
        <v>1</v>
      </c>
      <c r="AX67">
        <v>-1</v>
      </c>
      <c r="AY67">
        <v>0</v>
      </c>
      <c r="AZ67">
        <v>0</v>
      </c>
      <c r="BA67" t="s">
        <v>3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CV67">
        <v>0</v>
      </c>
      <c r="CW67">
        <v>0</v>
      </c>
      <c r="CX67">
        <f>ROUND(Y67*Source!I44,7)</f>
        <v>0.05</v>
      </c>
      <c r="CY67">
        <f t="shared" si="28"/>
        <v>987.99</v>
      </c>
      <c r="CZ67">
        <f t="shared" si="29"/>
        <v>658.66</v>
      </c>
      <c r="DA67">
        <f t="shared" si="30"/>
        <v>1.5</v>
      </c>
      <c r="DB67">
        <f t="shared" si="31"/>
        <v>219.55</v>
      </c>
      <c r="DC67">
        <f t="shared" si="32"/>
        <v>0</v>
      </c>
      <c r="DD67" t="s">
        <v>3</v>
      </c>
      <c r="DE67" t="s">
        <v>3</v>
      </c>
      <c r="DF67">
        <f t="shared" si="33"/>
        <v>49.4</v>
      </c>
      <c r="DG67">
        <f t="shared" si="34"/>
        <v>0</v>
      </c>
      <c r="DH67">
        <f t="shared" si="36"/>
        <v>0</v>
      </c>
      <c r="DI67">
        <f t="shared" si="37"/>
        <v>0</v>
      </c>
      <c r="DJ67">
        <f t="shared" si="35"/>
        <v>49.4</v>
      </c>
      <c r="DK67">
        <v>0</v>
      </c>
      <c r="DL67" t="s">
        <v>3</v>
      </c>
      <c r="DM67">
        <v>0</v>
      </c>
      <c r="DN67" t="s">
        <v>3</v>
      </c>
      <c r="DO67">
        <v>0</v>
      </c>
    </row>
    <row r="68" spans="1:119" x14ac:dyDescent="0.2">
      <c r="A68">
        <f>ROW(Source!A44)</f>
        <v>44</v>
      </c>
      <c r="B68">
        <v>82813384</v>
      </c>
      <c r="C68">
        <v>82813550</v>
      </c>
      <c r="D68">
        <v>80965317</v>
      </c>
      <c r="E68">
        <v>118</v>
      </c>
      <c r="F68">
        <v>1</v>
      </c>
      <c r="G68">
        <v>1</v>
      </c>
      <c r="H68">
        <v>3</v>
      </c>
      <c r="I68" t="s">
        <v>91</v>
      </c>
      <c r="J68" t="s">
        <v>3</v>
      </c>
      <c r="K68" t="s">
        <v>92</v>
      </c>
      <c r="L68">
        <v>1346</v>
      </c>
      <c r="N68">
        <v>1009</v>
      </c>
      <c r="O68" t="s">
        <v>93</v>
      </c>
      <c r="P68" t="s">
        <v>93</v>
      </c>
      <c r="Q68">
        <v>1</v>
      </c>
      <c r="W68">
        <v>0</v>
      </c>
      <c r="X68">
        <v>1447119578</v>
      </c>
      <c r="Y68">
        <f t="shared" si="27"/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1</v>
      </c>
      <c r="AJ68">
        <v>1</v>
      </c>
      <c r="AK68">
        <v>1</v>
      </c>
      <c r="AL68">
        <v>1</v>
      </c>
      <c r="AM68">
        <v>0</v>
      </c>
      <c r="AN68">
        <v>1</v>
      </c>
      <c r="AO68">
        <v>0</v>
      </c>
      <c r="AP68">
        <v>1</v>
      </c>
      <c r="AQ68">
        <v>0</v>
      </c>
      <c r="AR68">
        <v>0</v>
      </c>
      <c r="AS68" t="s">
        <v>3</v>
      </c>
      <c r="AT68">
        <v>0</v>
      </c>
      <c r="AU68" t="s">
        <v>3</v>
      </c>
      <c r="AV68">
        <v>0</v>
      </c>
      <c r="AW68">
        <v>2</v>
      </c>
      <c r="AX68">
        <v>82813563</v>
      </c>
      <c r="AY68">
        <v>1</v>
      </c>
      <c r="AZ68">
        <v>0</v>
      </c>
      <c r="BA68">
        <v>67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CV68">
        <v>0</v>
      </c>
      <c r="CW68">
        <v>0</v>
      </c>
      <c r="CX68">
        <f>ROUND(Y68*Source!I44,7)</f>
        <v>0</v>
      </c>
      <c r="CY68">
        <f t="shared" si="28"/>
        <v>0</v>
      </c>
      <c r="CZ68">
        <f t="shared" si="29"/>
        <v>0</v>
      </c>
      <c r="DA68">
        <f t="shared" si="30"/>
        <v>1</v>
      </c>
      <c r="DB68">
        <f t="shared" si="31"/>
        <v>0</v>
      </c>
      <c r="DC68">
        <f t="shared" si="32"/>
        <v>0</v>
      </c>
      <c r="DD68" t="s">
        <v>3</v>
      </c>
      <c r="DE68" t="s">
        <v>3</v>
      </c>
      <c r="DF68">
        <f>ROUND(ROUND(AE68,2)*CX68,2)</f>
        <v>0</v>
      </c>
      <c r="DG68">
        <f t="shared" si="34"/>
        <v>0</v>
      </c>
      <c r="DH68">
        <f t="shared" si="36"/>
        <v>0</v>
      </c>
      <c r="DI68">
        <f t="shared" si="37"/>
        <v>0</v>
      </c>
      <c r="DJ68">
        <f t="shared" si="35"/>
        <v>0</v>
      </c>
      <c r="DK68">
        <v>0</v>
      </c>
      <c r="DL68" t="s">
        <v>3</v>
      </c>
      <c r="DM68">
        <v>0</v>
      </c>
      <c r="DN68" t="s">
        <v>3</v>
      </c>
      <c r="DO68">
        <v>0</v>
      </c>
    </row>
    <row r="69" spans="1:119" x14ac:dyDescent="0.2">
      <c r="A69">
        <f>ROW(Source!A44)</f>
        <v>44</v>
      </c>
      <c r="B69">
        <v>82813384</v>
      </c>
      <c r="C69">
        <v>82813550</v>
      </c>
      <c r="D69">
        <v>81073995</v>
      </c>
      <c r="E69">
        <v>1</v>
      </c>
      <c r="F69">
        <v>1</v>
      </c>
      <c r="G69">
        <v>1</v>
      </c>
      <c r="H69">
        <v>3</v>
      </c>
      <c r="I69" t="s">
        <v>99</v>
      </c>
      <c r="J69" t="s">
        <v>101</v>
      </c>
      <c r="K69" t="s">
        <v>100</v>
      </c>
      <c r="L69">
        <v>1301</v>
      </c>
      <c r="N69">
        <v>1003</v>
      </c>
      <c r="O69" t="s">
        <v>72</v>
      </c>
      <c r="P69" t="s">
        <v>72</v>
      </c>
      <c r="Q69">
        <v>1</v>
      </c>
      <c r="W69">
        <v>0</v>
      </c>
      <c r="X69">
        <v>437674143</v>
      </c>
      <c r="Y69">
        <f t="shared" si="27"/>
        <v>100</v>
      </c>
      <c r="AA69">
        <v>347.94</v>
      </c>
      <c r="AB69">
        <v>0</v>
      </c>
      <c r="AC69">
        <v>0</v>
      </c>
      <c r="AD69">
        <v>0</v>
      </c>
      <c r="AE69">
        <v>470.19</v>
      </c>
      <c r="AF69">
        <v>0</v>
      </c>
      <c r="AG69">
        <v>0</v>
      </c>
      <c r="AH69">
        <v>0</v>
      </c>
      <c r="AI69">
        <v>0.74</v>
      </c>
      <c r="AJ69">
        <v>1</v>
      </c>
      <c r="AK69">
        <v>1</v>
      </c>
      <c r="AL69">
        <v>1</v>
      </c>
      <c r="AM69">
        <v>0</v>
      </c>
      <c r="AN69">
        <v>0</v>
      </c>
      <c r="AO69">
        <v>0</v>
      </c>
      <c r="AP69">
        <v>1</v>
      </c>
      <c r="AQ69">
        <v>0</v>
      </c>
      <c r="AR69">
        <v>0</v>
      </c>
      <c r="AS69" t="s">
        <v>3</v>
      </c>
      <c r="AT69">
        <v>100</v>
      </c>
      <c r="AU69" t="s">
        <v>3</v>
      </c>
      <c r="AV69">
        <v>0</v>
      </c>
      <c r="AW69">
        <v>1</v>
      </c>
      <c r="AX69">
        <v>-1</v>
      </c>
      <c r="AY69">
        <v>0</v>
      </c>
      <c r="AZ69">
        <v>0</v>
      </c>
      <c r="BA69" t="s">
        <v>3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CV69">
        <v>0</v>
      </c>
      <c r="CW69">
        <v>0</v>
      </c>
      <c r="CX69">
        <f>ROUND(Y69*Source!I44,7)</f>
        <v>15</v>
      </c>
      <c r="CY69">
        <f t="shared" si="28"/>
        <v>347.94</v>
      </c>
      <c r="CZ69">
        <f t="shared" si="29"/>
        <v>470.19</v>
      </c>
      <c r="DA69">
        <f t="shared" si="30"/>
        <v>0.74</v>
      </c>
      <c r="DB69">
        <f t="shared" si="31"/>
        <v>47019</v>
      </c>
      <c r="DC69">
        <f t="shared" si="32"/>
        <v>0</v>
      </c>
      <c r="DD69" t="s">
        <v>3</v>
      </c>
      <c r="DE69" t="s">
        <v>3</v>
      </c>
      <c r="DF69">
        <f>ROUND(ROUND(AE69*AI69,2)*CX69,2)</f>
        <v>5219.1000000000004</v>
      </c>
      <c r="DG69">
        <f t="shared" si="34"/>
        <v>0</v>
      </c>
      <c r="DH69">
        <f t="shared" si="36"/>
        <v>0</v>
      </c>
      <c r="DI69">
        <f t="shared" si="37"/>
        <v>0</v>
      </c>
      <c r="DJ69">
        <f t="shared" si="35"/>
        <v>5219.1000000000004</v>
      </c>
      <c r="DK69">
        <v>0</v>
      </c>
      <c r="DL69" t="s">
        <v>3</v>
      </c>
      <c r="DM69">
        <v>0</v>
      </c>
      <c r="DN69" t="s">
        <v>3</v>
      </c>
      <c r="DO69">
        <v>0</v>
      </c>
    </row>
    <row r="70" spans="1:119" x14ac:dyDescent="0.2">
      <c r="A70">
        <f>ROW(Source!A44)</f>
        <v>44</v>
      </c>
      <c r="B70">
        <v>82813384</v>
      </c>
      <c r="C70">
        <v>82813550</v>
      </c>
      <c r="D70">
        <v>80965532</v>
      </c>
      <c r="E70">
        <v>118</v>
      </c>
      <c r="F70">
        <v>1</v>
      </c>
      <c r="G70">
        <v>1</v>
      </c>
      <c r="H70">
        <v>3</v>
      </c>
      <c r="I70" t="s">
        <v>113</v>
      </c>
      <c r="J70" t="s">
        <v>3</v>
      </c>
      <c r="K70" t="s">
        <v>90</v>
      </c>
      <c r="L70">
        <v>1301</v>
      </c>
      <c r="N70">
        <v>1003</v>
      </c>
      <c r="O70" t="s">
        <v>72</v>
      </c>
      <c r="P70" t="s">
        <v>72</v>
      </c>
      <c r="Q70">
        <v>1</v>
      </c>
      <c r="W70">
        <v>0</v>
      </c>
      <c r="X70">
        <v>501224115</v>
      </c>
      <c r="Y70">
        <f t="shared" si="27"/>
        <v>100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1</v>
      </c>
      <c r="AJ70">
        <v>1</v>
      </c>
      <c r="AK70">
        <v>1</v>
      </c>
      <c r="AL70">
        <v>1</v>
      </c>
      <c r="AM70">
        <v>0</v>
      </c>
      <c r="AN70">
        <v>0</v>
      </c>
      <c r="AO70">
        <v>0</v>
      </c>
      <c r="AP70">
        <v>1</v>
      </c>
      <c r="AQ70">
        <v>0</v>
      </c>
      <c r="AR70">
        <v>0</v>
      </c>
      <c r="AS70" t="s">
        <v>3</v>
      </c>
      <c r="AT70">
        <v>100</v>
      </c>
      <c r="AU70" t="s">
        <v>3</v>
      </c>
      <c r="AV70">
        <v>0</v>
      </c>
      <c r="AW70">
        <v>2</v>
      </c>
      <c r="AX70">
        <v>82813564</v>
      </c>
      <c r="AY70">
        <v>1</v>
      </c>
      <c r="AZ70">
        <v>0</v>
      </c>
      <c r="BA70">
        <v>68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CV70">
        <v>0</v>
      </c>
      <c r="CW70">
        <v>0</v>
      </c>
      <c r="CX70">
        <f>ROUND(Y70*Source!I44,7)</f>
        <v>15</v>
      </c>
      <c r="CY70">
        <f t="shared" si="28"/>
        <v>0</v>
      </c>
      <c r="CZ70">
        <f t="shared" si="29"/>
        <v>0</v>
      </c>
      <c r="DA70">
        <f t="shared" si="30"/>
        <v>1</v>
      </c>
      <c r="DB70">
        <f t="shared" si="31"/>
        <v>0</v>
      </c>
      <c r="DC70">
        <f t="shared" si="32"/>
        <v>0</v>
      </c>
      <c r="DD70" t="s">
        <v>3</v>
      </c>
      <c r="DE70" t="s">
        <v>3</v>
      </c>
      <c r="DF70">
        <f>ROUND(ROUND(AE70,2)*CX70,2)</f>
        <v>0</v>
      </c>
      <c r="DG70">
        <f t="shared" si="34"/>
        <v>0</v>
      </c>
      <c r="DH70">
        <f t="shared" si="36"/>
        <v>0</v>
      </c>
      <c r="DI70">
        <f t="shared" si="37"/>
        <v>0</v>
      </c>
      <c r="DJ70">
        <f t="shared" si="35"/>
        <v>0</v>
      </c>
      <c r="DK70">
        <v>0</v>
      </c>
      <c r="DL70" t="s">
        <v>3</v>
      </c>
      <c r="DM70">
        <v>0</v>
      </c>
      <c r="DN70" t="s">
        <v>3</v>
      </c>
      <c r="DO70">
        <v>0</v>
      </c>
    </row>
    <row r="71" spans="1:119" x14ac:dyDescent="0.2">
      <c r="A71">
        <f>ROW(Source!A44)</f>
        <v>44</v>
      </c>
      <c r="B71">
        <v>82813384</v>
      </c>
      <c r="C71">
        <v>82813550</v>
      </c>
      <c r="D71">
        <v>81076401</v>
      </c>
      <c r="E71">
        <v>1</v>
      </c>
      <c r="F71">
        <v>1</v>
      </c>
      <c r="G71">
        <v>1</v>
      </c>
      <c r="H71">
        <v>3</v>
      </c>
      <c r="I71" t="s">
        <v>103</v>
      </c>
      <c r="J71" t="s">
        <v>105</v>
      </c>
      <c r="K71" t="s">
        <v>104</v>
      </c>
      <c r="L71">
        <v>1371</v>
      </c>
      <c r="N71">
        <v>1013</v>
      </c>
      <c r="O71" t="s">
        <v>30</v>
      </c>
      <c r="P71" t="s">
        <v>30</v>
      </c>
      <c r="Q71">
        <v>1</v>
      </c>
      <c r="W71">
        <v>0</v>
      </c>
      <c r="X71">
        <v>129030813</v>
      </c>
      <c r="Y71">
        <f t="shared" si="27"/>
        <v>66.666666699999993</v>
      </c>
      <c r="AA71">
        <v>85.02</v>
      </c>
      <c r="AB71">
        <v>0</v>
      </c>
      <c r="AC71">
        <v>0</v>
      </c>
      <c r="AD71">
        <v>0</v>
      </c>
      <c r="AE71">
        <v>75.239999999999995</v>
      </c>
      <c r="AF71">
        <v>0</v>
      </c>
      <c r="AG71">
        <v>0</v>
      </c>
      <c r="AH71">
        <v>0</v>
      </c>
      <c r="AI71">
        <v>1.1299999999999999</v>
      </c>
      <c r="AJ71">
        <v>1</v>
      </c>
      <c r="AK71">
        <v>1</v>
      </c>
      <c r="AL71">
        <v>1</v>
      </c>
      <c r="AM71">
        <v>0</v>
      </c>
      <c r="AN71">
        <v>0</v>
      </c>
      <c r="AO71">
        <v>0</v>
      </c>
      <c r="AP71">
        <v>1</v>
      </c>
      <c r="AQ71">
        <v>0</v>
      </c>
      <c r="AR71">
        <v>0</v>
      </c>
      <c r="AS71" t="s">
        <v>3</v>
      </c>
      <c r="AT71">
        <v>66.666666699999993</v>
      </c>
      <c r="AU71" t="s">
        <v>3</v>
      </c>
      <c r="AV71">
        <v>0</v>
      </c>
      <c r="AW71">
        <v>1</v>
      </c>
      <c r="AX71">
        <v>-1</v>
      </c>
      <c r="AY71">
        <v>0</v>
      </c>
      <c r="AZ71">
        <v>0</v>
      </c>
      <c r="BA71" t="s">
        <v>3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CV71">
        <v>0</v>
      </c>
      <c r="CW71">
        <v>0</v>
      </c>
      <c r="CX71">
        <f>ROUND(Y71*Source!I44,7)</f>
        <v>10</v>
      </c>
      <c r="CY71">
        <f t="shared" si="28"/>
        <v>85.02</v>
      </c>
      <c r="CZ71">
        <f t="shared" si="29"/>
        <v>75.239999999999995</v>
      </c>
      <c r="DA71">
        <f t="shared" si="30"/>
        <v>1.1299999999999999</v>
      </c>
      <c r="DB71">
        <f t="shared" si="31"/>
        <v>5016</v>
      </c>
      <c r="DC71">
        <f t="shared" si="32"/>
        <v>0</v>
      </c>
      <c r="DD71" t="s">
        <v>3</v>
      </c>
      <c r="DE71" t="s">
        <v>3</v>
      </c>
      <c r="DF71">
        <f>ROUND(ROUND(AE71*AI71,2)*CX71,2)</f>
        <v>850.2</v>
      </c>
      <c r="DG71">
        <f t="shared" si="34"/>
        <v>0</v>
      </c>
      <c r="DH71">
        <f t="shared" si="36"/>
        <v>0</v>
      </c>
      <c r="DI71">
        <f t="shared" si="37"/>
        <v>0</v>
      </c>
      <c r="DJ71">
        <f t="shared" si="35"/>
        <v>850.2</v>
      </c>
      <c r="DK71">
        <v>0</v>
      </c>
      <c r="DL71" t="s">
        <v>3</v>
      </c>
      <c r="DM71">
        <v>0</v>
      </c>
      <c r="DN71" t="s">
        <v>3</v>
      </c>
      <c r="DO71">
        <v>0</v>
      </c>
    </row>
    <row r="72" spans="1:119" x14ac:dyDescent="0.2">
      <c r="A72">
        <f>ROW(Source!A50)</f>
        <v>50</v>
      </c>
      <c r="B72">
        <v>82813384</v>
      </c>
      <c r="C72">
        <v>82813567</v>
      </c>
      <c r="D72">
        <v>80959954</v>
      </c>
      <c r="E72">
        <v>118</v>
      </c>
      <c r="F72">
        <v>1</v>
      </c>
      <c r="G72">
        <v>1</v>
      </c>
      <c r="H72">
        <v>1</v>
      </c>
      <c r="I72" t="s">
        <v>363</v>
      </c>
      <c r="J72" t="s">
        <v>3</v>
      </c>
      <c r="K72" t="s">
        <v>364</v>
      </c>
      <c r="L72">
        <v>1191</v>
      </c>
      <c r="N72">
        <v>1013</v>
      </c>
      <c r="O72" t="s">
        <v>288</v>
      </c>
      <c r="P72" t="s">
        <v>288</v>
      </c>
      <c r="Q72">
        <v>1</v>
      </c>
      <c r="W72">
        <v>0</v>
      </c>
      <c r="X72">
        <v>174150515</v>
      </c>
      <c r="Y72">
        <f t="shared" si="27"/>
        <v>55.3</v>
      </c>
      <c r="AA72">
        <v>0</v>
      </c>
      <c r="AB72">
        <v>0</v>
      </c>
      <c r="AC72">
        <v>0</v>
      </c>
      <c r="AD72">
        <v>741.99</v>
      </c>
      <c r="AE72">
        <v>0</v>
      </c>
      <c r="AF72">
        <v>0</v>
      </c>
      <c r="AG72">
        <v>0</v>
      </c>
      <c r="AH72">
        <v>741.99</v>
      </c>
      <c r="AI72">
        <v>1</v>
      </c>
      <c r="AJ72">
        <v>1</v>
      </c>
      <c r="AK72">
        <v>1</v>
      </c>
      <c r="AL72">
        <v>1</v>
      </c>
      <c r="AM72">
        <v>-2</v>
      </c>
      <c r="AN72">
        <v>0</v>
      </c>
      <c r="AO72">
        <v>0</v>
      </c>
      <c r="AP72">
        <v>0</v>
      </c>
      <c r="AQ72">
        <v>1</v>
      </c>
      <c r="AR72">
        <v>0</v>
      </c>
      <c r="AS72" t="s">
        <v>3</v>
      </c>
      <c r="AT72">
        <v>55.3</v>
      </c>
      <c r="AU72" t="s">
        <v>3</v>
      </c>
      <c r="AV72">
        <v>1</v>
      </c>
      <c r="AW72">
        <v>2</v>
      </c>
      <c r="AX72">
        <v>82813568</v>
      </c>
      <c r="AY72">
        <v>1</v>
      </c>
      <c r="AZ72">
        <v>0</v>
      </c>
      <c r="BA72">
        <v>69</v>
      </c>
      <c r="BB72">
        <v>1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41032.046999999999</v>
      </c>
      <c r="BN72">
        <v>55.3</v>
      </c>
      <c r="BO72">
        <v>0</v>
      </c>
      <c r="BP72">
        <v>1</v>
      </c>
      <c r="BQ72">
        <v>0</v>
      </c>
      <c r="BR72">
        <v>0</v>
      </c>
      <c r="BS72">
        <v>0</v>
      </c>
      <c r="BT72">
        <v>41032.046999999999</v>
      </c>
      <c r="BU72">
        <v>55.3</v>
      </c>
      <c r="BV72">
        <v>0</v>
      </c>
      <c r="BW72">
        <v>1</v>
      </c>
      <c r="CU72">
        <f>ROUND(AT72*Source!I50*AH72*AL72,2)</f>
        <v>6154.81</v>
      </c>
      <c r="CV72">
        <f>ROUND(Y72*Source!I50,7)</f>
        <v>8.2949999999999999</v>
      </c>
      <c r="CW72">
        <v>0</v>
      </c>
      <c r="CX72">
        <f>ROUND(Y72*Source!I50,7)</f>
        <v>8.2949999999999999</v>
      </c>
      <c r="CY72">
        <f>AD72</f>
        <v>741.99</v>
      </c>
      <c r="CZ72">
        <f>AH72</f>
        <v>741.99</v>
      </c>
      <c r="DA72">
        <f>AL72</f>
        <v>1</v>
      </c>
      <c r="DB72">
        <f t="shared" si="31"/>
        <v>41032.050000000003</v>
      </c>
      <c r="DC72">
        <f t="shared" si="32"/>
        <v>0</v>
      </c>
      <c r="DD72" t="s">
        <v>3</v>
      </c>
      <c r="DE72" t="s">
        <v>3</v>
      </c>
      <c r="DF72">
        <f t="shared" ref="DF72:DF77" si="38">ROUND(ROUND(AE72,2)*CX72,2)</f>
        <v>0</v>
      </c>
      <c r="DG72">
        <f t="shared" si="34"/>
        <v>0</v>
      </c>
      <c r="DH72">
        <f t="shared" si="36"/>
        <v>0</v>
      </c>
      <c r="DI72">
        <f t="shared" si="37"/>
        <v>6154.81</v>
      </c>
      <c r="DJ72">
        <f>DI72</f>
        <v>6154.81</v>
      </c>
      <c r="DK72">
        <v>1</v>
      </c>
      <c r="DL72" t="s">
        <v>3</v>
      </c>
      <c r="DM72">
        <v>0</v>
      </c>
      <c r="DN72" t="s">
        <v>3</v>
      </c>
      <c r="DO72">
        <v>0</v>
      </c>
    </row>
    <row r="73" spans="1:119" x14ac:dyDescent="0.2">
      <c r="A73">
        <f>ROW(Source!A50)</f>
        <v>50</v>
      </c>
      <c r="B73">
        <v>82813384</v>
      </c>
      <c r="C73">
        <v>82813567</v>
      </c>
      <c r="D73">
        <v>80960127</v>
      </c>
      <c r="E73">
        <v>118</v>
      </c>
      <c r="F73">
        <v>1</v>
      </c>
      <c r="G73">
        <v>1</v>
      </c>
      <c r="H73">
        <v>1</v>
      </c>
      <c r="I73" t="s">
        <v>302</v>
      </c>
      <c r="J73" t="s">
        <v>3</v>
      </c>
      <c r="K73" t="s">
        <v>303</v>
      </c>
      <c r="L73">
        <v>1191</v>
      </c>
      <c r="N73">
        <v>1013</v>
      </c>
      <c r="O73" t="s">
        <v>288</v>
      </c>
      <c r="P73" t="s">
        <v>288</v>
      </c>
      <c r="Q73">
        <v>1</v>
      </c>
      <c r="W73">
        <v>0</v>
      </c>
      <c r="X73">
        <v>-1417349443</v>
      </c>
      <c r="Y73">
        <f t="shared" si="27"/>
        <v>1.06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1</v>
      </c>
      <c r="AJ73">
        <v>1</v>
      </c>
      <c r="AK73">
        <v>1</v>
      </c>
      <c r="AL73">
        <v>1</v>
      </c>
      <c r="AM73">
        <v>-2</v>
      </c>
      <c r="AN73">
        <v>0</v>
      </c>
      <c r="AO73">
        <v>0</v>
      </c>
      <c r="AP73">
        <v>0</v>
      </c>
      <c r="AQ73">
        <v>1</v>
      </c>
      <c r="AR73">
        <v>0</v>
      </c>
      <c r="AS73" t="s">
        <v>3</v>
      </c>
      <c r="AT73">
        <v>1.06</v>
      </c>
      <c r="AU73" t="s">
        <v>3</v>
      </c>
      <c r="AV73">
        <v>2</v>
      </c>
      <c r="AW73">
        <v>2</v>
      </c>
      <c r="AX73">
        <v>82813569</v>
      </c>
      <c r="AY73">
        <v>1</v>
      </c>
      <c r="AZ73">
        <v>0</v>
      </c>
      <c r="BA73">
        <v>70</v>
      </c>
      <c r="BB73">
        <v>1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CV73">
        <v>0</v>
      </c>
      <c r="CW73">
        <v>0</v>
      </c>
      <c r="CX73">
        <f>ROUND(Y73*Source!I50,7)</f>
        <v>0.159</v>
      </c>
      <c r="CY73">
        <f>AD73</f>
        <v>0</v>
      </c>
      <c r="CZ73">
        <f>AH73</f>
        <v>0</v>
      </c>
      <c r="DA73">
        <f>AL73</f>
        <v>1</v>
      </c>
      <c r="DB73">
        <f t="shared" si="31"/>
        <v>0</v>
      </c>
      <c r="DC73">
        <f t="shared" si="32"/>
        <v>0</v>
      </c>
      <c r="DD73" t="s">
        <v>3</v>
      </c>
      <c r="DE73" t="s">
        <v>3</v>
      </c>
      <c r="DF73">
        <f t="shared" si="38"/>
        <v>0</v>
      </c>
      <c r="DG73">
        <f t="shared" si="34"/>
        <v>0</v>
      </c>
      <c r="DH73">
        <f t="shared" si="36"/>
        <v>0</v>
      </c>
      <c r="DI73">
        <f t="shared" si="37"/>
        <v>0</v>
      </c>
      <c r="DJ73">
        <f>DI73</f>
        <v>0</v>
      </c>
      <c r="DK73">
        <v>0</v>
      </c>
      <c r="DL73" t="s">
        <v>3</v>
      </c>
      <c r="DM73">
        <v>0</v>
      </c>
      <c r="DN73" t="s">
        <v>3</v>
      </c>
      <c r="DO73">
        <v>0</v>
      </c>
    </row>
    <row r="74" spans="1:119" x14ac:dyDescent="0.2">
      <c r="A74">
        <f>ROW(Source!A50)</f>
        <v>50</v>
      </c>
      <c r="B74">
        <v>82813384</v>
      </c>
      <c r="C74">
        <v>82813567</v>
      </c>
      <c r="D74">
        <v>81086531</v>
      </c>
      <c r="E74">
        <v>1</v>
      </c>
      <c r="F74">
        <v>1</v>
      </c>
      <c r="G74">
        <v>1</v>
      </c>
      <c r="H74">
        <v>2</v>
      </c>
      <c r="I74" t="s">
        <v>304</v>
      </c>
      <c r="J74" t="s">
        <v>305</v>
      </c>
      <c r="K74" t="s">
        <v>306</v>
      </c>
      <c r="L74">
        <v>1368</v>
      </c>
      <c r="N74">
        <v>1011</v>
      </c>
      <c r="O74" t="s">
        <v>292</v>
      </c>
      <c r="P74" t="s">
        <v>292</v>
      </c>
      <c r="Q74">
        <v>1</v>
      </c>
      <c r="W74">
        <v>0</v>
      </c>
      <c r="X74">
        <v>-1073301144</v>
      </c>
      <c r="Y74">
        <f t="shared" si="27"/>
        <v>0.12</v>
      </c>
      <c r="AA74">
        <v>0</v>
      </c>
      <c r="AB74">
        <v>1036.96</v>
      </c>
      <c r="AC74">
        <v>982.04</v>
      </c>
      <c r="AD74">
        <v>0</v>
      </c>
      <c r="AE74">
        <v>0</v>
      </c>
      <c r="AF74">
        <v>1036.96</v>
      </c>
      <c r="AG74">
        <v>982.04</v>
      </c>
      <c r="AH74">
        <v>0</v>
      </c>
      <c r="AI74">
        <v>1</v>
      </c>
      <c r="AJ74">
        <v>1</v>
      </c>
      <c r="AK74">
        <v>1</v>
      </c>
      <c r="AL74">
        <v>1</v>
      </c>
      <c r="AM74">
        <v>-2</v>
      </c>
      <c r="AN74">
        <v>0</v>
      </c>
      <c r="AO74">
        <v>0</v>
      </c>
      <c r="AP74">
        <v>0</v>
      </c>
      <c r="AQ74">
        <v>1</v>
      </c>
      <c r="AR74">
        <v>0</v>
      </c>
      <c r="AS74" t="s">
        <v>3</v>
      </c>
      <c r="AT74">
        <v>0.12</v>
      </c>
      <c r="AU74" t="s">
        <v>3</v>
      </c>
      <c r="AV74">
        <v>1</v>
      </c>
      <c r="AW74">
        <v>2</v>
      </c>
      <c r="AX74">
        <v>82813570</v>
      </c>
      <c r="AY74">
        <v>1</v>
      </c>
      <c r="AZ74">
        <v>0</v>
      </c>
      <c r="BA74">
        <v>71</v>
      </c>
      <c r="BB74">
        <v>1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124.43519999999999</v>
      </c>
      <c r="BL74">
        <v>117.84479999999999</v>
      </c>
      <c r="BM74">
        <v>0</v>
      </c>
      <c r="BN74">
        <v>0</v>
      </c>
      <c r="BO74">
        <v>0.12</v>
      </c>
      <c r="BP74">
        <v>1</v>
      </c>
      <c r="BQ74">
        <v>0</v>
      </c>
      <c r="BR74">
        <v>124.43519999999999</v>
      </c>
      <c r="BS74">
        <v>117.84479999999999</v>
      </c>
      <c r="BT74">
        <v>0</v>
      </c>
      <c r="BU74">
        <v>0</v>
      </c>
      <c r="BV74">
        <v>0.12</v>
      </c>
      <c r="BW74">
        <v>1</v>
      </c>
      <c r="CV74">
        <v>0</v>
      </c>
      <c r="CW74">
        <f>ROUND(Y74*Source!I50*DO74,7)</f>
        <v>1.7999999999999999E-2</v>
      </c>
      <c r="CX74">
        <f>ROUND(Y74*Source!I50,7)</f>
        <v>1.7999999999999999E-2</v>
      </c>
      <c r="CY74">
        <f>AB74</f>
        <v>1036.96</v>
      </c>
      <c r="CZ74">
        <f>AF74</f>
        <v>1036.96</v>
      </c>
      <c r="DA74">
        <f>AJ74</f>
        <v>1</v>
      </c>
      <c r="DB74">
        <f t="shared" si="31"/>
        <v>124.44</v>
      </c>
      <c r="DC74">
        <f t="shared" si="32"/>
        <v>117.84</v>
      </c>
      <c r="DD74" t="s">
        <v>3</v>
      </c>
      <c r="DE74" t="s">
        <v>3</v>
      </c>
      <c r="DF74">
        <f t="shared" si="38"/>
        <v>0</v>
      </c>
      <c r="DG74">
        <f t="shared" si="34"/>
        <v>18.670000000000002</v>
      </c>
      <c r="DH74">
        <f t="shared" si="36"/>
        <v>17.68</v>
      </c>
      <c r="DI74">
        <f t="shared" si="37"/>
        <v>0</v>
      </c>
      <c r="DJ74">
        <f>DG74+DH74</f>
        <v>36.35</v>
      </c>
      <c r="DK74">
        <v>1</v>
      </c>
      <c r="DL74" t="s">
        <v>307</v>
      </c>
      <c r="DM74">
        <v>6</v>
      </c>
      <c r="DN74" t="s">
        <v>288</v>
      </c>
      <c r="DO74">
        <v>1</v>
      </c>
    </row>
    <row r="75" spans="1:119" x14ac:dyDescent="0.2">
      <c r="A75">
        <f>ROW(Source!A50)</f>
        <v>50</v>
      </c>
      <c r="B75">
        <v>82813384</v>
      </c>
      <c r="C75">
        <v>82813567</v>
      </c>
      <c r="D75">
        <v>81086585</v>
      </c>
      <c r="E75">
        <v>1</v>
      </c>
      <c r="F75">
        <v>1</v>
      </c>
      <c r="G75">
        <v>1</v>
      </c>
      <c r="H75">
        <v>2</v>
      </c>
      <c r="I75" t="s">
        <v>342</v>
      </c>
      <c r="J75" t="s">
        <v>343</v>
      </c>
      <c r="K75" t="s">
        <v>344</v>
      </c>
      <c r="L75">
        <v>1368</v>
      </c>
      <c r="N75">
        <v>1011</v>
      </c>
      <c r="O75" t="s">
        <v>292</v>
      </c>
      <c r="P75" t="s">
        <v>292</v>
      </c>
      <c r="Q75">
        <v>1</v>
      </c>
      <c r="W75">
        <v>0</v>
      </c>
      <c r="X75">
        <v>-1068589559</v>
      </c>
      <c r="Y75">
        <f t="shared" si="27"/>
        <v>7.0000000000000007E-2</v>
      </c>
      <c r="AA75">
        <v>0</v>
      </c>
      <c r="AB75">
        <v>1585.56</v>
      </c>
      <c r="AC75">
        <v>982.04</v>
      </c>
      <c r="AD75">
        <v>0</v>
      </c>
      <c r="AE75">
        <v>0</v>
      </c>
      <c r="AF75">
        <v>1585.56</v>
      </c>
      <c r="AG75">
        <v>982.04</v>
      </c>
      <c r="AH75">
        <v>0</v>
      </c>
      <c r="AI75">
        <v>1</v>
      </c>
      <c r="AJ75">
        <v>1</v>
      </c>
      <c r="AK75">
        <v>1</v>
      </c>
      <c r="AL75">
        <v>1</v>
      </c>
      <c r="AM75">
        <v>-2</v>
      </c>
      <c r="AN75">
        <v>0</v>
      </c>
      <c r="AO75">
        <v>0</v>
      </c>
      <c r="AP75">
        <v>0</v>
      </c>
      <c r="AQ75">
        <v>1</v>
      </c>
      <c r="AR75">
        <v>0</v>
      </c>
      <c r="AS75" t="s">
        <v>3</v>
      </c>
      <c r="AT75">
        <v>7.0000000000000007E-2</v>
      </c>
      <c r="AU75" t="s">
        <v>3</v>
      </c>
      <c r="AV75">
        <v>1</v>
      </c>
      <c r="AW75">
        <v>2</v>
      </c>
      <c r="AX75">
        <v>82813571</v>
      </c>
      <c r="AY75">
        <v>1</v>
      </c>
      <c r="AZ75">
        <v>0</v>
      </c>
      <c r="BA75">
        <v>72</v>
      </c>
      <c r="BB75">
        <v>1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110.98920000000001</v>
      </c>
      <c r="BL75">
        <v>68.742800000000003</v>
      </c>
      <c r="BM75">
        <v>0</v>
      </c>
      <c r="BN75">
        <v>0</v>
      </c>
      <c r="BO75">
        <v>7.0000000000000007E-2</v>
      </c>
      <c r="BP75">
        <v>1</v>
      </c>
      <c r="BQ75">
        <v>0</v>
      </c>
      <c r="BR75">
        <v>110.98920000000001</v>
      </c>
      <c r="BS75">
        <v>68.742800000000003</v>
      </c>
      <c r="BT75">
        <v>0</v>
      </c>
      <c r="BU75">
        <v>0</v>
      </c>
      <c r="BV75">
        <v>7.0000000000000007E-2</v>
      </c>
      <c r="BW75">
        <v>1</v>
      </c>
      <c r="CV75">
        <v>0</v>
      </c>
      <c r="CW75">
        <f>ROUND(Y75*Source!I50*DO75,7)</f>
        <v>1.0500000000000001E-2</v>
      </c>
      <c r="CX75">
        <f>ROUND(Y75*Source!I50,7)</f>
        <v>1.0500000000000001E-2</v>
      </c>
      <c r="CY75">
        <f>AB75</f>
        <v>1585.56</v>
      </c>
      <c r="CZ75">
        <f>AF75</f>
        <v>1585.56</v>
      </c>
      <c r="DA75">
        <f>AJ75</f>
        <v>1</v>
      </c>
      <c r="DB75">
        <f t="shared" si="31"/>
        <v>110.99</v>
      </c>
      <c r="DC75">
        <f t="shared" si="32"/>
        <v>68.739999999999995</v>
      </c>
      <c r="DD75" t="s">
        <v>3</v>
      </c>
      <c r="DE75" t="s">
        <v>3</v>
      </c>
      <c r="DF75">
        <f t="shared" si="38"/>
        <v>0</v>
      </c>
      <c r="DG75">
        <f t="shared" si="34"/>
        <v>16.649999999999999</v>
      </c>
      <c r="DH75">
        <f t="shared" si="36"/>
        <v>10.31</v>
      </c>
      <c r="DI75">
        <f t="shared" si="37"/>
        <v>0</v>
      </c>
      <c r="DJ75">
        <f>DG75+DH75</f>
        <v>26.96</v>
      </c>
      <c r="DK75">
        <v>1</v>
      </c>
      <c r="DL75" t="s">
        <v>307</v>
      </c>
      <c r="DM75">
        <v>6</v>
      </c>
      <c r="DN75" t="s">
        <v>288</v>
      </c>
      <c r="DO75">
        <v>1</v>
      </c>
    </row>
    <row r="76" spans="1:119" x14ac:dyDescent="0.2">
      <c r="A76">
        <f>ROW(Source!A50)</f>
        <v>50</v>
      </c>
      <c r="B76">
        <v>82813384</v>
      </c>
      <c r="C76">
        <v>82813567</v>
      </c>
      <c r="D76">
        <v>81087487</v>
      </c>
      <c r="E76">
        <v>1</v>
      </c>
      <c r="F76">
        <v>1</v>
      </c>
      <c r="G76">
        <v>1</v>
      </c>
      <c r="H76">
        <v>2</v>
      </c>
      <c r="I76" t="s">
        <v>308</v>
      </c>
      <c r="J76" t="s">
        <v>309</v>
      </c>
      <c r="K76" t="s">
        <v>310</v>
      </c>
      <c r="L76">
        <v>1368</v>
      </c>
      <c r="N76">
        <v>1011</v>
      </c>
      <c r="O76" t="s">
        <v>292</v>
      </c>
      <c r="P76" t="s">
        <v>292</v>
      </c>
      <c r="Q76">
        <v>1</v>
      </c>
      <c r="W76">
        <v>0</v>
      </c>
      <c r="X76">
        <v>-312038840</v>
      </c>
      <c r="Y76">
        <f t="shared" si="27"/>
        <v>0.87</v>
      </c>
      <c r="AA76">
        <v>0</v>
      </c>
      <c r="AB76">
        <v>544.91999999999996</v>
      </c>
      <c r="AC76">
        <v>731.08</v>
      </c>
      <c r="AD76">
        <v>0</v>
      </c>
      <c r="AE76">
        <v>0</v>
      </c>
      <c r="AF76">
        <v>544.91999999999996</v>
      </c>
      <c r="AG76">
        <v>731.08</v>
      </c>
      <c r="AH76">
        <v>0</v>
      </c>
      <c r="AI76">
        <v>1</v>
      </c>
      <c r="AJ76">
        <v>1</v>
      </c>
      <c r="AK76">
        <v>1</v>
      </c>
      <c r="AL76">
        <v>1</v>
      </c>
      <c r="AM76">
        <v>-2</v>
      </c>
      <c r="AN76">
        <v>0</v>
      </c>
      <c r="AO76">
        <v>0</v>
      </c>
      <c r="AP76">
        <v>0</v>
      </c>
      <c r="AQ76">
        <v>1</v>
      </c>
      <c r="AR76">
        <v>0</v>
      </c>
      <c r="AS76" t="s">
        <v>3</v>
      </c>
      <c r="AT76">
        <v>0.87</v>
      </c>
      <c r="AU76" t="s">
        <v>3</v>
      </c>
      <c r="AV76">
        <v>1</v>
      </c>
      <c r="AW76">
        <v>2</v>
      </c>
      <c r="AX76">
        <v>82813572</v>
      </c>
      <c r="AY76">
        <v>1</v>
      </c>
      <c r="AZ76">
        <v>0</v>
      </c>
      <c r="BA76">
        <v>73</v>
      </c>
      <c r="BB76">
        <v>1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474.08039999999994</v>
      </c>
      <c r="BL76">
        <v>636.03960000000006</v>
      </c>
      <c r="BM76">
        <v>0</v>
      </c>
      <c r="BN76">
        <v>0</v>
      </c>
      <c r="BO76">
        <v>0.87</v>
      </c>
      <c r="BP76">
        <v>1</v>
      </c>
      <c r="BQ76">
        <v>0</v>
      </c>
      <c r="BR76">
        <v>474.08039999999994</v>
      </c>
      <c r="BS76">
        <v>636.03960000000006</v>
      </c>
      <c r="BT76">
        <v>0</v>
      </c>
      <c r="BU76">
        <v>0</v>
      </c>
      <c r="BV76">
        <v>0.87</v>
      </c>
      <c r="BW76">
        <v>1</v>
      </c>
      <c r="CV76">
        <v>0</v>
      </c>
      <c r="CW76">
        <f>ROUND(Y76*Source!I50*DO76,7)</f>
        <v>0.1305</v>
      </c>
      <c r="CX76">
        <f>ROUND(Y76*Source!I50,7)</f>
        <v>0.1305</v>
      </c>
      <c r="CY76">
        <f>AB76</f>
        <v>544.91999999999996</v>
      </c>
      <c r="CZ76">
        <f>AF76</f>
        <v>544.91999999999996</v>
      </c>
      <c r="DA76">
        <f>AJ76</f>
        <v>1</v>
      </c>
      <c r="DB76">
        <f t="shared" si="31"/>
        <v>474.08</v>
      </c>
      <c r="DC76">
        <f t="shared" si="32"/>
        <v>636.04</v>
      </c>
      <c r="DD76" t="s">
        <v>3</v>
      </c>
      <c r="DE76" t="s">
        <v>3</v>
      </c>
      <c r="DF76">
        <f t="shared" si="38"/>
        <v>0</v>
      </c>
      <c r="DG76">
        <f t="shared" si="34"/>
        <v>71.11</v>
      </c>
      <c r="DH76">
        <f t="shared" si="36"/>
        <v>95.41</v>
      </c>
      <c r="DI76">
        <f t="shared" si="37"/>
        <v>0</v>
      </c>
      <c r="DJ76">
        <f>DG76+DH76</f>
        <v>166.51999999999998</v>
      </c>
      <c r="DK76">
        <v>1</v>
      </c>
      <c r="DL76" t="s">
        <v>311</v>
      </c>
      <c r="DM76">
        <v>4</v>
      </c>
      <c r="DN76" t="s">
        <v>288</v>
      </c>
      <c r="DO76">
        <v>1</v>
      </c>
    </row>
    <row r="77" spans="1:119" x14ac:dyDescent="0.2">
      <c r="A77">
        <f>ROW(Source!A50)</f>
        <v>50</v>
      </c>
      <c r="B77">
        <v>82813384</v>
      </c>
      <c r="C77">
        <v>82813567</v>
      </c>
      <c r="D77">
        <v>81087646</v>
      </c>
      <c r="E77">
        <v>1</v>
      </c>
      <c r="F77">
        <v>1</v>
      </c>
      <c r="G77">
        <v>1</v>
      </c>
      <c r="H77">
        <v>2</v>
      </c>
      <c r="I77" t="s">
        <v>289</v>
      </c>
      <c r="J77" t="s">
        <v>290</v>
      </c>
      <c r="K77" t="s">
        <v>291</v>
      </c>
      <c r="L77">
        <v>1368</v>
      </c>
      <c r="N77">
        <v>1011</v>
      </c>
      <c r="O77" t="s">
        <v>292</v>
      </c>
      <c r="P77" t="s">
        <v>292</v>
      </c>
      <c r="Q77">
        <v>1</v>
      </c>
      <c r="W77">
        <v>0</v>
      </c>
      <c r="X77">
        <v>-536748942</v>
      </c>
      <c r="Y77">
        <f t="shared" si="27"/>
        <v>18.440000000000001</v>
      </c>
      <c r="AA77">
        <v>0</v>
      </c>
      <c r="AB77">
        <v>5.35</v>
      </c>
      <c r="AC77">
        <v>0</v>
      </c>
      <c r="AD77">
        <v>0</v>
      </c>
      <c r="AE77">
        <v>0</v>
      </c>
      <c r="AF77">
        <v>4.3499999999999996</v>
      </c>
      <c r="AG77">
        <v>0</v>
      </c>
      <c r="AH77">
        <v>0</v>
      </c>
      <c r="AI77">
        <v>1</v>
      </c>
      <c r="AJ77">
        <v>1.23</v>
      </c>
      <c r="AK77">
        <v>1</v>
      </c>
      <c r="AL77">
        <v>1</v>
      </c>
      <c r="AM77">
        <v>2</v>
      </c>
      <c r="AN77">
        <v>0</v>
      </c>
      <c r="AO77">
        <v>0</v>
      </c>
      <c r="AP77">
        <v>0</v>
      </c>
      <c r="AQ77">
        <v>1</v>
      </c>
      <c r="AR77">
        <v>0</v>
      </c>
      <c r="AS77" t="s">
        <v>3</v>
      </c>
      <c r="AT77">
        <v>18.440000000000001</v>
      </c>
      <c r="AU77" t="s">
        <v>3</v>
      </c>
      <c r="AV77">
        <v>1</v>
      </c>
      <c r="AW77">
        <v>2</v>
      </c>
      <c r="AX77">
        <v>82813573</v>
      </c>
      <c r="AY77">
        <v>1</v>
      </c>
      <c r="AZ77">
        <v>0</v>
      </c>
      <c r="BA77">
        <v>74</v>
      </c>
      <c r="BB77">
        <v>1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80.213999999999999</v>
      </c>
      <c r="BL77">
        <v>0</v>
      </c>
      <c r="BM77">
        <v>0</v>
      </c>
      <c r="BN77">
        <v>0</v>
      </c>
      <c r="BO77">
        <v>0</v>
      </c>
      <c r="BP77">
        <v>1</v>
      </c>
      <c r="BQ77">
        <v>0</v>
      </c>
      <c r="BR77">
        <v>80.213999999999999</v>
      </c>
      <c r="BS77">
        <v>0</v>
      </c>
      <c r="BT77">
        <v>0</v>
      </c>
      <c r="BU77">
        <v>0</v>
      </c>
      <c r="BV77">
        <v>0</v>
      </c>
      <c r="BW77">
        <v>1</v>
      </c>
      <c r="CV77">
        <v>0</v>
      </c>
      <c r="CW77">
        <f>ROUND(Y77*Source!I50*DO77,7)</f>
        <v>0</v>
      </c>
      <c r="CX77">
        <f>ROUND(Y77*Source!I50,7)</f>
        <v>2.766</v>
      </c>
      <c r="CY77">
        <f>AB77</f>
        <v>5.35</v>
      </c>
      <c r="CZ77">
        <f>AF77</f>
        <v>4.3499999999999996</v>
      </c>
      <c r="DA77">
        <f>AJ77</f>
        <v>1.23</v>
      </c>
      <c r="DB77">
        <f t="shared" si="31"/>
        <v>80.209999999999994</v>
      </c>
      <c r="DC77">
        <f t="shared" si="32"/>
        <v>0</v>
      </c>
      <c r="DD77" t="s">
        <v>3</v>
      </c>
      <c r="DE77" t="s">
        <v>3</v>
      </c>
      <c r="DF77">
        <f t="shared" si="38"/>
        <v>0</v>
      </c>
      <c r="DG77">
        <f>ROUND(ROUND(AF77*AJ77,2)*CX77,2)</f>
        <v>14.8</v>
      </c>
      <c r="DH77">
        <f t="shared" si="36"/>
        <v>0</v>
      </c>
      <c r="DI77">
        <f t="shared" si="37"/>
        <v>0</v>
      </c>
      <c r="DJ77">
        <f>DG77+DH77</f>
        <v>14.8</v>
      </c>
      <c r="DK77">
        <v>0</v>
      </c>
      <c r="DL77" t="s">
        <v>3</v>
      </c>
      <c r="DM77">
        <v>0</v>
      </c>
      <c r="DN77" t="s">
        <v>3</v>
      </c>
      <c r="DO77">
        <v>0</v>
      </c>
    </row>
    <row r="78" spans="1:119" x14ac:dyDescent="0.2">
      <c r="A78">
        <f>ROW(Source!A50)</f>
        <v>50</v>
      </c>
      <c r="B78">
        <v>82813384</v>
      </c>
      <c r="C78">
        <v>82813567</v>
      </c>
      <c r="D78">
        <v>81034712</v>
      </c>
      <c r="E78">
        <v>1</v>
      </c>
      <c r="F78">
        <v>1</v>
      </c>
      <c r="G78">
        <v>1</v>
      </c>
      <c r="H78">
        <v>3</v>
      </c>
      <c r="I78" t="s">
        <v>293</v>
      </c>
      <c r="J78" t="s">
        <v>294</v>
      </c>
      <c r="K78" t="s">
        <v>295</v>
      </c>
      <c r="L78">
        <v>1339</v>
      </c>
      <c r="N78">
        <v>1007</v>
      </c>
      <c r="O78" t="s">
        <v>296</v>
      </c>
      <c r="P78" t="s">
        <v>296</v>
      </c>
      <c r="Q78">
        <v>1</v>
      </c>
      <c r="W78">
        <v>0</v>
      </c>
      <c r="X78">
        <v>58756862</v>
      </c>
      <c r="Y78">
        <f t="shared" si="27"/>
        <v>0.32</v>
      </c>
      <c r="AA78">
        <v>544.66</v>
      </c>
      <c r="AB78">
        <v>0</v>
      </c>
      <c r="AC78">
        <v>0</v>
      </c>
      <c r="AD78">
        <v>0</v>
      </c>
      <c r="AE78">
        <v>340.41</v>
      </c>
      <c r="AF78">
        <v>0</v>
      </c>
      <c r="AG78">
        <v>0</v>
      </c>
      <c r="AH78">
        <v>0</v>
      </c>
      <c r="AI78">
        <v>1.6</v>
      </c>
      <c r="AJ78">
        <v>1</v>
      </c>
      <c r="AK78">
        <v>1</v>
      </c>
      <c r="AL78">
        <v>1</v>
      </c>
      <c r="AM78">
        <v>2</v>
      </c>
      <c r="AN78">
        <v>0</v>
      </c>
      <c r="AO78">
        <v>0</v>
      </c>
      <c r="AP78">
        <v>0</v>
      </c>
      <c r="AQ78">
        <v>1</v>
      </c>
      <c r="AR78">
        <v>0</v>
      </c>
      <c r="AS78" t="s">
        <v>3</v>
      </c>
      <c r="AT78">
        <v>0.32</v>
      </c>
      <c r="AU78" t="s">
        <v>3</v>
      </c>
      <c r="AV78">
        <v>0</v>
      </c>
      <c r="AW78">
        <v>2</v>
      </c>
      <c r="AX78">
        <v>82813574</v>
      </c>
      <c r="AY78">
        <v>1</v>
      </c>
      <c r="AZ78">
        <v>0</v>
      </c>
      <c r="BA78">
        <v>75</v>
      </c>
      <c r="BB78">
        <v>1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108.9312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1</v>
      </c>
      <c r="BQ78">
        <v>108.9312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1</v>
      </c>
      <c r="CV78">
        <v>0</v>
      </c>
      <c r="CW78">
        <v>0</v>
      </c>
      <c r="CX78">
        <f>ROUND(Y78*Source!I50,7)</f>
        <v>4.8000000000000001E-2</v>
      </c>
      <c r="CY78">
        <f t="shared" ref="CY78:CY85" si="39">AA78</f>
        <v>544.66</v>
      </c>
      <c r="CZ78">
        <f t="shared" ref="CZ78:CZ85" si="40">AE78</f>
        <v>340.41</v>
      </c>
      <c r="DA78">
        <f t="shared" ref="DA78:DA85" si="41">AI78</f>
        <v>1.6</v>
      </c>
      <c r="DB78">
        <f t="shared" si="31"/>
        <v>108.93</v>
      </c>
      <c r="DC78">
        <f t="shared" si="32"/>
        <v>0</v>
      </c>
      <c r="DD78" t="s">
        <v>3</v>
      </c>
      <c r="DE78" t="s">
        <v>3</v>
      </c>
      <c r="DF78">
        <f t="shared" ref="DF78:DF83" si="42">ROUND(ROUND(AE78*AI78,2)*CX78,2)</f>
        <v>26.14</v>
      </c>
      <c r="DG78">
        <f t="shared" ref="DG78:DG91" si="43">ROUND(ROUND(AF78,2)*CX78,2)</f>
        <v>0</v>
      </c>
      <c r="DH78">
        <f t="shared" si="36"/>
        <v>0</v>
      </c>
      <c r="DI78">
        <f t="shared" si="37"/>
        <v>0</v>
      </c>
      <c r="DJ78">
        <f t="shared" ref="DJ78:DJ85" si="44">DF78</f>
        <v>26.14</v>
      </c>
      <c r="DK78">
        <v>0</v>
      </c>
      <c r="DL78" t="s">
        <v>3</v>
      </c>
      <c r="DM78">
        <v>0</v>
      </c>
      <c r="DN78" t="s">
        <v>3</v>
      </c>
      <c r="DO78">
        <v>0</v>
      </c>
    </row>
    <row r="79" spans="1:119" x14ac:dyDescent="0.2">
      <c r="A79">
        <f>ROW(Source!A50)</f>
        <v>50</v>
      </c>
      <c r="B79">
        <v>82813384</v>
      </c>
      <c r="C79">
        <v>82813567</v>
      </c>
      <c r="D79">
        <v>81034728</v>
      </c>
      <c r="E79">
        <v>1</v>
      </c>
      <c r="F79">
        <v>1</v>
      </c>
      <c r="G79">
        <v>1</v>
      </c>
      <c r="H79">
        <v>3</v>
      </c>
      <c r="I79" t="s">
        <v>297</v>
      </c>
      <c r="J79" t="s">
        <v>298</v>
      </c>
      <c r="K79" t="s">
        <v>299</v>
      </c>
      <c r="L79">
        <v>1339</v>
      </c>
      <c r="N79">
        <v>1007</v>
      </c>
      <c r="O79" t="s">
        <v>296</v>
      </c>
      <c r="P79" t="s">
        <v>296</v>
      </c>
      <c r="Q79">
        <v>1</v>
      </c>
      <c r="W79">
        <v>0</v>
      </c>
      <c r="X79">
        <v>1531571680</v>
      </c>
      <c r="Y79">
        <f t="shared" si="27"/>
        <v>0.35</v>
      </c>
      <c r="AA79">
        <v>98.59</v>
      </c>
      <c r="AB79">
        <v>0</v>
      </c>
      <c r="AC79">
        <v>0</v>
      </c>
      <c r="AD79">
        <v>0</v>
      </c>
      <c r="AE79">
        <v>114.64</v>
      </c>
      <c r="AF79">
        <v>0</v>
      </c>
      <c r="AG79">
        <v>0</v>
      </c>
      <c r="AH79">
        <v>0</v>
      </c>
      <c r="AI79">
        <v>0.86</v>
      </c>
      <c r="AJ79">
        <v>1</v>
      </c>
      <c r="AK79">
        <v>1</v>
      </c>
      <c r="AL79">
        <v>1</v>
      </c>
      <c r="AM79">
        <v>2</v>
      </c>
      <c r="AN79">
        <v>0</v>
      </c>
      <c r="AO79">
        <v>0</v>
      </c>
      <c r="AP79">
        <v>0</v>
      </c>
      <c r="AQ79">
        <v>1</v>
      </c>
      <c r="AR79">
        <v>0</v>
      </c>
      <c r="AS79" t="s">
        <v>3</v>
      </c>
      <c r="AT79">
        <v>0.35</v>
      </c>
      <c r="AU79" t="s">
        <v>3</v>
      </c>
      <c r="AV79">
        <v>0</v>
      </c>
      <c r="AW79">
        <v>2</v>
      </c>
      <c r="AX79">
        <v>82813575</v>
      </c>
      <c r="AY79">
        <v>1</v>
      </c>
      <c r="AZ79">
        <v>0</v>
      </c>
      <c r="BA79">
        <v>76</v>
      </c>
      <c r="BB79">
        <v>1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40.123999999999995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1</v>
      </c>
      <c r="BQ79">
        <v>40.123999999999995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1</v>
      </c>
      <c r="CV79">
        <v>0</v>
      </c>
      <c r="CW79">
        <v>0</v>
      </c>
      <c r="CX79">
        <f>ROUND(Y79*Source!I50,7)</f>
        <v>5.2499999999999998E-2</v>
      </c>
      <c r="CY79">
        <f t="shared" si="39"/>
        <v>98.59</v>
      </c>
      <c r="CZ79">
        <f t="shared" si="40"/>
        <v>114.64</v>
      </c>
      <c r="DA79">
        <f t="shared" si="41"/>
        <v>0.86</v>
      </c>
      <c r="DB79">
        <f t="shared" si="31"/>
        <v>40.119999999999997</v>
      </c>
      <c r="DC79">
        <f t="shared" si="32"/>
        <v>0</v>
      </c>
      <c r="DD79" t="s">
        <v>3</v>
      </c>
      <c r="DE79" t="s">
        <v>3</v>
      </c>
      <c r="DF79">
        <f t="shared" si="42"/>
        <v>5.18</v>
      </c>
      <c r="DG79">
        <f t="shared" si="43"/>
        <v>0</v>
      </c>
      <c r="DH79">
        <f t="shared" si="36"/>
        <v>0</v>
      </c>
      <c r="DI79">
        <f t="shared" si="37"/>
        <v>0</v>
      </c>
      <c r="DJ79">
        <f t="shared" si="44"/>
        <v>5.18</v>
      </c>
      <c r="DK79">
        <v>0</v>
      </c>
      <c r="DL79" t="s">
        <v>3</v>
      </c>
      <c r="DM79">
        <v>0</v>
      </c>
      <c r="DN79" t="s">
        <v>3</v>
      </c>
      <c r="DO79">
        <v>0</v>
      </c>
    </row>
    <row r="80" spans="1:119" x14ac:dyDescent="0.2">
      <c r="A80">
        <f>ROW(Source!A50)</f>
        <v>50</v>
      </c>
      <c r="B80">
        <v>82813384</v>
      </c>
      <c r="C80">
        <v>82813567</v>
      </c>
      <c r="D80">
        <v>81036692</v>
      </c>
      <c r="E80">
        <v>1</v>
      </c>
      <c r="F80">
        <v>1</v>
      </c>
      <c r="G80">
        <v>1</v>
      </c>
      <c r="H80">
        <v>3</v>
      </c>
      <c r="I80" t="s">
        <v>339</v>
      </c>
      <c r="J80" t="s">
        <v>340</v>
      </c>
      <c r="K80" t="s">
        <v>341</v>
      </c>
      <c r="L80">
        <v>1339</v>
      </c>
      <c r="N80">
        <v>1007</v>
      </c>
      <c r="O80" t="s">
        <v>296</v>
      </c>
      <c r="P80" t="s">
        <v>296</v>
      </c>
      <c r="Q80">
        <v>1</v>
      </c>
      <c r="W80">
        <v>0</v>
      </c>
      <c r="X80">
        <v>727623859</v>
      </c>
      <c r="Y80">
        <f t="shared" si="27"/>
        <v>2.75</v>
      </c>
      <c r="AA80">
        <v>54.64</v>
      </c>
      <c r="AB80">
        <v>0</v>
      </c>
      <c r="AC80">
        <v>0</v>
      </c>
      <c r="AD80">
        <v>0</v>
      </c>
      <c r="AE80">
        <v>35.71</v>
      </c>
      <c r="AF80">
        <v>0</v>
      </c>
      <c r="AG80">
        <v>0</v>
      </c>
      <c r="AH80">
        <v>0</v>
      </c>
      <c r="AI80">
        <v>1.53</v>
      </c>
      <c r="AJ80">
        <v>1</v>
      </c>
      <c r="AK80">
        <v>1</v>
      </c>
      <c r="AL80">
        <v>1</v>
      </c>
      <c r="AM80">
        <v>2</v>
      </c>
      <c r="AN80">
        <v>0</v>
      </c>
      <c r="AO80">
        <v>0</v>
      </c>
      <c r="AP80">
        <v>0</v>
      </c>
      <c r="AQ80">
        <v>1</v>
      </c>
      <c r="AR80">
        <v>0</v>
      </c>
      <c r="AS80" t="s">
        <v>3</v>
      </c>
      <c r="AT80">
        <v>2.75</v>
      </c>
      <c r="AU80" t="s">
        <v>3</v>
      </c>
      <c r="AV80">
        <v>0</v>
      </c>
      <c r="AW80">
        <v>2</v>
      </c>
      <c r="AX80">
        <v>82813576</v>
      </c>
      <c r="AY80">
        <v>1</v>
      </c>
      <c r="AZ80">
        <v>0</v>
      </c>
      <c r="BA80">
        <v>77</v>
      </c>
      <c r="BB80">
        <v>1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98.202500000000001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1</v>
      </c>
      <c r="BQ80">
        <v>98.202500000000001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1</v>
      </c>
      <c r="CV80">
        <v>0</v>
      </c>
      <c r="CW80">
        <v>0</v>
      </c>
      <c r="CX80">
        <f>ROUND(Y80*Source!I50,7)</f>
        <v>0.41249999999999998</v>
      </c>
      <c r="CY80">
        <f t="shared" si="39"/>
        <v>54.64</v>
      </c>
      <c r="CZ80">
        <f t="shared" si="40"/>
        <v>35.71</v>
      </c>
      <c r="DA80">
        <f t="shared" si="41"/>
        <v>1.53</v>
      </c>
      <c r="DB80">
        <f t="shared" si="31"/>
        <v>98.2</v>
      </c>
      <c r="DC80">
        <f t="shared" si="32"/>
        <v>0</v>
      </c>
      <c r="DD80" t="s">
        <v>3</v>
      </c>
      <c r="DE80" t="s">
        <v>3</v>
      </c>
      <c r="DF80">
        <f t="shared" si="42"/>
        <v>22.54</v>
      </c>
      <c r="DG80">
        <f t="shared" si="43"/>
        <v>0</v>
      </c>
      <c r="DH80">
        <f t="shared" si="36"/>
        <v>0</v>
      </c>
      <c r="DI80">
        <f t="shared" si="37"/>
        <v>0</v>
      </c>
      <c r="DJ80">
        <f t="shared" si="44"/>
        <v>22.54</v>
      </c>
      <c r="DK80">
        <v>0</v>
      </c>
      <c r="DL80" t="s">
        <v>3</v>
      </c>
      <c r="DM80">
        <v>0</v>
      </c>
      <c r="DN80" t="s">
        <v>3</v>
      </c>
      <c r="DO80">
        <v>0</v>
      </c>
    </row>
    <row r="81" spans="1:119" x14ac:dyDescent="0.2">
      <c r="A81">
        <f>ROW(Source!A50)</f>
        <v>50</v>
      </c>
      <c r="B81">
        <v>82813384</v>
      </c>
      <c r="C81">
        <v>82813567</v>
      </c>
      <c r="D81">
        <v>81037319</v>
      </c>
      <c r="E81">
        <v>1</v>
      </c>
      <c r="F81">
        <v>1</v>
      </c>
      <c r="G81">
        <v>1</v>
      </c>
      <c r="H81">
        <v>3</v>
      </c>
      <c r="I81" t="s">
        <v>351</v>
      </c>
      <c r="J81" t="s">
        <v>352</v>
      </c>
      <c r="K81" t="s">
        <v>353</v>
      </c>
      <c r="L81">
        <v>1348</v>
      </c>
      <c r="N81">
        <v>1009</v>
      </c>
      <c r="O81" t="s">
        <v>59</v>
      </c>
      <c r="P81" t="s">
        <v>59</v>
      </c>
      <c r="Q81">
        <v>1000</v>
      </c>
      <c r="W81">
        <v>0</v>
      </c>
      <c r="X81">
        <v>-1103083935</v>
      </c>
      <c r="Y81">
        <f t="shared" si="27"/>
        <v>2.0000000000000001E-4</v>
      </c>
      <c r="AA81">
        <v>109929.65</v>
      </c>
      <c r="AB81">
        <v>0</v>
      </c>
      <c r="AC81">
        <v>0</v>
      </c>
      <c r="AD81">
        <v>0</v>
      </c>
      <c r="AE81">
        <v>97282.880000000005</v>
      </c>
      <c r="AF81">
        <v>0</v>
      </c>
      <c r="AG81">
        <v>0</v>
      </c>
      <c r="AH81">
        <v>0</v>
      </c>
      <c r="AI81">
        <v>1.1299999999999999</v>
      </c>
      <c r="AJ81">
        <v>1</v>
      </c>
      <c r="AK81">
        <v>1</v>
      </c>
      <c r="AL81">
        <v>1</v>
      </c>
      <c r="AM81">
        <v>2</v>
      </c>
      <c r="AN81">
        <v>0</v>
      </c>
      <c r="AO81">
        <v>0</v>
      </c>
      <c r="AP81">
        <v>0</v>
      </c>
      <c r="AQ81">
        <v>1</v>
      </c>
      <c r="AR81">
        <v>0</v>
      </c>
      <c r="AS81" t="s">
        <v>3</v>
      </c>
      <c r="AT81">
        <v>2.0000000000000001E-4</v>
      </c>
      <c r="AU81" t="s">
        <v>3</v>
      </c>
      <c r="AV81">
        <v>0</v>
      </c>
      <c r="AW81">
        <v>2</v>
      </c>
      <c r="AX81">
        <v>82813577</v>
      </c>
      <c r="AY81">
        <v>1</v>
      </c>
      <c r="AZ81">
        <v>0</v>
      </c>
      <c r="BA81">
        <v>78</v>
      </c>
      <c r="BB81">
        <v>1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19.456576000000002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1</v>
      </c>
      <c r="BQ81">
        <v>19.456576000000002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1</v>
      </c>
      <c r="CV81">
        <v>0</v>
      </c>
      <c r="CW81">
        <v>0</v>
      </c>
      <c r="CX81">
        <f>ROUND(Y81*Source!I50,7)</f>
        <v>3.0000000000000001E-5</v>
      </c>
      <c r="CY81">
        <f t="shared" si="39"/>
        <v>109929.65</v>
      </c>
      <c r="CZ81">
        <f t="shared" si="40"/>
        <v>97282.880000000005</v>
      </c>
      <c r="DA81">
        <f t="shared" si="41"/>
        <v>1.1299999999999999</v>
      </c>
      <c r="DB81">
        <f t="shared" si="31"/>
        <v>19.46</v>
      </c>
      <c r="DC81">
        <f t="shared" si="32"/>
        <v>0</v>
      </c>
      <c r="DD81" t="s">
        <v>3</v>
      </c>
      <c r="DE81" t="s">
        <v>3</v>
      </c>
      <c r="DF81">
        <f t="shared" si="42"/>
        <v>3.3</v>
      </c>
      <c r="DG81">
        <f t="shared" si="43"/>
        <v>0</v>
      </c>
      <c r="DH81">
        <f t="shared" si="36"/>
        <v>0</v>
      </c>
      <c r="DI81">
        <f t="shared" si="37"/>
        <v>0</v>
      </c>
      <c r="DJ81">
        <f t="shared" si="44"/>
        <v>3.3</v>
      </c>
      <c r="DK81">
        <v>0</v>
      </c>
      <c r="DL81" t="s">
        <v>3</v>
      </c>
      <c r="DM81">
        <v>0</v>
      </c>
      <c r="DN81" t="s">
        <v>3</v>
      </c>
      <c r="DO81">
        <v>0</v>
      </c>
    </row>
    <row r="82" spans="1:119" x14ac:dyDescent="0.2">
      <c r="A82">
        <f>ROW(Source!A50)</f>
        <v>50</v>
      </c>
      <c r="B82">
        <v>82813384</v>
      </c>
      <c r="C82">
        <v>82813567</v>
      </c>
      <c r="D82">
        <v>81040064</v>
      </c>
      <c r="E82">
        <v>1</v>
      </c>
      <c r="F82">
        <v>1</v>
      </c>
      <c r="G82">
        <v>1</v>
      </c>
      <c r="H82">
        <v>3</v>
      </c>
      <c r="I82" t="s">
        <v>354</v>
      </c>
      <c r="J82" t="s">
        <v>355</v>
      </c>
      <c r="K82" t="s">
        <v>356</v>
      </c>
      <c r="L82">
        <v>1346</v>
      </c>
      <c r="N82">
        <v>1009</v>
      </c>
      <c r="O82" t="s">
        <v>93</v>
      </c>
      <c r="P82" t="s">
        <v>93</v>
      </c>
      <c r="Q82">
        <v>1</v>
      </c>
      <c r="W82">
        <v>0</v>
      </c>
      <c r="X82">
        <v>1251286720</v>
      </c>
      <c r="Y82">
        <f t="shared" si="27"/>
        <v>9.9000000000000008E-3</v>
      </c>
      <c r="AA82">
        <v>87.93</v>
      </c>
      <c r="AB82">
        <v>0</v>
      </c>
      <c r="AC82">
        <v>0</v>
      </c>
      <c r="AD82">
        <v>0</v>
      </c>
      <c r="AE82">
        <v>59.41</v>
      </c>
      <c r="AF82">
        <v>0</v>
      </c>
      <c r="AG82">
        <v>0</v>
      </c>
      <c r="AH82">
        <v>0</v>
      </c>
      <c r="AI82">
        <v>1.48</v>
      </c>
      <c r="AJ82">
        <v>1</v>
      </c>
      <c r="AK82">
        <v>1</v>
      </c>
      <c r="AL82">
        <v>1</v>
      </c>
      <c r="AM82">
        <v>2</v>
      </c>
      <c r="AN82">
        <v>0</v>
      </c>
      <c r="AO82">
        <v>0</v>
      </c>
      <c r="AP82">
        <v>0</v>
      </c>
      <c r="AQ82">
        <v>1</v>
      </c>
      <c r="AR82">
        <v>0</v>
      </c>
      <c r="AS82" t="s">
        <v>3</v>
      </c>
      <c r="AT82">
        <v>9.9000000000000008E-3</v>
      </c>
      <c r="AU82" t="s">
        <v>3</v>
      </c>
      <c r="AV82">
        <v>0</v>
      </c>
      <c r="AW82">
        <v>2</v>
      </c>
      <c r="AX82">
        <v>82813578</v>
      </c>
      <c r="AY82">
        <v>1</v>
      </c>
      <c r="AZ82">
        <v>0</v>
      </c>
      <c r="BA82">
        <v>79</v>
      </c>
      <c r="BB82">
        <v>1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0.58815899999999999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1</v>
      </c>
      <c r="BQ82">
        <v>0.58815899999999999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1</v>
      </c>
      <c r="CV82">
        <v>0</v>
      </c>
      <c r="CW82">
        <v>0</v>
      </c>
      <c r="CX82">
        <f>ROUND(Y82*Source!I50,7)</f>
        <v>1.485E-3</v>
      </c>
      <c r="CY82">
        <f t="shared" si="39"/>
        <v>87.93</v>
      </c>
      <c r="CZ82">
        <f t="shared" si="40"/>
        <v>59.41</v>
      </c>
      <c r="DA82">
        <f t="shared" si="41"/>
        <v>1.48</v>
      </c>
      <c r="DB82">
        <f t="shared" si="31"/>
        <v>0.59</v>
      </c>
      <c r="DC82">
        <f t="shared" si="32"/>
        <v>0</v>
      </c>
      <c r="DD82" t="s">
        <v>3</v>
      </c>
      <c r="DE82" t="s">
        <v>3</v>
      </c>
      <c r="DF82">
        <f t="shared" si="42"/>
        <v>0.13</v>
      </c>
      <c r="DG82">
        <f t="shared" si="43"/>
        <v>0</v>
      </c>
      <c r="DH82">
        <f t="shared" si="36"/>
        <v>0</v>
      </c>
      <c r="DI82">
        <f t="shared" si="37"/>
        <v>0</v>
      </c>
      <c r="DJ82">
        <f t="shared" si="44"/>
        <v>0.13</v>
      </c>
      <c r="DK82">
        <v>0</v>
      </c>
      <c r="DL82" t="s">
        <v>3</v>
      </c>
      <c r="DM82">
        <v>0</v>
      </c>
      <c r="DN82" t="s">
        <v>3</v>
      </c>
      <c r="DO82">
        <v>0</v>
      </c>
    </row>
    <row r="83" spans="1:119" x14ac:dyDescent="0.2">
      <c r="A83">
        <f>ROW(Source!A50)</f>
        <v>50</v>
      </c>
      <c r="B83">
        <v>82813384</v>
      </c>
      <c r="C83">
        <v>82813567</v>
      </c>
      <c r="D83">
        <v>81040652</v>
      </c>
      <c r="E83">
        <v>1</v>
      </c>
      <c r="F83">
        <v>1</v>
      </c>
      <c r="G83">
        <v>1</v>
      </c>
      <c r="H83">
        <v>3</v>
      </c>
      <c r="I83" t="s">
        <v>365</v>
      </c>
      <c r="J83" t="s">
        <v>366</v>
      </c>
      <c r="K83" t="s">
        <v>367</v>
      </c>
      <c r="L83">
        <v>1339</v>
      </c>
      <c r="N83">
        <v>1007</v>
      </c>
      <c r="O83" t="s">
        <v>296</v>
      </c>
      <c r="P83" t="s">
        <v>296</v>
      </c>
      <c r="Q83">
        <v>1</v>
      </c>
      <c r="W83">
        <v>0</v>
      </c>
      <c r="X83">
        <v>13638091</v>
      </c>
      <c r="Y83">
        <f t="shared" si="27"/>
        <v>8.0000000000000002E-3</v>
      </c>
      <c r="AA83">
        <v>5647.07</v>
      </c>
      <c r="AB83">
        <v>0</v>
      </c>
      <c r="AC83">
        <v>0</v>
      </c>
      <c r="AD83">
        <v>0</v>
      </c>
      <c r="AE83">
        <v>4033.62</v>
      </c>
      <c r="AF83">
        <v>0</v>
      </c>
      <c r="AG83">
        <v>0</v>
      </c>
      <c r="AH83">
        <v>0</v>
      </c>
      <c r="AI83">
        <v>1.4</v>
      </c>
      <c r="AJ83">
        <v>1</v>
      </c>
      <c r="AK83">
        <v>1</v>
      </c>
      <c r="AL83">
        <v>1</v>
      </c>
      <c r="AM83">
        <v>2</v>
      </c>
      <c r="AN83">
        <v>0</v>
      </c>
      <c r="AO83">
        <v>0</v>
      </c>
      <c r="AP83">
        <v>0</v>
      </c>
      <c r="AQ83">
        <v>1</v>
      </c>
      <c r="AR83">
        <v>0</v>
      </c>
      <c r="AS83" t="s">
        <v>3</v>
      </c>
      <c r="AT83">
        <v>8.0000000000000002E-3</v>
      </c>
      <c r="AU83" t="s">
        <v>3</v>
      </c>
      <c r="AV83">
        <v>0</v>
      </c>
      <c r="AW83">
        <v>2</v>
      </c>
      <c r="AX83">
        <v>82813579</v>
      </c>
      <c r="AY83">
        <v>1</v>
      </c>
      <c r="AZ83">
        <v>0</v>
      </c>
      <c r="BA83">
        <v>80</v>
      </c>
      <c r="BB83">
        <v>1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32.26896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1</v>
      </c>
      <c r="BQ83">
        <v>32.26896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1</v>
      </c>
      <c r="CV83">
        <v>0</v>
      </c>
      <c r="CW83">
        <v>0</v>
      </c>
      <c r="CX83">
        <f>ROUND(Y83*Source!I50,7)</f>
        <v>1.1999999999999999E-3</v>
      </c>
      <c r="CY83">
        <f t="shared" si="39"/>
        <v>5647.07</v>
      </c>
      <c r="CZ83">
        <f t="shared" si="40"/>
        <v>4033.62</v>
      </c>
      <c r="DA83">
        <f t="shared" si="41"/>
        <v>1.4</v>
      </c>
      <c r="DB83">
        <f t="shared" si="31"/>
        <v>32.270000000000003</v>
      </c>
      <c r="DC83">
        <f t="shared" si="32"/>
        <v>0</v>
      </c>
      <c r="DD83" t="s">
        <v>3</v>
      </c>
      <c r="DE83" t="s">
        <v>3</v>
      </c>
      <c r="DF83">
        <f t="shared" si="42"/>
        <v>6.78</v>
      </c>
      <c r="DG83">
        <f t="shared" si="43"/>
        <v>0</v>
      </c>
      <c r="DH83">
        <f t="shared" si="36"/>
        <v>0</v>
      </c>
      <c r="DI83">
        <f t="shared" si="37"/>
        <v>0</v>
      </c>
      <c r="DJ83">
        <f t="shared" si="44"/>
        <v>6.78</v>
      </c>
      <c r="DK83">
        <v>0</v>
      </c>
      <c r="DL83" t="s">
        <v>3</v>
      </c>
      <c r="DM83">
        <v>0</v>
      </c>
      <c r="DN83" t="s">
        <v>3</v>
      </c>
      <c r="DO83">
        <v>0</v>
      </c>
    </row>
    <row r="84" spans="1:119" x14ac:dyDescent="0.2">
      <c r="A84">
        <f>ROW(Source!A50)</f>
        <v>50</v>
      </c>
      <c r="B84">
        <v>82813384</v>
      </c>
      <c r="C84">
        <v>82813567</v>
      </c>
      <c r="D84">
        <v>80965317</v>
      </c>
      <c r="E84">
        <v>118</v>
      </c>
      <c r="F84">
        <v>1</v>
      </c>
      <c r="G84">
        <v>1</v>
      </c>
      <c r="H84">
        <v>3</v>
      </c>
      <c r="I84" t="s">
        <v>91</v>
      </c>
      <c r="J84" t="s">
        <v>3</v>
      </c>
      <c r="K84" t="s">
        <v>92</v>
      </c>
      <c r="L84">
        <v>1346</v>
      </c>
      <c r="N84">
        <v>1009</v>
      </c>
      <c r="O84" t="s">
        <v>93</v>
      </c>
      <c r="P84" t="s">
        <v>93</v>
      </c>
      <c r="Q84">
        <v>1</v>
      </c>
      <c r="W84">
        <v>0</v>
      </c>
      <c r="X84">
        <v>1447119578</v>
      </c>
      <c r="Y84">
        <f t="shared" si="27"/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1</v>
      </c>
      <c r="AJ84">
        <v>1</v>
      </c>
      <c r="AK84">
        <v>1</v>
      </c>
      <c r="AL84">
        <v>1</v>
      </c>
      <c r="AM84">
        <v>0</v>
      </c>
      <c r="AN84">
        <v>1</v>
      </c>
      <c r="AO84">
        <v>0</v>
      </c>
      <c r="AP84">
        <v>0</v>
      </c>
      <c r="AQ84">
        <v>0</v>
      </c>
      <c r="AR84">
        <v>0</v>
      </c>
      <c r="AS84" t="s">
        <v>3</v>
      </c>
      <c r="AT84">
        <v>0</v>
      </c>
      <c r="AU84" t="s">
        <v>3</v>
      </c>
      <c r="AV84">
        <v>0</v>
      </c>
      <c r="AW84">
        <v>2</v>
      </c>
      <c r="AX84">
        <v>82813580</v>
      </c>
      <c r="AY84">
        <v>1</v>
      </c>
      <c r="AZ84">
        <v>0</v>
      </c>
      <c r="BA84">
        <v>81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CV84">
        <v>0</v>
      </c>
      <c r="CW84">
        <v>0</v>
      </c>
      <c r="CX84">
        <f>ROUND(Y84*Source!I50,7)</f>
        <v>0</v>
      </c>
      <c r="CY84">
        <f t="shared" si="39"/>
        <v>0</v>
      </c>
      <c r="CZ84">
        <f t="shared" si="40"/>
        <v>0</v>
      </c>
      <c r="DA84">
        <f t="shared" si="41"/>
        <v>1</v>
      </c>
      <c r="DB84">
        <f t="shared" si="31"/>
        <v>0</v>
      </c>
      <c r="DC84">
        <f t="shared" si="32"/>
        <v>0</v>
      </c>
      <c r="DD84" t="s">
        <v>3</v>
      </c>
      <c r="DE84" t="s">
        <v>3</v>
      </c>
      <c r="DF84">
        <f t="shared" ref="DF84:DF93" si="45">ROUND(ROUND(AE84,2)*CX84,2)</f>
        <v>0</v>
      </c>
      <c r="DG84">
        <f t="shared" si="43"/>
        <v>0</v>
      </c>
      <c r="DH84">
        <f t="shared" si="36"/>
        <v>0</v>
      </c>
      <c r="DI84">
        <f t="shared" si="37"/>
        <v>0</v>
      </c>
      <c r="DJ84">
        <f t="shared" si="44"/>
        <v>0</v>
      </c>
      <c r="DK84">
        <v>0</v>
      </c>
      <c r="DL84" t="s">
        <v>3</v>
      </c>
      <c r="DM84">
        <v>0</v>
      </c>
      <c r="DN84" t="s">
        <v>3</v>
      </c>
      <c r="DO84">
        <v>0</v>
      </c>
    </row>
    <row r="85" spans="1:119" x14ac:dyDescent="0.2">
      <c r="A85">
        <f>ROW(Source!A50)</f>
        <v>50</v>
      </c>
      <c r="B85">
        <v>82813384</v>
      </c>
      <c r="C85">
        <v>82813567</v>
      </c>
      <c r="D85">
        <v>80965540</v>
      </c>
      <c r="E85">
        <v>118</v>
      </c>
      <c r="F85">
        <v>1</v>
      </c>
      <c r="G85">
        <v>1</v>
      </c>
      <c r="H85">
        <v>3</v>
      </c>
      <c r="I85" t="s">
        <v>117</v>
      </c>
      <c r="J85" t="s">
        <v>3</v>
      </c>
      <c r="K85" t="s">
        <v>90</v>
      </c>
      <c r="L85">
        <v>1301</v>
      </c>
      <c r="N85">
        <v>1003</v>
      </c>
      <c r="O85" t="s">
        <v>72</v>
      </c>
      <c r="P85" t="s">
        <v>72</v>
      </c>
      <c r="Q85">
        <v>1</v>
      </c>
      <c r="W85">
        <v>0</v>
      </c>
      <c r="X85">
        <v>-2143544928</v>
      </c>
      <c r="Y85">
        <f t="shared" si="27"/>
        <v>100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1</v>
      </c>
      <c r="AJ85">
        <v>1</v>
      </c>
      <c r="AK85">
        <v>1</v>
      </c>
      <c r="AL85">
        <v>1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 t="s">
        <v>3</v>
      </c>
      <c r="AT85">
        <v>100</v>
      </c>
      <c r="AU85" t="s">
        <v>3</v>
      </c>
      <c r="AV85">
        <v>0</v>
      </c>
      <c r="AW85">
        <v>2</v>
      </c>
      <c r="AX85">
        <v>82813581</v>
      </c>
      <c r="AY85">
        <v>1</v>
      </c>
      <c r="AZ85">
        <v>0</v>
      </c>
      <c r="BA85">
        <v>82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CV85">
        <v>0</v>
      </c>
      <c r="CW85">
        <v>0</v>
      </c>
      <c r="CX85">
        <f>ROUND(Y85*Source!I50,7)</f>
        <v>15</v>
      </c>
      <c r="CY85">
        <f t="shared" si="39"/>
        <v>0</v>
      </c>
      <c r="CZ85">
        <f t="shared" si="40"/>
        <v>0</v>
      </c>
      <c r="DA85">
        <f t="shared" si="41"/>
        <v>1</v>
      </c>
      <c r="DB85">
        <f t="shared" si="31"/>
        <v>0</v>
      </c>
      <c r="DC85">
        <f t="shared" si="32"/>
        <v>0</v>
      </c>
      <c r="DD85" t="s">
        <v>3</v>
      </c>
      <c r="DE85" t="s">
        <v>3</v>
      </c>
      <c r="DF85">
        <f t="shared" si="45"/>
        <v>0</v>
      </c>
      <c r="DG85">
        <f t="shared" si="43"/>
        <v>0</v>
      </c>
      <c r="DH85">
        <f t="shared" si="36"/>
        <v>0</v>
      </c>
      <c r="DI85">
        <f t="shared" si="37"/>
        <v>0</v>
      </c>
      <c r="DJ85">
        <f t="shared" si="44"/>
        <v>0</v>
      </c>
      <c r="DK85">
        <v>0</v>
      </c>
      <c r="DL85" t="s">
        <v>3</v>
      </c>
      <c r="DM85">
        <v>0</v>
      </c>
      <c r="DN85" t="s">
        <v>3</v>
      </c>
      <c r="DO85">
        <v>0</v>
      </c>
    </row>
    <row r="86" spans="1:119" x14ac:dyDescent="0.2">
      <c r="A86">
        <f>ROW(Source!A53)</f>
        <v>53</v>
      </c>
      <c r="B86">
        <v>82813384</v>
      </c>
      <c r="C86">
        <v>82813644</v>
      </c>
      <c r="D86">
        <v>80960080</v>
      </c>
      <c r="E86">
        <v>118</v>
      </c>
      <c r="F86">
        <v>1</v>
      </c>
      <c r="G86">
        <v>1</v>
      </c>
      <c r="H86">
        <v>1</v>
      </c>
      <c r="I86" t="s">
        <v>368</v>
      </c>
      <c r="J86" t="s">
        <v>3</v>
      </c>
      <c r="K86" t="s">
        <v>369</v>
      </c>
      <c r="L86">
        <v>1369</v>
      </c>
      <c r="N86">
        <v>1013</v>
      </c>
      <c r="O86" t="s">
        <v>370</v>
      </c>
      <c r="P86" t="s">
        <v>370</v>
      </c>
      <c r="Q86">
        <v>1</v>
      </c>
      <c r="W86">
        <v>0</v>
      </c>
      <c r="X86">
        <v>1187391579</v>
      </c>
      <c r="Y86">
        <f t="shared" si="27"/>
        <v>0.02</v>
      </c>
      <c r="AA86">
        <v>0</v>
      </c>
      <c r="AB86">
        <v>0</v>
      </c>
      <c r="AC86">
        <v>0</v>
      </c>
      <c r="AD86">
        <v>545.58000000000004</v>
      </c>
      <c r="AE86">
        <v>0</v>
      </c>
      <c r="AF86">
        <v>0</v>
      </c>
      <c r="AG86">
        <v>0</v>
      </c>
      <c r="AH86">
        <v>545.58000000000004</v>
      </c>
      <c r="AI86">
        <v>1</v>
      </c>
      <c r="AJ86">
        <v>1</v>
      </c>
      <c r="AK86">
        <v>1</v>
      </c>
      <c r="AL86">
        <v>1</v>
      </c>
      <c r="AM86">
        <v>-2</v>
      </c>
      <c r="AN86">
        <v>0</v>
      </c>
      <c r="AO86">
        <v>0</v>
      </c>
      <c r="AP86">
        <v>1</v>
      </c>
      <c r="AQ86">
        <v>1</v>
      </c>
      <c r="AR86">
        <v>0</v>
      </c>
      <c r="AS86" t="s">
        <v>3</v>
      </c>
      <c r="AT86">
        <v>0.02</v>
      </c>
      <c r="AU86" t="s">
        <v>3</v>
      </c>
      <c r="AV86">
        <v>1</v>
      </c>
      <c r="AW86">
        <v>2</v>
      </c>
      <c r="AX86">
        <v>82813657</v>
      </c>
      <c r="AY86">
        <v>1</v>
      </c>
      <c r="AZ86">
        <v>0</v>
      </c>
      <c r="BA86">
        <v>83</v>
      </c>
      <c r="BB86">
        <v>1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10.911600000000002</v>
      </c>
      <c r="BN86">
        <v>0.02</v>
      </c>
      <c r="BO86">
        <v>0</v>
      </c>
      <c r="BP86">
        <v>1</v>
      </c>
      <c r="BQ86">
        <v>0</v>
      </c>
      <c r="BR86">
        <v>0</v>
      </c>
      <c r="BS86">
        <v>0</v>
      </c>
      <c r="BT86">
        <v>10.911600000000002</v>
      </c>
      <c r="BU86">
        <v>0.02</v>
      </c>
      <c r="BV86">
        <v>0</v>
      </c>
      <c r="BW86">
        <v>1</v>
      </c>
      <c r="CU86">
        <f>ROUND(AT86*Source!I53*AH86*AL86,2)</f>
        <v>10.91</v>
      </c>
      <c r="CV86">
        <f>ROUND(Y86*Source!I53,7)</f>
        <v>0.02</v>
      </c>
      <c r="CW86">
        <v>0</v>
      </c>
      <c r="CX86">
        <f>ROUND(Y86*Source!I53,7)</f>
        <v>0.02</v>
      </c>
      <c r="CY86">
        <f>AD86</f>
        <v>545.58000000000004</v>
      </c>
      <c r="CZ86">
        <f>AH86</f>
        <v>545.58000000000004</v>
      </c>
      <c r="DA86">
        <f>AL86</f>
        <v>1</v>
      </c>
      <c r="DB86">
        <f t="shared" si="31"/>
        <v>10.91</v>
      </c>
      <c r="DC86">
        <f t="shared" si="32"/>
        <v>0</v>
      </c>
      <c r="DD86" t="s">
        <v>3</v>
      </c>
      <c r="DE86" t="s">
        <v>3</v>
      </c>
      <c r="DF86">
        <f t="shared" si="45"/>
        <v>0</v>
      </c>
      <c r="DG86">
        <f t="shared" si="43"/>
        <v>0</v>
      </c>
      <c r="DH86">
        <f t="shared" si="36"/>
        <v>0</v>
      </c>
      <c r="DI86">
        <f t="shared" si="37"/>
        <v>10.91</v>
      </c>
      <c r="DJ86">
        <f>DI86</f>
        <v>10.91</v>
      </c>
      <c r="DK86">
        <v>1</v>
      </c>
      <c r="DL86" t="s">
        <v>3</v>
      </c>
      <c r="DM86">
        <v>0</v>
      </c>
      <c r="DN86" t="s">
        <v>3</v>
      </c>
      <c r="DO86">
        <v>0</v>
      </c>
    </row>
    <row r="87" spans="1:119" x14ac:dyDescent="0.2">
      <c r="A87">
        <f>ROW(Source!A53)</f>
        <v>53</v>
      </c>
      <c r="B87">
        <v>82813384</v>
      </c>
      <c r="C87">
        <v>82813644</v>
      </c>
      <c r="D87">
        <v>80960084</v>
      </c>
      <c r="E87">
        <v>118</v>
      </c>
      <c r="F87">
        <v>1</v>
      </c>
      <c r="G87">
        <v>1</v>
      </c>
      <c r="H87">
        <v>1</v>
      </c>
      <c r="I87" t="s">
        <v>371</v>
      </c>
      <c r="J87" t="s">
        <v>3</v>
      </c>
      <c r="K87" t="s">
        <v>372</v>
      </c>
      <c r="L87">
        <v>1369</v>
      </c>
      <c r="N87">
        <v>1013</v>
      </c>
      <c r="O87" t="s">
        <v>370</v>
      </c>
      <c r="P87" t="s">
        <v>370</v>
      </c>
      <c r="Q87">
        <v>1</v>
      </c>
      <c r="W87">
        <v>0</v>
      </c>
      <c r="X87">
        <v>-587036825</v>
      </c>
      <c r="Y87">
        <f t="shared" si="27"/>
        <v>6.18</v>
      </c>
      <c r="AA87">
        <v>0</v>
      </c>
      <c r="AB87">
        <v>0</v>
      </c>
      <c r="AC87">
        <v>0</v>
      </c>
      <c r="AD87">
        <v>649.24</v>
      </c>
      <c r="AE87">
        <v>0</v>
      </c>
      <c r="AF87">
        <v>0</v>
      </c>
      <c r="AG87">
        <v>0</v>
      </c>
      <c r="AH87">
        <v>649.24</v>
      </c>
      <c r="AI87">
        <v>1</v>
      </c>
      <c r="AJ87">
        <v>1</v>
      </c>
      <c r="AK87">
        <v>1</v>
      </c>
      <c r="AL87">
        <v>1</v>
      </c>
      <c r="AM87">
        <v>-2</v>
      </c>
      <c r="AN87">
        <v>0</v>
      </c>
      <c r="AO87">
        <v>0</v>
      </c>
      <c r="AP87">
        <v>1</v>
      </c>
      <c r="AQ87">
        <v>1</v>
      </c>
      <c r="AR87">
        <v>0</v>
      </c>
      <c r="AS87" t="s">
        <v>3</v>
      </c>
      <c r="AT87">
        <v>6.18</v>
      </c>
      <c r="AU87" t="s">
        <v>3</v>
      </c>
      <c r="AV87">
        <v>1</v>
      </c>
      <c r="AW87">
        <v>2</v>
      </c>
      <c r="AX87">
        <v>82813658</v>
      </c>
      <c r="AY87">
        <v>1</v>
      </c>
      <c r="AZ87">
        <v>0</v>
      </c>
      <c r="BA87">
        <v>84</v>
      </c>
      <c r="BB87">
        <v>1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4012.3031999999998</v>
      </c>
      <c r="BN87">
        <v>6.18</v>
      </c>
      <c r="BO87">
        <v>0</v>
      </c>
      <c r="BP87">
        <v>1</v>
      </c>
      <c r="BQ87">
        <v>0</v>
      </c>
      <c r="BR87">
        <v>0</v>
      </c>
      <c r="BS87">
        <v>0</v>
      </c>
      <c r="BT87">
        <v>4012.3031999999998</v>
      </c>
      <c r="BU87">
        <v>6.18</v>
      </c>
      <c r="BV87">
        <v>0</v>
      </c>
      <c r="BW87">
        <v>1</v>
      </c>
      <c r="CU87">
        <f>ROUND(AT87*Source!I53*AH87*AL87,2)</f>
        <v>4012.3</v>
      </c>
      <c r="CV87">
        <f>ROUND(Y87*Source!I53,7)</f>
        <v>6.18</v>
      </c>
      <c r="CW87">
        <v>0</v>
      </c>
      <c r="CX87">
        <f>ROUND(Y87*Source!I53,7)</f>
        <v>6.18</v>
      </c>
      <c r="CY87">
        <f>AD87</f>
        <v>649.24</v>
      </c>
      <c r="CZ87">
        <f>AH87</f>
        <v>649.24</v>
      </c>
      <c r="DA87">
        <f>AL87</f>
        <v>1</v>
      </c>
      <c r="DB87">
        <f t="shared" si="31"/>
        <v>4012.3</v>
      </c>
      <c r="DC87">
        <f t="shared" si="32"/>
        <v>0</v>
      </c>
      <c r="DD87" t="s">
        <v>3</v>
      </c>
      <c r="DE87" t="s">
        <v>3</v>
      </c>
      <c r="DF87">
        <f t="shared" si="45"/>
        <v>0</v>
      </c>
      <c r="DG87">
        <f t="shared" si="43"/>
        <v>0</v>
      </c>
      <c r="DH87">
        <f t="shared" si="36"/>
        <v>0</v>
      </c>
      <c r="DI87">
        <f t="shared" si="37"/>
        <v>4012.3</v>
      </c>
      <c r="DJ87">
        <f>DI87</f>
        <v>4012.3</v>
      </c>
      <c r="DK87">
        <v>1</v>
      </c>
      <c r="DL87" t="s">
        <v>3</v>
      </c>
      <c r="DM87">
        <v>0</v>
      </c>
      <c r="DN87" t="s">
        <v>3</v>
      </c>
      <c r="DO87">
        <v>0</v>
      </c>
    </row>
    <row r="88" spans="1:119" x14ac:dyDescent="0.2">
      <c r="A88">
        <f>ROW(Source!A53)</f>
        <v>53</v>
      </c>
      <c r="B88">
        <v>82813384</v>
      </c>
      <c r="C88">
        <v>82813644</v>
      </c>
      <c r="D88">
        <v>80960086</v>
      </c>
      <c r="E88">
        <v>118</v>
      </c>
      <c r="F88">
        <v>1</v>
      </c>
      <c r="G88">
        <v>1</v>
      </c>
      <c r="H88">
        <v>1</v>
      </c>
      <c r="I88" t="s">
        <v>373</v>
      </c>
      <c r="J88" t="s">
        <v>3</v>
      </c>
      <c r="K88" t="s">
        <v>374</v>
      </c>
      <c r="L88">
        <v>1369</v>
      </c>
      <c r="N88">
        <v>1013</v>
      </c>
      <c r="O88" t="s">
        <v>370</v>
      </c>
      <c r="P88" t="s">
        <v>370</v>
      </c>
      <c r="Q88">
        <v>1</v>
      </c>
      <c r="W88">
        <v>0</v>
      </c>
      <c r="X88">
        <v>-512803540</v>
      </c>
      <c r="Y88">
        <f t="shared" si="27"/>
        <v>1.44</v>
      </c>
      <c r="AA88">
        <v>0</v>
      </c>
      <c r="AB88">
        <v>0</v>
      </c>
      <c r="AC88">
        <v>0</v>
      </c>
      <c r="AD88">
        <v>731.08</v>
      </c>
      <c r="AE88">
        <v>0</v>
      </c>
      <c r="AF88">
        <v>0</v>
      </c>
      <c r="AG88">
        <v>0</v>
      </c>
      <c r="AH88">
        <v>731.08</v>
      </c>
      <c r="AI88">
        <v>1</v>
      </c>
      <c r="AJ88">
        <v>1</v>
      </c>
      <c r="AK88">
        <v>1</v>
      </c>
      <c r="AL88">
        <v>1</v>
      </c>
      <c r="AM88">
        <v>-2</v>
      </c>
      <c r="AN88">
        <v>0</v>
      </c>
      <c r="AO88">
        <v>0</v>
      </c>
      <c r="AP88">
        <v>1</v>
      </c>
      <c r="AQ88">
        <v>1</v>
      </c>
      <c r="AR88">
        <v>0</v>
      </c>
      <c r="AS88" t="s">
        <v>3</v>
      </c>
      <c r="AT88">
        <v>1.44</v>
      </c>
      <c r="AU88" t="s">
        <v>3</v>
      </c>
      <c r="AV88">
        <v>1</v>
      </c>
      <c r="AW88">
        <v>2</v>
      </c>
      <c r="AX88">
        <v>82813659</v>
      </c>
      <c r="AY88">
        <v>1</v>
      </c>
      <c r="AZ88">
        <v>0</v>
      </c>
      <c r="BA88">
        <v>85</v>
      </c>
      <c r="BB88">
        <v>1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1052.7552000000001</v>
      </c>
      <c r="BN88">
        <v>1.44</v>
      </c>
      <c r="BO88">
        <v>0</v>
      </c>
      <c r="BP88">
        <v>1</v>
      </c>
      <c r="BQ88">
        <v>0</v>
      </c>
      <c r="BR88">
        <v>0</v>
      </c>
      <c r="BS88">
        <v>0</v>
      </c>
      <c r="BT88">
        <v>1052.7552000000001</v>
      </c>
      <c r="BU88">
        <v>1.44</v>
      </c>
      <c r="BV88">
        <v>0</v>
      </c>
      <c r="BW88">
        <v>1</v>
      </c>
      <c r="CU88">
        <f>ROUND(AT88*Source!I53*AH88*AL88,2)</f>
        <v>1052.76</v>
      </c>
      <c r="CV88">
        <f>ROUND(Y88*Source!I53,7)</f>
        <v>1.44</v>
      </c>
      <c r="CW88">
        <v>0</v>
      </c>
      <c r="CX88">
        <f>ROUND(Y88*Source!I53,7)</f>
        <v>1.44</v>
      </c>
      <c r="CY88">
        <f>AD88</f>
        <v>731.08</v>
      </c>
      <c r="CZ88">
        <f>AH88</f>
        <v>731.08</v>
      </c>
      <c r="DA88">
        <f>AL88</f>
        <v>1</v>
      </c>
      <c r="DB88">
        <f t="shared" si="31"/>
        <v>1052.76</v>
      </c>
      <c r="DC88">
        <f t="shared" si="32"/>
        <v>0</v>
      </c>
      <c r="DD88" t="s">
        <v>3</v>
      </c>
      <c r="DE88" t="s">
        <v>3</v>
      </c>
      <c r="DF88">
        <f t="shared" si="45"/>
        <v>0</v>
      </c>
      <c r="DG88">
        <f t="shared" si="43"/>
        <v>0</v>
      </c>
      <c r="DH88">
        <f t="shared" si="36"/>
        <v>0</v>
      </c>
      <c r="DI88">
        <f t="shared" si="37"/>
        <v>1052.76</v>
      </c>
      <c r="DJ88">
        <f>DI88</f>
        <v>1052.76</v>
      </c>
      <c r="DK88">
        <v>1</v>
      </c>
      <c r="DL88" t="s">
        <v>3</v>
      </c>
      <c r="DM88">
        <v>0</v>
      </c>
      <c r="DN88" t="s">
        <v>3</v>
      </c>
      <c r="DO88">
        <v>0</v>
      </c>
    </row>
    <row r="89" spans="1:119" x14ac:dyDescent="0.2">
      <c r="A89">
        <f>ROW(Source!A53)</f>
        <v>53</v>
      </c>
      <c r="B89">
        <v>82813384</v>
      </c>
      <c r="C89">
        <v>82813644</v>
      </c>
      <c r="D89">
        <v>80960088</v>
      </c>
      <c r="E89">
        <v>118</v>
      </c>
      <c r="F89">
        <v>1</v>
      </c>
      <c r="G89">
        <v>1</v>
      </c>
      <c r="H89">
        <v>1</v>
      </c>
      <c r="I89" t="s">
        <v>375</v>
      </c>
      <c r="J89" t="s">
        <v>3</v>
      </c>
      <c r="K89" t="s">
        <v>376</v>
      </c>
      <c r="L89">
        <v>1369</v>
      </c>
      <c r="N89">
        <v>1013</v>
      </c>
      <c r="O89" t="s">
        <v>370</v>
      </c>
      <c r="P89" t="s">
        <v>370</v>
      </c>
      <c r="Q89">
        <v>1</v>
      </c>
      <c r="W89">
        <v>0</v>
      </c>
      <c r="X89">
        <v>1518711480</v>
      </c>
      <c r="Y89">
        <f t="shared" si="27"/>
        <v>7.58</v>
      </c>
      <c r="AA89">
        <v>0</v>
      </c>
      <c r="AB89">
        <v>0</v>
      </c>
      <c r="AC89">
        <v>0</v>
      </c>
      <c r="AD89">
        <v>840.19</v>
      </c>
      <c r="AE89">
        <v>0</v>
      </c>
      <c r="AF89">
        <v>0</v>
      </c>
      <c r="AG89">
        <v>0</v>
      </c>
      <c r="AH89">
        <v>840.19</v>
      </c>
      <c r="AI89">
        <v>1</v>
      </c>
      <c r="AJ89">
        <v>1</v>
      </c>
      <c r="AK89">
        <v>1</v>
      </c>
      <c r="AL89">
        <v>1</v>
      </c>
      <c r="AM89">
        <v>-2</v>
      </c>
      <c r="AN89">
        <v>0</v>
      </c>
      <c r="AO89">
        <v>0</v>
      </c>
      <c r="AP89">
        <v>1</v>
      </c>
      <c r="AQ89">
        <v>1</v>
      </c>
      <c r="AR89">
        <v>0</v>
      </c>
      <c r="AS89" t="s">
        <v>3</v>
      </c>
      <c r="AT89">
        <v>7.58</v>
      </c>
      <c r="AU89" t="s">
        <v>3</v>
      </c>
      <c r="AV89">
        <v>1</v>
      </c>
      <c r="AW89">
        <v>2</v>
      </c>
      <c r="AX89">
        <v>82813660</v>
      </c>
      <c r="AY89">
        <v>1</v>
      </c>
      <c r="AZ89">
        <v>0</v>
      </c>
      <c r="BA89">
        <v>86</v>
      </c>
      <c r="BB89">
        <v>1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6368.6402000000007</v>
      </c>
      <c r="BN89">
        <v>7.58</v>
      </c>
      <c r="BO89">
        <v>0</v>
      </c>
      <c r="BP89">
        <v>1</v>
      </c>
      <c r="BQ89">
        <v>0</v>
      </c>
      <c r="BR89">
        <v>0</v>
      </c>
      <c r="BS89">
        <v>0</v>
      </c>
      <c r="BT89">
        <v>6368.6402000000007</v>
      </c>
      <c r="BU89">
        <v>7.58</v>
      </c>
      <c r="BV89">
        <v>0</v>
      </c>
      <c r="BW89">
        <v>1</v>
      </c>
      <c r="CU89">
        <f>ROUND(AT89*Source!I53*AH89*AL89,2)</f>
        <v>6368.64</v>
      </c>
      <c r="CV89">
        <f>ROUND(Y89*Source!I53,7)</f>
        <v>7.58</v>
      </c>
      <c r="CW89">
        <v>0</v>
      </c>
      <c r="CX89">
        <f>ROUND(Y89*Source!I53,7)</f>
        <v>7.58</v>
      </c>
      <c r="CY89">
        <f>AD89</f>
        <v>840.19</v>
      </c>
      <c r="CZ89">
        <f>AH89</f>
        <v>840.19</v>
      </c>
      <c r="DA89">
        <f>AL89</f>
        <v>1</v>
      </c>
      <c r="DB89">
        <f t="shared" si="31"/>
        <v>6368.64</v>
      </c>
      <c r="DC89">
        <f t="shared" si="32"/>
        <v>0</v>
      </c>
      <c r="DD89" t="s">
        <v>3</v>
      </c>
      <c r="DE89" t="s">
        <v>3</v>
      </c>
      <c r="DF89">
        <f t="shared" si="45"/>
        <v>0</v>
      </c>
      <c r="DG89">
        <f t="shared" si="43"/>
        <v>0</v>
      </c>
      <c r="DH89">
        <f t="shared" si="36"/>
        <v>0</v>
      </c>
      <c r="DI89">
        <f t="shared" si="37"/>
        <v>6368.64</v>
      </c>
      <c r="DJ89">
        <f>DI89</f>
        <v>6368.64</v>
      </c>
      <c r="DK89">
        <v>1</v>
      </c>
      <c r="DL89" t="s">
        <v>3</v>
      </c>
      <c r="DM89">
        <v>0</v>
      </c>
      <c r="DN89" t="s">
        <v>3</v>
      </c>
      <c r="DO89">
        <v>0</v>
      </c>
    </row>
    <row r="90" spans="1:119" x14ac:dyDescent="0.2">
      <c r="A90">
        <f>ROW(Source!A53)</f>
        <v>53</v>
      </c>
      <c r="B90">
        <v>82813384</v>
      </c>
      <c r="C90">
        <v>82813644</v>
      </c>
      <c r="D90">
        <v>80960127</v>
      </c>
      <c r="E90">
        <v>118</v>
      </c>
      <c r="F90">
        <v>1</v>
      </c>
      <c r="G90">
        <v>1</v>
      </c>
      <c r="H90">
        <v>1</v>
      </c>
      <c r="I90" t="s">
        <v>302</v>
      </c>
      <c r="J90" t="s">
        <v>3</v>
      </c>
      <c r="K90" t="s">
        <v>303</v>
      </c>
      <c r="L90">
        <v>1191</v>
      </c>
      <c r="N90">
        <v>1013</v>
      </c>
      <c r="O90" t="s">
        <v>288</v>
      </c>
      <c r="P90" t="s">
        <v>288</v>
      </c>
      <c r="Q90">
        <v>1</v>
      </c>
      <c r="W90">
        <v>0</v>
      </c>
      <c r="X90">
        <v>-1417349443</v>
      </c>
      <c r="Y90">
        <f t="shared" si="27"/>
        <v>7.37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1</v>
      </c>
      <c r="AJ90">
        <v>1</v>
      </c>
      <c r="AK90">
        <v>1</v>
      </c>
      <c r="AL90">
        <v>1</v>
      </c>
      <c r="AM90">
        <v>-2</v>
      </c>
      <c r="AN90">
        <v>0</v>
      </c>
      <c r="AO90">
        <v>0</v>
      </c>
      <c r="AP90">
        <v>1</v>
      </c>
      <c r="AQ90">
        <v>1</v>
      </c>
      <c r="AR90">
        <v>0</v>
      </c>
      <c r="AS90" t="s">
        <v>3</v>
      </c>
      <c r="AT90">
        <v>7.37</v>
      </c>
      <c r="AU90" t="s">
        <v>3</v>
      </c>
      <c r="AV90">
        <v>2</v>
      </c>
      <c r="AW90">
        <v>2</v>
      </c>
      <c r="AX90">
        <v>82813661</v>
      </c>
      <c r="AY90">
        <v>1</v>
      </c>
      <c r="AZ90">
        <v>0</v>
      </c>
      <c r="BA90">
        <v>87</v>
      </c>
      <c r="BB90">
        <v>1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CV90">
        <v>0</v>
      </c>
      <c r="CW90">
        <v>0</v>
      </c>
      <c r="CX90">
        <f>ROUND(Y90*Source!I53,7)</f>
        <v>7.37</v>
      </c>
      <c r="CY90">
        <f>AD90</f>
        <v>0</v>
      </c>
      <c r="CZ90">
        <f>AH90</f>
        <v>0</v>
      </c>
      <c r="DA90">
        <f>AL90</f>
        <v>1</v>
      </c>
      <c r="DB90">
        <f t="shared" si="31"/>
        <v>0</v>
      </c>
      <c r="DC90">
        <f t="shared" si="32"/>
        <v>0</v>
      </c>
      <c r="DD90" t="s">
        <v>3</v>
      </c>
      <c r="DE90" t="s">
        <v>3</v>
      </c>
      <c r="DF90">
        <f t="shared" si="45"/>
        <v>0</v>
      </c>
      <c r="DG90">
        <f t="shared" si="43"/>
        <v>0</v>
      </c>
      <c r="DH90">
        <f t="shared" si="36"/>
        <v>0</v>
      </c>
      <c r="DI90">
        <f t="shared" si="37"/>
        <v>0</v>
      </c>
      <c r="DJ90">
        <f>DI90</f>
        <v>0</v>
      </c>
      <c r="DK90">
        <v>0</v>
      </c>
      <c r="DL90" t="s">
        <v>3</v>
      </c>
      <c r="DM90">
        <v>0</v>
      </c>
      <c r="DN90" t="s">
        <v>3</v>
      </c>
      <c r="DO90">
        <v>0</v>
      </c>
    </row>
    <row r="91" spans="1:119" x14ac:dyDescent="0.2">
      <c r="A91">
        <f>ROW(Source!A53)</f>
        <v>53</v>
      </c>
      <c r="B91">
        <v>82813384</v>
      </c>
      <c r="C91">
        <v>82813644</v>
      </c>
      <c r="D91">
        <v>81087487</v>
      </c>
      <c r="E91">
        <v>1</v>
      </c>
      <c r="F91">
        <v>1</v>
      </c>
      <c r="G91">
        <v>1</v>
      </c>
      <c r="H91">
        <v>2</v>
      </c>
      <c r="I91" t="s">
        <v>308</v>
      </c>
      <c r="J91" t="s">
        <v>309</v>
      </c>
      <c r="K91" t="s">
        <v>310</v>
      </c>
      <c r="L91">
        <v>1368</v>
      </c>
      <c r="N91">
        <v>1011</v>
      </c>
      <c r="O91" t="s">
        <v>292</v>
      </c>
      <c r="P91" t="s">
        <v>292</v>
      </c>
      <c r="Q91">
        <v>1</v>
      </c>
      <c r="W91">
        <v>0</v>
      </c>
      <c r="X91">
        <v>-312038840</v>
      </c>
      <c r="Y91">
        <f t="shared" si="27"/>
        <v>0.01</v>
      </c>
      <c r="AA91">
        <v>0</v>
      </c>
      <c r="AB91">
        <v>544.91999999999996</v>
      </c>
      <c r="AC91">
        <v>731.08</v>
      </c>
      <c r="AD91">
        <v>0</v>
      </c>
      <c r="AE91">
        <v>0</v>
      </c>
      <c r="AF91">
        <v>544.91999999999996</v>
      </c>
      <c r="AG91">
        <v>731.08</v>
      </c>
      <c r="AH91">
        <v>0</v>
      </c>
      <c r="AI91">
        <v>1</v>
      </c>
      <c r="AJ91">
        <v>1</v>
      </c>
      <c r="AK91">
        <v>1</v>
      </c>
      <c r="AL91">
        <v>1</v>
      </c>
      <c r="AM91">
        <v>-2</v>
      </c>
      <c r="AN91">
        <v>0</v>
      </c>
      <c r="AO91">
        <v>0</v>
      </c>
      <c r="AP91">
        <v>1</v>
      </c>
      <c r="AQ91">
        <v>1</v>
      </c>
      <c r="AR91">
        <v>0</v>
      </c>
      <c r="AS91" t="s">
        <v>3</v>
      </c>
      <c r="AT91">
        <v>0.01</v>
      </c>
      <c r="AU91" t="s">
        <v>3</v>
      </c>
      <c r="AV91">
        <v>1</v>
      </c>
      <c r="AW91">
        <v>2</v>
      </c>
      <c r="AX91">
        <v>82813662</v>
      </c>
      <c r="AY91">
        <v>1</v>
      </c>
      <c r="AZ91">
        <v>0</v>
      </c>
      <c r="BA91">
        <v>88</v>
      </c>
      <c r="BB91">
        <v>1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5.4491999999999994</v>
      </c>
      <c r="BL91">
        <v>7.3108000000000004</v>
      </c>
      <c r="BM91">
        <v>0</v>
      </c>
      <c r="BN91">
        <v>0</v>
      </c>
      <c r="BO91">
        <v>0.01</v>
      </c>
      <c r="BP91">
        <v>1</v>
      </c>
      <c r="BQ91">
        <v>0</v>
      </c>
      <c r="BR91">
        <v>5.4491999999999994</v>
      </c>
      <c r="BS91">
        <v>7.3108000000000004</v>
      </c>
      <c r="BT91">
        <v>0</v>
      </c>
      <c r="BU91">
        <v>0</v>
      </c>
      <c r="BV91">
        <v>0.01</v>
      </c>
      <c r="BW91">
        <v>1</v>
      </c>
      <c r="CV91">
        <v>0</v>
      </c>
      <c r="CW91">
        <f>ROUND(Y91*Source!I53*DO91,7)</f>
        <v>0.01</v>
      </c>
      <c r="CX91">
        <f>ROUND(Y91*Source!I53,7)</f>
        <v>0.01</v>
      </c>
      <c r="CY91">
        <f>AB91</f>
        <v>544.91999999999996</v>
      </c>
      <c r="CZ91">
        <f>AF91</f>
        <v>544.91999999999996</v>
      </c>
      <c r="DA91">
        <f>AJ91</f>
        <v>1</v>
      </c>
      <c r="DB91">
        <f t="shared" si="31"/>
        <v>5.45</v>
      </c>
      <c r="DC91">
        <f t="shared" si="32"/>
        <v>7.31</v>
      </c>
      <c r="DD91" t="s">
        <v>3</v>
      </c>
      <c r="DE91" t="s">
        <v>3</v>
      </c>
      <c r="DF91">
        <f t="shared" si="45"/>
        <v>0</v>
      </c>
      <c r="DG91">
        <f t="shared" si="43"/>
        <v>5.45</v>
      </c>
      <c r="DH91">
        <f t="shared" si="36"/>
        <v>7.31</v>
      </c>
      <c r="DI91">
        <f t="shared" si="37"/>
        <v>0</v>
      </c>
      <c r="DJ91">
        <f>DG91+DH91</f>
        <v>12.76</v>
      </c>
      <c r="DK91">
        <v>1</v>
      </c>
      <c r="DL91" t="s">
        <v>311</v>
      </c>
      <c r="DM91">
        <v>4</v>
      </c>
      <c r="DN91" t="s">
        <v>288</v>
      </c>
      <c r="DO91">
        <v>1</v>
      </c>
    </row>
    <row r="92" spans="1:119" x14ac:dyDescent="0.2">
      <c r="A92">
        <f>ROW(Source!A53)</f>
        <v>53</v>
      </c>
      <c r="B92">
        <v>82813384</v>
      </c>
      <c r="C92">
        <v>82813644</v>
      </c>
      <c r="D92">
        <v>81087641</v>
      </c>
      <c r="E92">
        <v>1</v>
      </c>
      <c r="F92">
        <v>1</v>
      </c>
      <c r="G92">
        <v>1</v>
      </c>
      <c r="H92">
        <v>2</v>
      </c>
      <c r="I92" t="s">
        <v>377</v>
      </c>
      <c r="J92" t="s">
        <v>378</v>
      </c>
      <c r="K92" t="s">
        <v>379</v>
      </c>
      <c r="L92">
        <v>1368</v>
      </c>
      <c r="N92">
        <v>1011</v>
      </c>
      <c r="O92" t="s">
        <v>292</v>
      </c>
      <c r="P92" t="s">
        <v>292</v>
      </c>
      <c r="Q92">
        <v>1</v>
      </c>
      <c r="W92">
        <v>0</v>
      </c>
      <c r="X92">
        <v>1246407639</v>
      </c>
      <c r="Y92">
        <f t="shared" si="27"/>
        <v>7.36</v>
      </c>
      <c r="AA92">
        <v>0</v>
      </c>
      <c r="AB92">
        <v>1357.73</v>
      </c>
      <c r="AC92">
        <v>840.19</v>
      </c>
      <c r="AD92">
        <v>0</v>
      </c>
      <c r="AE92">
        <v>0</v>
      </c>
      <c r="AF92">
        <v>1069.08</v>
      </c>
      <c r="AG92">
        <v>840.19</v>
      </c>
      <c r="AH92">
        <v>0</v>
      </c>
      <c r="AI92">
        <v>1</v>
      </c>
      <c r="AJ92">
        <v>1.27</v>
      </c>
      <c r="AK92">
        <v>1</v>
      </c>
      <c r="AL92">
        <v>1</v>
      </c>
      <c r="AM92">
        <v>2</v>
      </c>
      <c r="AN92">
        <v>0</v>
      </c>
      <c r="AO92">
        <v>0</v>
      </c>
      <c r="AP92">
        <v>1</v>
      </c>
      <c r="AQ92">
        <v>1</v>
      </c>
      <c r="AR92">
        <v>0</v>
      </c>
      <c r="AS92" t="s">
        <v>3</v>
      </c>
      <c r="AT92">
        <v>7.36</v>
      </c>
      <c r="AU92" t="s">
        <v>3</v>
      </c>
      <c r="AV92">
        <v>1</v>
      </c>
      <c r="AW92">
        <v>2</v>
      </c>
      <c r="AX92">
        <v>82813663</v>
      </c>
      <c r="AY92">
        <v>1</v>
      </c>
      <c r="AZ92">
        <v>0</v>
      </c>
      <c r="BA92">
        <v>89</v>
      </c>
      <c r="BB92">
        <v>1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7868.4287999999997</v>
      </c>
      <c r="BL92">
        <v>6183.7984000000006</v>
      </c>
      <c r="BM92">
        <v>0</v>
      </c>
      <c r="BN92">
        <v>0</v>
      </c>
      <c r="BO92">
        <v>7.36</v>
      </c>
      <c r="BP92">
        <v>1</v>
      </c>
      <c r="BQ92">
        <v>0</v>
      </c>
      <c r="BR92">
        <v>7868.4287999999997</v>
      </c>
      <c r="BS92">
        <v>6183.7984000000006</v>
      </c>
      <c r="BT92">
        <v>0</v>
      </c>
      <c r="BU92">
        <v>0</v>
      </c>
      <c r="BV92">
        <v>7.36</v>
      </c>
      <c r="BW92">
        <v>1</v>
      </c>
      <c r="CV92">
        <v>0</v>
      </c>
      <c r="CW92">
        <f>ROUND(Y92*Source!I53*DO92,7)</f>
        <v>7.36</v>
      </c>
      <c r="CX92">
        <f>ROUND(Y92*Source!I53,7)</f>
        <v>7.36</v>
      </c>
      <c r="CY92">
        <f>AB92</f>
        <v>1357.73</v>
      </c>
      <c r="CZ92">
        <f>AF92</f>
        <v>1069.08</v>
      </c>
      <c r="DA92">
        <f>AJ92</f>
        <v>1.27</v>
      </c>
      <c r="DB92">
        <f t="shared" si="31"/>
        <v>7868.43</v>
      </c>
      <c r="DC92">
        <f t="shared" si="32"/>
        <v>6183.8</v>
      </c>
      <c r="DD92" t="s">
        <v>3</v>
      </c>
      <c r="DE92" t="s">
        <v>3</v>
      </c>
      <c r="DF92">
        <f t="shared" si="45"/>
        <v>0</v>
      </c>
      <c r="DG92">
        <f>ROUND(ROUND(AF92*AJ92,2)*CX92,2)</f>
        <v>9992.89</v>
      </c>
      <c r="DH92">
        <f t="shared" si="36"/>
        <v>6183.8</v>
      </c>
      <c r="DI92">
        <f t="shared" si="37"/>
        <v>0</v>
      </c>
      <c r="DJ92">
        <f>DG92+DH92</f>
        <v>16176.689999999999</v>
      </c>
      <c r="DK92">
        <v>0</v>
      </c>
      <c r="DL92" t="s">
        <v>380</v>
      </c>
      <c r="DM92">
        <v>5</v>
      </c>
      <c r="DN92" t="s">
        <v>288</v>
      </c>
      <c r="DO92">
        <v>1</v>
      </c>
    </row>
    <row r="93" spans="1:119" x14ac:dyDescent="0.2">
      <c r="A93">
        <f>ROW(Source!A53)</f>
        <v>53</v>
      </c>
      <c r="B93">
        <v>82813384</v>
      </c>
      <c r="C93">
        <v>82813644</v>
      </c>
      <c r="D93">
        <v>81036704</v>
      </c>
      <c r="E93">
        <v>1</v>
      </c>
      <c r="F93">
        <v>1</v>
      </c>
      <c r="G93">
        <v>1</v>
      </c>
      <c r="H93">
        <v>3</v>
      </c>
      <c r="I93" t="s">
        <v>330</v>
      </c>
      <c r="J93" t="s">
        <v>331</v>
      </c>
      <c r="K93" t="s">
        <v>332</v>
      </c>
      <c r="L93">
        <v>1383</v>
      </c>
      <c r="N93">
        <v>1013</v>
      </c>
      <c r="O93" t="s">
        <v>333</v>
      </c>
      <c r="P93" t="s">
        <v>333</v>
      </c>
      <c r="Q93">
        <v>1</v>
      </c>
      <c r="W93">
        <v>0</v>
      </c>
      <c r="X93">
        <v>-182421198</v>
      </c>
      <c r="Y93">
        <f t="shared" si="27"/>
        <v>3.4319999999999999</v>
      </c>
      <c r="AA93">
        <v>6.92</v>
      </c>
      <c r="AB93">
        <v>0</v>
      </c>
      <c r="AC93">
        <v>0</v>
      </c>
      <c r="AD93">
        <v>0</v>
      </c>
      <c r="AE93">
        <v>6.92</v>
      </c>
      <c r="AF93">
        <v>0</v>
      </c>
      <c r="AG93">
        <v>0</v>
      </c>
      <c r="AH93">
        <v>0</v>
      </c>
      <c r="AI93">
        <v>1</v>
      </c>
      <c r="AJ93">
        <v>1</v>
      </c>
      <c r="AK93">
        <v>1</v>
      </c>
      <c r="AL93">
        <v>1</v>
      </c>
      <c r="AM93">
        <v>-2</v>
      </c>
      <c r="AN93">
        <v>0</v>
      </c>
      <c r="AO93">
        <v>0</v>
      </c>
      <c r="AP93">
        <v>1</v>
      </c>
      <c r="AQ93">
        <v>1</v>
      </c>
      <c r="AR93">
        <v>0</v>
      </c>
      <c r="AS93" t="s">
        <v>3</v>
      </c>
      <c r="AT93">
        <v>3.4319999999999999</v>
      </c>
      <c r="AU93" t="s">
        <v>3</v>
      </c>
      <c r="AV93">
        <v>0</v>
      </c>
      <c r="AW93">
        <v>2</v>
      </c>
      <c r="AX93">
        <v>82813664</v>
      </c>
      <c r="AY93">
        <v>1</v>
      </c>
      <c r="AZ93">
        <v>0</v>
      </c>
      <c r="BA93">
        <v>90</v>
      </c>
      <c r="BB93">
        <v>1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23.74944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1</v>
      </c>
      <c r="BQ93">
        <v>23.74944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1</v>
      </c>
      <c r="CV93">
        <v>0</v>
      </c>
      <c r="CW93">
        <v>0</v>
      </c>
      <c r="CX93">
        <f>ROUND(Y93*Source!I53,7)</f>
        <v>3.4319999999999999</v>
      </c>
      <c r="CY93">
        <f>AA93</f>
        <v>6.92</v>
      </c>
      <c r="CZ93">
        <f>AE93</f>
        <v>6.92</v>
      </c>
      <c r="DA93">
        <f>AI93</f>
        <v>1</v>
      </c>
      <c r="DB93">
        <f t="shared" si="31"/>
        <v>23.75</v>
      </c>
      <c r="DC93">
        <f t="shared" si="32"/>
        <v>0</v>
      </c>
      <c r="DD93" t="s">
        <v>3</v>
      </c>
      <c r="DE93" t="s">
        <v>3</v>
      </c>
      <c r="DF93">
        <f t="shared" si="45"/>
        <v>23.75</v>
      </c>
      <c r="DG93">
        <f t="shared" ref="DG93:DG109" si="46">ROUND(ROUND(AF93,2)*CX93,2)</f>
        <v>0</v>
      </c>
      <c r="DH93">
        <f t="shared" si="36"/>
        <v>0</v>
      </c>
      <c r="DI93">
        <f t="shared" si="37"/>
        <v>0</v>
      </c>
      <c r="DJ93">
        <f>DF93</f>
        <v>23.75</v>
      </c>
      <c r="DK93">
        <v>1</v>
      </c>
      <c r="DL93" t="s">
        <v>3</v>
      </c>
      <c r="DM93">
        <v>0</v>
      </c>
      <c r="DN93" t="s">
        <v>3</v>
      </c>
      <c r="DO93">
        <v>0</v>
      </c>
    </row>
    <row r="94" spans="1:119" x14ac:dyDescent="0.2">
      <c r="A94">
        <f>ROW(Source!A53)</f>
        <v>53</v>
      </c>
      <c r="B94">
        <v>82813384</v>
      </c>
      <c r="C94">
        <v>82813644</v>
      </c>
      <c r="D94">
        <v>81037387</v>
      </c>
      <c r="E94">
        <v>1</v>
      </c>
      <c r="F94">
        <v>1</v>
      </c>
      <c r="G94">
        <v>1</v>
      </c>
      <c r="H94">
        <v>3</v>
      </c>
      <c r="I94" t="s">
        <v>381</v>
      </c>
      <c r="J94" t="s">
        <v>382</v>
      </c>
      <c r="K94" t="s">
        <v>383</v>
      </c>
      <c r="L94">
        <v>1346</v>
      </c>
      <c r="N94">
        <v>1009</v>
      </c>
      <c r="O94" t="s">
        <v>93</v>
      </c>
      <c r="P94" t="s">
        <v>93</v>
      </c>
      <c r="Q94">
        <v>1</v>
      </c>
      <c r="W94">
        <v>0</v>
      </c>
      <c r="X94">
        <v>-1551431226</v>
      </c>
      <c r="Y94">
        <f t="shared" si="27"/>
        <v>2.2000000000000002</v>
      </c>
      <c r="AA94">
        <v>144</v>
      </c>
      <c r="AB94">
        <v>0</v>
      </c>
      <c r="AC94">
        <v>0</v>
      </c>
      <c r="AD94">
        <v>0</v>
      </c>
      <c r="AE94">
        <v>187.01</v>
      </c>
      <c r="AF94">
        <v>0</v>
      </c>
      <c r="AG94">
        <v>0</v>
      </c>
      <c r="AH94">
        <v>0</v>
      </c>
      <c r="AI94">
        <v>0.77</v>
      </c>
      <c r="AJ94">
        <v>1</v>
      </c>
      <c r="AK94">
        <v>1</v>
      </c>
      <c r="AL94">
        <v>1</v>
      </c>
      <c r="AM94">
        <v>2</v>
      </c>
      <c r="AN94">
        <v>0</v>
      </c>
      <c r="AO94">
        <v>0</v>
      </c>
      <c r="AP94">
        <v>1</v>
      </c>
      <c r="AQ94">
        <v>1</v>
      </c>
      <c r="AR94">
        <v>0</v>
      </c>
      <c r="AS94" t="s">
        <v>3</v>
      </c>
      <c r="AT94">
        <v>2.2000000000000002</v>
      </c>
      <c r="AU94" t="s">
        <v>3</v>
      </c>
      <c r="AV94">
        <v>0</v>
      </c>
      <c r="AW94">
        <v>2</v>
      </c>
      <c r="AX94">
        <v>82813665</v>
      </c>
      <c r="AY94">
        <v>1</v>
      </c>
      <c r="AZ94">
        <v>0</v>
      </c>
      <c r="BA94">
        <v>91</v>
      </c>
      <c r="BB94">
        <v>1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411.42200000000003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1</v>
      </c>
      <c r="BQ94">
        <v>411.42200000000003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1</v>
      </c>
      <c r="CV94">
        <v>0</v>
      </c>
      <c r="CW94">
        <v>0</v>
      </c>
      <c r="CX94">
        <f>ROUND(Y94*Source!I53,7)</f>
        <v>2.2000000000000002</v>
      </c>
      <c r="CY94">
        <f>AA94</f>
        <v>144</v>
      </c>
      <c r="CZ94">
        <f>AE94</f>
        <v>187.01</v>
      </c>
      <c r="DA94">
        <f>AI94</f>
        <v>0.77</v>
      </c>
      <c r="DB94">
        <f t="shared" si="31"/>
        <v>411.42</v>
      </c>
      <c r="DC94">
        <f t="shared" si="32"/>
        <v>0</v>
      </c>
      <c r="DD94" t="s">
        <v>3</v>
      </c>
      <c r="DE94" t="s">
        <v>3</v>
      </c>
      <c r="DF94">
        <f>ROUND(ROUND(AE94*AI94,2)*CX94,2)</f>
        <v>316.8</v>
      </c>
      <c r="DG94">
        <f t="shared" si="46"/>
        <v>0</v>
      </c>
      <c r="DH94">
        <f t="shared" si="36"/>
        <v>0</v>
      </c>
      <c r="DI94">
        <f t="shared" si="37"/>
        <v>0</v>
      </c>
      <c r="DJ94">
        <f>DF94</f>
        <v>316.8</v>
      </c>
      <c r="DK94">
        <v>0</v>
      </c>
      <c r="DL94" t="s">
        <v>3</v>
      </c>
      <c r="DM94">
        <v>0</v>
      </c>
      <c r="DN94" t="s">
        <v>3</v>
      </c>
      <c r="DO94">
        <v>0</v>
      </c>
    </row>
    <row r="95" spans="1:119" x14ac:dyDescent="0.2">
      <c r="A95">
        <f>ROW(Source!A53)</f>
        <v>53</v>
      </c>
      <c r="B95">
        <v>82813384</v>
      </c>
      <c r="C95">
        <v>82813644</v>
      </c>
      <c r="D95">
        <v>81038698</v>
      </c>
      <c r="E95">
        <v>1</v>
      </c>
      <c r="F95">
        <v>1</v>
      </c>
      <c r="G95">
        <v>1</v>
      </c>
      <c r="H95">
        <v>3</v>
      </c>
      <c r="I95" t="s">
        <v>384</v>
      </c>
      <c r="J95" t="s">
        <v>385</v>
      </c>
      <c r="K95" t="s">
        <v>386</v>
      </c>
      <c r="L95">
        <v>1371</v>
      </c>
      <c r="N95">
        <v>1013</v>
      </c>
      <c r="O95" t="s">
        <v>30</v>
      </c>
      <c r="P95" t="s">
        <v>30</v>
      </c>
      <c r="Q95">
        <v>1</v>
      </c>
      <c r="W95">
        <v>0</v>
      </c>
      <c r="X95">
        <v>-57438779</v>
      </c>
      <c r="Y95">
        <f t="shared" si="27"/>
        <v>0.24</v>
      </c>
      <c r="AA95">
        <v>123.37</v>
      </c>
      <c r="AB95">
        <v>0</v>
      </c>
      <c r="AC95">
        <v>0</v>
      </c>
      <c r="AD95">
        <v>0</v>
      </c>
      <c r="AE95">
        <v>101.12</v>
      </c>
      <c r="AF95">
        <v>0</v>
      </c>
      <c r="AG95">
        <v>0</v>
      </c>
      <c r="AH95">
        <v>0</v>
      </c>
      <c r="AI95">
        <v>1.22</v>
      </c>
      <c r="AJ95">
        <v>1</v>
      </c>
      <c r="AK95">
        <v>1</v>
      </c>
      <c r="AL95">
        <v>1</v>
      </c>
      <c r="AM95">
        <v>2</v>
      </c>
      <c r="AN95">
        <v>0</v>
      </c>
      <c r="AO95">
        <v>0</v>
      </c>
      <c r="AP95">
        <v>1</v>
      </c>
      <c r="AQ95">
        <v>1</v>
      </c>
      <c r="AR95">
        <v>0</v>
      </c>
      <c r="AS95" t="s">
        <v>3</v>
      </c>
      <c r="AT95">
        <v>0.24</v>
      </c>
      <c r="AU95" t="s">
        <v>3</v>
      </c>
      <c r="AV95">
        <v>0</v>
      </c>
      <c r="AW95">
        <v>2</v>
      </c>
      <c r="AX95">
        <v>82813666</v>
      </c>
      <c r="AY95">
        <v>1</v>
      </c>
      <c r="AZ95">
        <v>0</v>
      </c>
      <c r="BA95">
        <v>92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24.268799999999999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1</v>
      </c>
      <c r="BQ95">
        <v>24.268799999999999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1</v>
      </c>
      <c r="CV95">
        <v>0</v>
      </c>
      <c r="CW95">
        <v>0</v>
      </c>
      <c r="CX95">
        <f>ROUND(Y95*Source!I53,7)</f>
        <v>0.24</v>
      </c>
      <c r="CY95">
        <f>AA95</f>
        <v>123.37</v>
      </c>
      <c r="CZ95">
        <f>AE95</f>
        <v>101.12</v>
      </c>
      <c r="DA95">
        <f>AI95</f>
        <v>1.22</v>
      </c>
      <c r="DB95">
        <f t="shared" si="31"/>
        <v>24.27</v>
      </c>
      <c r="DC95">
        <f t="shared" si="32"/>
        <v>0</v>
      </c>
      <c r="DD95" t="s">
        <v>3</v>
      </c>
      <c r="DE95" t="s">
        <v>3</v>
      </c>
      <c r="DF95">
        <f>ROUND(ROUND(AE95*AI95,2)*CX95,2)</f>
        <v>29.61</v>
      </c>
      <c r="DG95">
        <f t="shared" si="46"/>
        <v>0</v>
      </c>
      <c r="DH95">
        <f t="shared" si="36"/>
        <v>0</v>
      </c>
      <c r="DI95">
        <f t="shared" si="37"/>
        <v>0</v>
      </c>
      <c r="DJ95">
        <f>DF95</f>
        <v>29.61</v>
      </c>
      <c r="DK95">
        <v>0</v>
      </c>
      <c r="DL95" t="s">
        <v>3</v>
      </c>
      <c r="DM95">
        <v>0</v>
      </c>
      <c r="DN95" t="s">
        <v>3</v>
      </c>
      <c r="DO95">
        <v>0</v>
      </c>
    </row>
    <row r="96" spans="1:119" x14ac:dyDescent="0.2">
      <c r="A96">
        <f>ROW(Source!A53)</f>
        <v>53</v>
      </c>
      <c r="B96">
        <v>82813384</v>
      </c>
      <c r="C96">
        <v>82813644</v>
      </c>
      <c r="D96">
        <v>80965632</v>
      </c>
      <c r="E96">
        <v>118</v>
      </c>
      <c r="F96">
        <v>1</v>
      </c>
      <c r="G96">
        <v>1</v>
      </c>
      <c r="H96">
        <v>3</v>
      </c>
      <c r="I96" t="s">
        <v>126</v>
      </c>
      <c r="J96" t="s">
        <v>3</v>
      </c>
      <c r="K96" t="s">
        <v>127</v>
      </c>
      <c r="L96">
        <v>1371</v>
      </c>
      <c r="N96">
        <v>1013</v>
      </c>
      <c r="O96" t="s">
        <v>30</v>
      </c>
      <c r="P96" t="s">
        <v>30</v>
      </c>
      <c r="Q96">
        <v>1</v>
      </c>
      <c r="W96">
        <v>0</v>
      </c>
      <c r="X96">
        <v>-1141278622</v>
      </c>
      <c r="Y96">
        <f t="shared" si="27"/>
        <v>10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1</v>
      </c>
      <c r="AJ96">
        <v>1</v>
      </c>
      <c r="AK96">
        <v>1</v>
      </c>
      <c r="AL96">
        <v>1</v>
      </c>
      <c r="AM96">
        <v>0</v>
      </c>
      <c r="AN96">
        <v>0</v>
      </c>
      <c r="AO96">
        <v>0</v>
      </c>
      <c r="AP96">
        <v>1</v>
      </c>
      <c r="AQ96">
        <v>0</v>
      </c>
      <c r="AR96">
        <v>0</v>
      </c>
      <c r="AS96" t="s">
        <v>3</v>
      </c>
      <c r="AT96">
        <v>10</v>
      </c>
      <c r="AU96" t="s">
        <v>3</v>
      </c>
      <c r="AV96">
        <v>0</v>
      </c>
      <c r="AW96">
        <v>2</v>
      </c>
      <c r="AX96">
        <v>82813667</v>
      </c>
      <c r="AY96">
        <v>1</v>
      </c>
      <c r="AZ96">
        <v>0</v>
      </c>
      <c r="BA96">
        <v>93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CV96">
        <v>0</v>
      </c>
      <c r="CW96">
        <v>0</v>
      </c>
      <c r="CX96">
        <f>ROUND(Y96*Source!I53,7)</f>
        <v>10</v>
      </c>
      <c r="CY96">
        <f>AA96</f>
        <v>0</v>
      </c>
      <c r="CZ96">
        <f>AE96</f>
        <v>0</v>
      </c>
      <c r="DA96">
        <f>AI96</f>
        <v>1</v>
      </c>
      <c r="DB96">
        <f t="shared" si="31"/>
        <v>0</v>
      </c>
      <c r="DC96">
        <f t="shared" si="32"/>
        <v>0</v>
      </c>
      <c r="DD96" t="s">
        <v>3</v>
      </c>
      <c r="DE96" t="s">
        <v>3</v>
      </c>
      <c r="DF96">
        <f>ROUND(ROUND(AE96,2)*CX96,2)</f>
        <v>0</v>
      </c>
      <c r="DG96">
        <f t="shared" si="46"/>
        <v>0</v>
      </c>
      <c r="DH96">
        <f t="shared" si="36"/>
        <v>0</v>
      </c>
      <c r="DI96">
        <f t="shared" si="37"/>
        <v>0</v>
      </c>
      <c r="DJ96">
        <f>DF96</f>
        <v>0</v>
      </c>
      <c r="DK96">
        <v>0</v>
      </c>
      <c r="DL96" t="s">
        <v>3</v>
      </c>
      <c r="DM96">
        <v>0</v>
      </c>
      <c r="DN96" t="s">
        <v>3</v>
      </c>
      <c r="DO96">
        <v>0</v>
      </c>
    </row>
    <row r="97" spans="1:119" x14ac:dyDescent="0.2">
      <c r="A97">
        <f>ROW(Source!A55)</f>
        <v>55</v>
      </c>
      <c r="B97">
        <v>82813384</v>
      </c>
      <c r="C97">
        <v>82813681</v>
      </c>
      <c r="D97">
        <v>80959938</v>
      </c>
      <c r="E97">
        <v>118</v>
      </c>
      <c r="F97">
        <v>1</v>
      </c>
      <c r="G97">
        <v>1</v>
      </c>
      <c r="H97">
        <v>1</v>
      </c>
      <c r="I97" t="s">
        <v>387</v>
      </c>
      <c r="J97" t="s">
        <v>3</v>
      </c>
      <c r="K97" t="s">
        <v>388</v>
      </c>
      <c r="L97">
        <v>1191</v>
      </c>
      <c r="N97">
        <v>1013</v>
      </c>
      <c r="O97" t="s">
        <v>288</v>
      </c>
      <c r="P97" t="s">
        <v>288</v>
      </c>
      <c r="Q97">
        <v>1</v>
      </c>
      <c r="W97">
        <v>0</v>
      </c>
      <c r="X97">
        <v>-715079457</v>
      </c>
      <c r="Y97">
        <f>(AT97*ROUND(((0.35+1)*1.15),7))</f>
        <v>2.2821750000000001</v>
      </c>
      <c r="AA97">
        <v>0</v>
      </c>
      <c r="AB97">
        <v>0</v>
      </c>
      <c r="AC97">
        <v>0</v>
      </c>
      <c r="AD97">
        <v>690.16</v>
      </c>
      <c r="AE97">
        <v>0</v>
      </c>
      <c r="AF97">
        <v>0</v>
      </c>
      <c r="AG97">
        <v>0</v>
      </c>
      <c r="AH97">
        <v>690.16</v>
      </c>
      <c r="AI97">
        <v>1</v>
      </c>
      <c r="AJ97">
        <v>1</v>
      </c>
      <c r="AK97">
        <v>1</v>
      </c>
      <c r="AL97">
        <v>1</v>
      </c>
      <c r="AM97">
        <v>-2</v>
      </c>
      <c r="AN97">
        <v>0</v>
      </c>
      <c r="AO97">
        <v>0</v>
      </c>
      <c r="AP97">
        <v>1</v>
      </c>
      <c r="AQ97">
        <v>1</v>
      </c>
      <c r="AR97">
        <v>0</v>
      </c>
      <c r="AS97" t="s">
        <v>3</v>
      </c>
      <c r="AT97">
        <v>1.47</v>
      </c>
      <c r="AU97" t="s">
        <v>33</v>
      </c>
      <c r="AV97">
        <v>1</v>
      </c>
      <c r="AW97">
        <v>2</v>
      </c>
      <c r="AX97">
        <v>82813682</v>
      </c>
      <c r="AY97">
        <v>1</v>
      </c>
      <c r="AZ97">
        <v>0</v>
      </c>
      <c r="BA97">
        <v>94</v>
      </c>
      <c r="BB97">
        <v>1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1014.5351999999999</v>
      </c>
      <c r="BN97">
        <v>1.47</v>
      </c>
      <c r="BO97">
        <v>0</v>
      </c>
      <c r="BP97">
        <v>1</v>
      </c>
      <c r="BQ97">
        <v>0</v>
      </c>
      <c r="BR97">
        <v>0</v>
      </c>
      <c r="BS97">
        <v>0</v>
      </c>
      <c r="BT97">
        <v>1575.0658980000001</v>
      </c>
      <c r="BU97">
        <v>2.2821750000000001</v>
      </c>
      <c r="BV97">
        <v>0</v>
      </c>
      <c r="BW97">
        <v>1</v>
      </c>
      <c r="CU97">
        <f>ROUND(AT97*Source!I55*AH97*AL97,2)</f>
        <v>2029.07</v>
      </c>
      <c r="CV97">
        <f>ROUND(Y97*Source!I55,7)</f>
        <v>4.5643500000000001</v>
      </c>
      <c r="CW97">
        <v>0</v>
      </c>
      <c r="CX97">
        <f>ROUND(Y97*Source!I55,7)</f>
        <v>4.5643500000000001</v>
      </c>
      <c r="CY97">
        <f>AD97</f>
        <v>690.16</v>
      </c>
      <c r="CZ97">
        <f>AH97</f>
        <v>690.16</v>
      </c>
      <c r="DA97">
        <f>AL97</f>
        <v>1</v>
      </c>
      <c r="DB97">
        <f>ROUND((ROUND(AT97*CZ97,2)*ROUND(((0.35+1)*1.15),7)),6)</f>
        <v>1575.0733499999999</v>
      </c>
      <c r="DC97">
        <f>ROUND((ROUND(AT97*AG97,2)*ROUND(((0.35+1)*1.15),7)),6)</f>
        <v>0</v>
      </c>
      <c r="DD97" t="s">
        <v>3</v>
      </c>
      <c r="DE97" t="s">
        <v>3</v>
      </c>
      <c r="DF97">
        <f>ROUND(ROUND(AE97,2)*CX97,2)</f>
        <v>0</v>
      </c>
      <c r="DG97">
        <f t="shared" si="46"/>
        <v>0</v>
      </c>
      <c r="DH97">
        <f t="shared" ref="DH97:DH116" si="47">ROUND(ROUND(AG97,2)*CX97,2)</f>
        <v>0</v>
      </c>
      <c r="DI97">
        <f t="shared" ref="DI97:DI116" si="48">ROUND(ROUND(AH97,2)*CX97,2)</f>
        <v>3150.13</v>
      </c>
      <c r="DJ97">
        <f>DI97</f>
        <v>3150.13</v>
      </c>
      <c r="DK97">
        <v>1</v>
      </c>
      <c r="DL97" t="s">
        <v>3</v>
      </c>
      <c r="DM97">
        <v>0</v>
      </c>
      <c r="DN97" t="s">
        <v>3</v>
      </c>
      <c r="DO97">
        <v>0</v>
      </c>
    </row>
    <row r="98" spans="1:119" x14ac:dyDescent="0.2">
      <c r="A98">
        <f>ROW(Source!A55)</f>
        <v>55</v>
      </c>
      <c r="B98">
        <v>82813384</v>
      </c>
      <c r="C98">
        <v>82813681</v>
      </c>
      <c r="D98">
        <v>80960127</v>
      </c>
      <c r="E98">
        <v>118</v>
      </c>
      <c r="F98">
        <v>1</v>
      </c>
      <c r="G98">
        <v>1</v>
      </c>
      <c r="H98">
        <v>1</v>
      </c>
      <c r="I98" t="s">
        <v>302</v>
      </c>
      <c r="J98" t="s">
        <v>3</v>
      </c>
      <c r="K98" t="s">
        <v>303</v>
      </c>
      <c r="L98">
        <v>1191</v>
      </c>
      <c r="N98">
        <v>1013</v>
      </c>
      <c r="O98" t="s">
        <v>288</v>
      </c>
      <c r="P98" t="s">
        <v>288</v>
      </c>
      <c r="Q98">
        <v>1</v>
      </c>
      <c r="W98">
        <v>0</v>
      </c>
      <c r="X98">
        <v>-1417349443</v>
      </c>
      <c r="Y98">
        <f>(AT98*ROUND(((0.35+1)*1.25),7))</f>
        <v>3.3750000000000002E-2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1</v>
      </c>
      <c r="AJ98">
        <v>1</v>
      </c>
      <c r="AK98">
        <v>1</v>
      </c>
      <c r="AL98">
        <v>1</v>
      </c>
      <c r="AM98">
        <v>-2</v>
      </c>
      <c r="AN98">
        <v>0</v>
      </c>
      <c r="AO98">
        <v>0</v>
      </c>
      <c r="AP98">
        <v>1</v>
      </c>
      <c r="AQ98">
        <v>1</v>
      </c>
      <c r="AR98">
        <v>0</v>
      </c>
      <c r="AS98" t="s">
        <v>3</v>
      </c>
      <c r="AT98">
        <v>0.02</v>
      </c>
      <c r="AU98" t="s">
        <v>32</v>
      </c>
      <c r="AV98">
        <v>2</v>
      </c>
      <c r="AW98">
        <v>2</v>
      </c>
      <c r="AX98">
        <v>82813683</v>
      </c>
      <c r="AY98">
        <v>1</v>
      </c>
      <c r="AZ98">
        <v>0</v>
      </c>
      <c r="BA98">
        <v>95</v>
      </c>
      <c r="BB98">
        <v>1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CV98">
        <v>0</v>
      </c>
      <c r="CW98">
        <v>0</v>
      </c>
      <c r="CX98">
        <f>ROUND(Y98*Source!I55,7)</f>
        <v>6.7500000000000004E-2</v>
      </c>
      <c r="CY98">
        <f>AD98</f>
        <v>0</v>
      </c>
      <c r="CZ98">
        <f>AH98</f>
        <v>0</v>
      </c>
      <c r="DA98">
        <f>AL98</f>
        <v>1</v>
      </c>
      <c r="DB98">
        <f>ROUND((ROUND(AT98*CZ98,2)*ROUND(((0.35+1)*1.25),7)),6)</f>
        <v>0</v>
      </c>
      <c r="DC98">
        <f>ROUND((ROUND(AT98*AG98,2)*ROUND(((0.35+1)*1.25),7)),6)</f>
        <v>0</v>
      </c>
      <c r="DD98" t="s">
        <v>3</v>
      </c>
      <c r="DE98" t="s">
        <v>3</v>
      </c>
      <c r="DF98">
        <f>ROUND(ROUND(AE98,2)*CX98,2)</f>
        <v>0</v>
      </c>
      <c r="DG98">
        <f t="shared" si="46"/>
        <v>0</v>
      </c>
      <c r="DH98">
        <f t="shared" si="47"/>
        <v>0</v>
      </c>
      <c r="DI98">
        <f t="shared" si="48"/>
        <v>0</v>
      </c>
      <c r="DJ98">
        <f>DI98</f>
        <v>0</v>
      </c>
      <c r="DK98">
        <v>0</v>
      </c>
      <c r="DL98" t="s">
        <v>3</v>
      </c>
      <c r="DM98">
        <v>0</v>
      </c>
      <c r="DN98" t="s">
        <v>3</v>
      </c>
      <c r="DO98">
        <v>0</v>
      </c>
    </row>
    <row r="99" spans="1:119" x14ac:dyDescent="0.2">
      <c r="A99">
        <f>ROW(Source!A55)</f>
        <v>55</v>
      </c>
      <c r="B99">
        <v>82813384</v>
      </c>
      <c r="C99">
        <v>82813681</v>
      </c>
      <c r="D99">
        <v>81087487</v>
      </c>
      <c r="E99">
        <v>1</v>
      </c>
      <c r="F99">
        <v>1</v>
      </c>
      <c r="G99">
        <v>1</v>
      </c>
      <c r="H99">
        <v>2</v>
      </c>
      <c r="I99" t="s">
        <v>308</v>
      </c>
      <c r="J99" t="s">
        <v>309</v>
      </c>
      <c r="K99" t="s">
        <v>310</v>
      </c>
      <c r="L99">
        <v>1368</v>
      </c>
      <c r="N99">
        <v>1011</v>
      </c>
      <c r="O99" t="s">
        <v>292</v>
      </c>
      <c r="P99" t="s">
        <v>292</v>
      </c>
      <c r="Q99">
        <v>1</v>
      </c>
      <c r="W99">
        <v>0</v>
      </c>
      <c r="X99">
        <v>-312038840</v>
      </c>
      <c r="Y99">
        <f>(AT99*ROUND(((0.35+1)*1.25),7))</f>
        <v>3.3750000000000002E-2</v>
      </c>
      <c r="AA99">
        <v>0</v>
      </c>
      <c r="AB99">
        <v>544.91999999999996</v>
      </c>
      <c r="AC99">
        <v>731.08</v>
      </c>
      <c r="AD99">
        <v>0</v>
      </c>
      <c r="AE99">
        <v>0</v>
      </c>
      <c r="AF99">
        <v>544.91999999999996</v>
      </c>
      <c r="AG99">
        <v>731.08</v>
      </c>
      <c r="AH99">
        <v>0</v>
      </c>
      <c r="AI99">
        <v>1</v>
      </c>
      <c r="AJ99">
        <v>1</v>
      </c>
      <c r="AK99">
        <v>1</v>
      </c>
      <c r="AL99">
        <v>1</v>
      </c>
      <c r="AM99">
        <v>-2</v>
      </c>
      <c r="AN99">
        <v>0</v>
      </c>
      <c r="AO99">
        <v>0</v>
      </c>
      <c r="AP99">
        <v>1</v>
      </c>
      <c r="AQ99">
        <v>1</v>
      </c>
      <c r="AR99">
        <v>0</v>
      </c>
      <c r="AS99" t="s">
        <v>3</v>
      </c>
      <c r="AT99">
        <v>0.02</v>
      </c>
      <c r="AU99" t="s">
        <v>32</v>
      </c>
      <c r="AV99">
        <v>1</v>
      </c>
      <c r="AW99">
        <v>2</v>
      </c>
      <c r="AX99">
        <v>82813684</v>
      </c>
      <c r="AY99">
        <v>1</v>
      </c>
      <c r="AZ99">
        <v>0</v>
      </c>
      <c r="BA99">
        <v>96</v>
      </c>
      <c r="BB99">
        <v>1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10.898399999999999</v>
      </c>
      <c r="BL99">
        <v>14.621600000000001</v>
      </c>
      <c r="BM99">
        <v>0</v>
      </c>
      <c r="BN99">
        <v>0</v>
      </c>
      <c r="BO99">
        <v>0.02</v>
      </c>
      <c r="BP99">
        <v>1</v>
      </c>
      <c r="BQ99">
        <v>0</v>
      </c>
      <c r="BR99">
        <v>18.39105</v>
      </c>
      <c r="BS99">
        <v>24.673950000000001</v>
      </c>
      <c r="BT99">
        <v>0</v>
      </c>
      <c r="BU99">
        <v>0</v>
      </c>
      <c r="BV99">
        <v>3.3750000000000002E-2</v>
      </c>
      <c r="BW99">
        <v>1</v>
      </c>
      <c r="CV99">
        <v>0</v>
      </c>
      <c r="CW99">
        <f>ROUND(Y99*Source!I55*DO99,7)</f>
        <v>6.7500000000000004E-2</v>
      </c>
      <c r="CX99">
        <f>ROUND(Y99*Source!I55,7)</f>
        <v>6.7500000000000004E-2</v>
      </c>
      <c r="CY99">
        <f>AB99</f>
        <v>544.91999999999996</v>
      </c>
      <c r="CZ99">
        <f>AF99</f>
        <v>544.91999999999996</v>
      </c>
      <c r="DA99">
        <f>AJ99</f>
        <v>1</v>
      </c>
      <c r="DB99">
        <f>ROUND((ROUND(AT99*CZ99,2)*ROUND(((0.35+1)*1.25),7)),6)</f>
        <v>18.393750000000001</v>
      </c>
      <c r="DC99">
        <f>ROUND((ROUND(AT99*AG99,2)*ROUND(((0.35+1)*1.25),7)),6)</f>
        <v>24.671250000000001</v>
      </c>
      <c r="DD99" t="s">
        <v>3</v>
      </c>
      <c r="DE99" t="s">
        <v>3</v>
      </c>
      <c r="DF99">
        <f>ROUND(ROUND(AE99,2)*CX99,2)</f>
        <v>0</v>
      </c>
      <c r="DG99">
        <f t="shared" si="46"/>
        <v>36.78</v>
      </c>
      <c r="DH99">
        <f t="shared" si="47"/>
        <v>49.35</v>
      </c>
      <c r="DI99">
        <f t="shared" si="48"/>
        <v>0</v>
      </c>
      <c r="DJ99">
        <f>DG99+DH99</f>
        <v>86.13</v>
      </c>
      <c r="DK99">
        <v>1</v>
      </c>
      <c r="DL99" t="s">
        <v>311</v>
      </c>
      <c r="DM99">
        <v>4</v>
      </c>
      <c r="DN99" t="s">
        <v>288</v>
      </c>
      <c r="DO99">
        <v>1</v>
      </c>
    </row>
    <row r="100" spans="1:119" x14ac:dyDescent="0.2">
      <c r="A100">
        <f>ROW(Source!A55)</f>
        <v>55</v>
      </c>
      <c r="B100">
        <v>82813384</v>
      </c>
      <c r="C100">
        <v>82813681</v>
      </c>
      <c r="D100">
        <v>81087684</v>
      </c>
      <c r="E100">
        <v>1</v>
      </c>
      <c r="F100">
        <v>1</v>
      </c>
      <c r="G100">
        <v>1</v>
      </c>
      <c r="H100">
        <v>2</v>
      </c>
      <c r="I100" t="s">
        <v>312</v>
      </c>
      <c r="J100" t="s">
        <v>313</v>
      </c>
      <c r="K100" t="s">
        <v>314</v>
      </c>
      <c r="L100">
        <v>1368</v>
      </c>
      <c r="N100">
        <v>1011</v>
      </c>
      <c r="O100" t="s">
        <v>292</v>
      </c>
      <c r="P100" t="s">
        <v>292</v>
      </c>
      <c r="Q100">
        <v>1</v>
      </c>
      <c r="W100">
        <v>0</v>
      </c>
      <c r="X100">
        <v>462025989</v>
      </c>
      <c r="Y100">
        <f>(AT100*ROUND(((0.35+1)*1.25),7))</f>
        <v>0.59062499999999996</v>
      </c>
      <c r="AA100">
        <v>0</v>
      </c>
      <c r="AB100">
        <v>32.24</v>
      </c>
      <c r="AC100">
        <v>0</v>
      </c>
      <c r="AD100">
        <v>0</v>
      </c>
      <c r="AE100">
        <v>0</v>
      </c>
      <c r="AF100">
        <v>32.24</v>
      </c>
      <c r="AG100">
        <v>0</v>
      </c>
      <c r="AH100">
        <v>0</v>
      </c>
      <c r="AI100">
        <v>1</v>
      </c>
      <c r="AJ100">
        <v>1</v>
      </c>
      <c r="AK100">
        <v>1</v>
      </c>
      <c r="AL100">
        <v>1</v>
      </c>
      <c r="AM100">
        <v>-2</v>
      </c>
      <c r="AN100">
        <v>0</v>
      </c>
      <c r="AO100">
        <v>0</v>
      </c>
      <c r="AP100">
        <v>1</v>
      </c>
      <c r="AQ100">
        <v>1</v>
      </c>
      <c r="AR100">
        <v>0</v>
      </c>
      <c r="AS100" t="s">
        <v>3</v>
      </c>
      <c r="AT100">
        <v>0.35</v>
      </c>
      <c r="AU100" t="s">
        <v>32</v>
      </c>
      <c r="AV100">
        <v>1</v>
      </c>
      <c r="AW100">
        <v>2</v>
      </c>
      <c r="AX100">
        <v>82813685</v>
      </c>
      <c r="AY100">
        <v>1</v>
      </c>
      <c r="AZ100">
        <v>0</v>
      </c>
      <c r="BA100">
        <v>97</v>
      </c>
      <c r="BB100">
        <v>1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11.284000000000001</v>
      </c>
      <c r="BL100">
        <v>0</v>
      </c>
      <c r="BM100">
        <v>0</v>
      </c>
      <c r="BN100">
        <v>0</v>
      </c>
      <c r="BO100">
        <v>0</v>
      </c>
      <c r="BP100">
        <v>1</v>
      </c>
      <c r="BQ100">
        <v>0</v>
      </c>
      <c r="BR100">
        <v>19.04175</v>
      </c>
      <c r="BS100">
        <v>0</v>
      </c>
      <c r="BT100">
        <v>0</v>
      </c>
      <c r="BU100">
        <v>0</v>
      </c>
      <c r="BV100">
        <v>0</v>
      </c>
      <c r="BW100">
        <v>1</v>
      </c>
      <c r="CV100">
        <v>0</v>
      </c>
      <c r="CW100">
        <f>ROUND(Y100*Source!I55*DO100,7)</f>
        <v>0</v>
      </c>
      <c r="CX100">
        <f>ROUND(Y100*Source!I55,7)</f>
        <v>1.1812499999999999</v>
      </c>
      <c r="CY100">
        <f>AB100</f>
        <v>32.24</v>
      </c>
      <c r="CZ100">
        <f>AF100</f>
        <v>32.24</v>
      </c>
      <c r="DA100">
        <f>AJ100</f>
        <v>1</v>
      </c>
      <c r="DB100">
        <f>ROUND((ROUND(AT100*CZ100,2)*ROUND(((0.35+1)*1.25),7)),6)</f>
        <v>19.035</v>
      </c>
      <c r="DC100">
        <f>ROUND((ROUND(AT100*AG100,2)*ROUND(((0.35+1)*1.25),7)),6)</f>
        <v>0</v>
      </c>
      <c r="DD100" t="s">
        <v>3</v>
      </c>
      <c r="DE100" t="s">
        <v>3</v>
      </c>
      <c r="DF100">
        <f>ROUND(ROUND(AE100,2)*CX100,2)</f>
        <v>0</v>
      </c>
      <c r="DG100">
        <f t="shared" si="46"/>
        <v>38.08</v>
      </c>
      <c r="DH100">
        <f t="shared" si="47"/>
        <v>0</v>
      </c>
      <c r="DI100">
        <f t="shared" si="48"/>
        <v>0</v>
      </c>
      <c r="DJ100">
        <f>DG100+DH100</f>
        <v>38.08</v>
      </c>
      <c r="DK100">
        <v>1</v>
      </c>
      <c r="DL100" t="s">
        <v>3</v>
      </c>
      <c r="DM100">
        <v>0</v>
      </c>
      <c r="DN100" t="s">
        <v>3</v>
      </c>
      <c r="DO100">
        <v>0</v>
      </c>
    </row>
    <row r="101" spans="1:119" x14ac:dyDescent="0.2">
      <c r="A101">
        <f>ROW(Source!A55)</f>
        <v>55</v>
      </c>
      <c r="B101">
        <v>82813384</v>
      </c>
      <c r="C101">
        <v>82813681</v>
      </c>
      <c r="D101">
        <v>81034499</v>
      </c>
      <c r="E101">
        <v>1</v>
      </c>
      <c r="F101">
        <v>1</v>
      </c>
      <c r="G101">
        <v>1</v>
      </c>
      <c r="H101">
        <v>3</v>
      </c>
      <c r="I101" t="s">
        <v>315</v>
      </c>
      <c r="J101" t="s">
        <v>316</v>
      </c>
      <c r="K101" t="s">
        <v>317</v>
      </c>
      <c r="L101">
        <v>1407</v>
      </c>
      <c r="N101">
        <v>1013</v>
      </c>
      <c r="O101" t="s">
        <v>318</v>
      </c>
      <c r="P101" t="s">
        <v>318</v>
      </c>
      <c r="Q101">
        <v>1</v>
      </c>
      <c r="W101">
        <v>0</v>
      </c>
      <c r="X101">
        <v>-786638904</v>
      </c>
      <c r="Y101">
        <f t="shared" ref="Y101:Y106" si="49">AT101</f>
        <v>2E-3</v>
      </c>
      <c r="AA101">
        <v>8287.8799999999992</v>
      </c>
      <c r="AB101">
        <v>0</v>
      </c>
      <c r="AC101">
        <v>0</v>
      </c>
      <c r="AD101">
        <v>0</v>
      </c>
      <c r="AE101">
        <v>7023.63</v>
      </c>
      <c r="AF101">
        <v>0</v>
      </c>
      <c r="AG101">
        <v>0</v>
      </c>
      <c r="AH101">
        <v>0</v>
      </c>
      <c r="AI101">
        <v>1.18</v>
      </c>
      <c r="AJ101">
        <v>1</v>
      </c>
      <c r="AK101">
        <v>1</v>
      </c>
      <c r="AL101">
        <v>1</v>
      </c>
      <c r="AM101">
        <v>2</v>
      </c>
      <c r="AN101">
        <v>0</v>
      </c>
      <c r="AO101">
        <v>0</v>
      </c>
      <c r="AP101">
        <v>1</v>
      </c>
      <c r="AQ101">
        <v>1</v>
      </c>
      <c r="AR101">
        <v>0</v>
      </c>
      <c r="AS101" t="s">
        <v>3</v>
      </c>
      <c r="AT101">
        <v>2E-3</v>
      </c>
      <c r="AU101" t="s">
        <v>3</v>
      </c>
      <c r="AV101">
        <v>0</v>
      </c>
      <c r="AW101">
        <v>2</v>
      </c>
      <c r="AX101">
        <v>82813686</v>
      </c>
      <c r="AY101">
        <v>1</v>
      </c>
      <c r="AZ101">
        <v>0</v>
      </c>
      <c r="BA101">
        <v>98</v>
      </c>
      <c r="BB101">
        <v>1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14.04726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1</v>
      </c>
      <c r="BQ101">
        <v>14.04726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1</v>
      </c>
      <c r="CV101">
        <v>0</v>
      </c>
      <c r="CW101">
        <v>0</v>
      </c>
      <c r="CX101">
        <f>ROUND(Y101*Source!I55,7)</f>
        <v>4.0000000000000001E-3</v>
      </c>
      <c r="CY101">
        <f t="shared" ref="CY101:CY106" si="50">AA101</f>
        <v>8287.8799999999992</v>
      </c>
      <c r="CZ101">
        <f t="shared" ref="CZ101:CZ106" si="51">AE101</f>
        <v>7023.63</v>
      </c>
      <c r="DA101">
        <f t="shared" ref="DA101:DA106" si="52">AI101</f>
        <v>1.18</v>
      </c>
      <c r="DB101">
        <f t="shared" ref="DB101:DB106" si="53">ROUND(ROUND(AT101*CZ101,2),6)</f>
        <v>14.05</v>
      </c>
      <c r="DC101">
        <f t="shared" ref="DC101:DC106" si="54">ROUND(ROUND(AT101*AG101,2),6)</f>
        <v>0</v>
      </c>
      <c r="DD101" t="s">
        <v>3</v>
      </c>
      <c r="DE101" t="s">
        <v>3</v>
      </c>
      <c r="DF101">
        <f>ROUND(ROUND(AE101*AI101,2)*CX101,2)</f>
        <v>33.15</v>
      </c>
      <c r="DG101">
        <f t="shared" si="46"/>
        <v>0</v>
      </c>
      <c r="DH101">
        <f t="shared" si="47"/>
        <v>0</v>
      </c>
      <c r="DI101">
        <f t="shared" si="48"/>
        <v>0</v>
      </c>
      <c r="DJ101">
        <f t="shared" ref="DJ101:DJ106" si="55">DF101</f>
        <v>33.15</v>
      </c>
      <c r="DK101">
        <v>0</v>
      </c>
      <c r="DL101" t="s">
        <v>3</v>
      </c>
      <c r="DM101">
        <v>0</v>
      </c>
      <c r="DN101" t="s">
        <v>3</v>
      </c>
      <c r="DO101">
        <v>0</v>
      </c>
    </row>
    <row r="102" spans="1:119" x14ac:dyDescent="0.2">
      <c r="A102">
        <f>ROW(Source!A55)</f>
        <v>55</v>
      </c>
      <c r="B102">
        <v>82813384</v>
      </c>
      <c r="C102">
        <v>82813681</v>
      </c>
      <c r="D102">
        <v>81037446</v>
      </c>
      <c r="E102">
        <v>1</v>
      </c>
      <c r="F102">
        <v>1</v>
      </c>
      <c r="G102">
        <v>1</v>
      </c>
      <c r="H102">
        <v>3</v>
      </c>
      <c r="I102" t="s">
        <v>319</v>
      </c>
      <c r="J102" t="s">
        <v>320</v>
      </c>
      <c r="K102" t="s">
        <v>321</v>
      </c>
      <c r="L102">
        <v>1346</v>
      </c>
      <c r="N102">
        <v>1009</v>
      </c>
      <c r="O102" t="s">
        <v>93</v>
      </c>
      <c r="P102" t="s">
        <v>93</v>
      </c>
      <c r="Q102">
        <v>1</v>
      </c>
      <c r="W102">
        <v>0</v>
      </c>
      <c r="X102">
        <v>-1476217930</v>
      </c>
      <c r="Y102">
        <f t="shared" si="49"/>
        <v>0.14000000000000001</v>
      </c>
      <c r="AA102">
        <v>119.84</v>
      </c>
      <c r="AB102">
        <v>0</v>
      </c>
      <c r="AC102">
        <v>0</v>
      </c>
      <c r="AD102">
        <v>0</v>
      </c>
      <c r="AE102">
        <v>155.63</v>
      </c>
      <c r="AF102">
        <v>0</v>
      </c>
      <c r="AG102">
        <v>0</v>
      </c>
      <c r="AH102">
        <v>0</v>
      </c>
      <c r="AI102">
        <v>0.77</v>
      </c>
      <c r="AJ102">
        <v>1</v>
      </c>
      <c r="AK102">
        <v>1</v>
      </c>
      <c r="AL102">
        <v>1</v>
      </c>
      <c r="AM102">
        <v>2</v>
      </c>
      <c r="AN102">
        <v>0</v>
      </c>
      <c r="AO102">
        <v>0</v>
      </c>
      <c r="AP102">
        <v>1</v>
      </c>
      <c r="AQ102">
        <v>1</v>
      </c>
      <c r="AR102">
        <v>0</v>
      </c>
      <c r="AS102" t="s">
        <v>3</v>
      </c>
      <c r="AT102">
        <v>0.14000000000000001</v>
      </c>
      <c r="AU102" t="s">
        <v>3</v>
      </c>
      <c r="AV102">
        <v>0</v>
      </c>
      <c r="AW102">
        <v>2</v>
      </c>
      <c r="AX102">
        <v>82813687</v>
      </c>
      <c r="AY102">
        <v>1</v>
      </c>
      <c r="AZ102">
        <v>0</v>
      </c>
      <c r="BA102">
        <v>99</v>
      </c>
      <c r="BB102">
        <v>1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21.7882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1</v>
      </c>
      <c r="BQ102">
        <v>21.7882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1</v>
      </c>
      <c r="CV102">
        <v>0</v>
      </c>
      <c r="CW102">
        <v>0</v>
      </c>
      <c r="CX102">
        <f>ROUND(Y102*Source!I55,7)</f>
        <v>0.28000000000000003</v>
      </c>
      <c r="CY102">
        <f t="shared" si="50"/>
        <v>119.84</v>
      </c>
      <c r="CZ102">
        <f t="shared" si="51"/>
        <v>155.63</v>
      </c>
      <c r="DA102">
        <f t="shared" si="52"/>
        <v>0.77</v>
      </c>
      <c r="DB102">
        <f t="shared" si="53"/>
        <v>21.79</v>
      </c>
      <c r="DC102">
        <f t="shared" si="54"/>
        <v>0</v>
      </c>
      <c r="DD102" t="s">
        <v>3</v>
      </c>
      <c r="DE102" t="s">
        <v>3</v>
      </c>
      <c r="DF102">
        <f>ROUND(ROUND(AE102*AI102,2)*CX102,2)</f>
        <v>33.56</v>
      </c>
      <c r="DG102">
        <f t="shared" si="46"/>
        <v>0</v>
      </c>
      <c r="DH102">
        <f t="shared" si="47"/>
        <v>0</v>
      </c>
      <c r="DI102">
        <f t="shared" si="48"/>
        <v>0</v>
      </c>
      <c r="DJ102">
        <f t="shared" si="55"/>
        <v>33.56</v>
      </c>
      <c r="DK102">
        <v>0</v>
      </c>
      <c r="DL102" t="s">
        <v>3</v>
      </c>
      <c r="DM102">
        <v>0</v>
      </c>
      <c r="DN102" t="s">
        <v>3</v>
      </c>
      <c r="DO102">
        <v>0</v>
      </c>
    </row>
    <row r="103" spans="1:119" x14ac:dyDescent="0.2">
      <c r="A103">
        <f>ROW(Source!A55)</f>
        <v>55</v>
      </c>
      <c r="B103">
        <v>82813384</v>
      </c>
      <c r="C103">
        <v>82813681</v>
      </c>
      <c r="D103">
        <v>81038182</v>
      </c>
      <c r="E103">
        <v>1</v>
      </c>
      <c r="F103">
        <v>1</v>
      </c>
      <c r="G103">
        <v>1</v>
      </c>
      <c r="H103">
        <v>3</v>
      </c>
      <c r="I103" t="s">
        <v>322</v>
      </c>
      <c r="J103" t="s">
        <v>323</v>
      </c>
      <c r="K103" t="s">
        <v>324</v>
      </c>
      <c r="L103">
        <v>1348</v>
      </c>
      <c r="N103">
        <v>1009</v>
      </c>
      <c r="O103" t="s">
        <v>59</v>
      </c>
      <c r="P103" t="s">
        <v>59</v>
      </c>
      <c r="Q103">
        <v>1000</v>
      </c>
      <c r="W103">
        <v>0</v>
      </c>
      <c r="X103">
        <v>-1354875935</v>
      </c>
      <c r="Y103">
        <f t="shared" si="49"/>
        <v>1.1000000000000001E-3</v>
      </c>
      <c r="AA103">
        <v>157465.60999999999</v>
      </c>
      <c r="AB103">
        <v>0</v>
      </c>
      <c r="AC103">
        <v>0</v>
      </c>
      <c r="AD103">
        <v>0</v>
      </c>
      <c r="AE103">
        <v>145801.49</v>
      </c>
      <c r="AF103">
        <v>0</v>
      </c>
      <c r="AG103">
        <v>0</v>
      </c>
      <c r="AH103">
        <v>0</v>
      </c>
      <c r="AI103">
        <v>1.08</v>
      </c>
      <c r="AJ103">
        <v>1</v>
      </c>
      <c r="AK103">
        <v>1</v>
      </c>
      <c r="AL103">
        <v>1</v>
      </c>
      <c r="AM103">
        <v>2</v>
      </c>
      <c r="AN103">
        <v>0</v>
      </c>
      <c r="AO103">
        <v>0</v>
      </c>
      <c r="AP103">
        <v>1</v>
      </c>
      <c r="AQ103">
        <v>1</v>
      </c>
      <c r="AR103">
        <v>0</v>
      </c>
      <c r="AS103" t="s">
        <v>3</v>
      </c>
      <c r="AT103">
        <v>1.1000000000000001E-3</v>
      </c>
      <c r="AU103" t="s">
        <v>3</v>
      </c>
      <c r="AV103">
        <v>0</v>
      </c>
      <c r="AW103">
        <v>2</v>
      </c>
      <c r="AX103">
        <v>82813688</v>
      </c>
      <c r="AY103">
        <v>1</v>
      </c>
      <c r="AZ103">
        <v>0</v>
      </c>
      <c r="BA103">
        <v>100</v>
      </c>
      <c r="BB103">
        <v>1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160.38163900000001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1</v>
      </c>
      <c r="BQ103">
        <v>160.38163900000001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1</v>
      </c>
      <c r="CV103">
        <v>0</v>
      </c>
      <c r="CW103">
        <v>0</v>
      </c>
      <c r="CX103">
        <f>ROUND(Y103*Source!I55,7)</f>
        <v>2.2000000000000001E-3</v>
      </c>
      <c r="CY103">
        <f t="shared" si="50"/>
        <v>157465.60999999999</v>
      </c>
      <c r="CZ103">
        <f t="shared" si="51"/>
        <v>145801.49</v>
      </c>
      <c r="DA103">
        <f t="shared" si="52"/>
        <v>1.08</v>
      </c>
      <c r="DB103">
        <f t="shared" si="53"/>
        <v>160.38</v>
      </c>
      <c r="DC103">
        <f t="shared" si="54"/>
        <v>0</v>
      </c>
      <c r="DD103" t="s">
        <v>3</v>
      </c>
      <c r="DE103" t="s">
        <v>3</v>
      </c>
      <c r="DF103">
        <f>ROUND(ROUND(AE103*AI103,2)*CX103,2)</f>
        <v>346.42</v>
      </c>
      <c r="DG103">
        <f t="shared" si="46"/>
        <v>0</v>
      </c>
      <c r="DH103">
        <f t="shared" si="47"/>
        <v>0</v>
      </c>
      <c r="DI103">
        <f t="shared" si="48"/>
        <v>0</v>
      </c>
      <c r="DJ103">
        <f t="shared" si="55"/>
        <v>346.42</v>
      </c>
      <c r="DK103">
        <v>0</v>
      </c>
      <c r="DL103" t="s">
        <v>3</v>
      </c>
      <c r="DM103">
        <v>0</v>
      </c>
      <c r="DN103" t="s">
        <v>3</v>
      </c>
      <c r="DO103">
        <v>0</v>
      </c>
    </row>
    <row r="104" spans="1:119" x14ac:dyDescent="0.2">
      <c r="A104">
        <f>ROW(Source!A55)</f>
        <v>55</v>
      </c>
      <c r="B104">
        <v>82813384</v>
      </c>
      <c r="C104">
        <v>82813681</v>
      </c>
      <c r="D104">
        <v>80964454</v>
      </c>
      <c r="E104">
        <v>118</v>
      </c>
      <c r="F104">
        <v>1</v>
      </c>
      <c r="G104">
        <v>1</v>
      </c>
      <c r="H104">
        <v>3</v>
      </c>
      <c r="I104" t="s">
        <v>44</v>
      </c>
      <c r="J104" t="s">
        <v>3</v>
      </c>
      <c r="K104" t="s">
        <v>45</v>
      </c>
      <c r="L104">
        <v>1371</v>
      </c>
      <c r="N104">
        <v>1013</v>
      </c>
      <c r="O104" t="s">
        <v>30</v>
      </c>
      <c r="P104" t="s">
        <v>30</v>
      </c>
      <c r="Q104">
        <v>1</v>
      </c>
      <c r="W104">
        <v>0</v>
      </c>
      <c r="X104">
        <v>2104205920</v>
      </c>
      <c r="Y104">
        <f t="shared" si="49"/>
        <v>1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1</v>
      </c>
      <c r="AJ104">
        <v>1</v>
      </c>
      <c r="AK104">
        <v>1</v>
      </c>
      <c r="AL104">
        <v>1</v>
      </c>
      <c r="AM104">
        <v>0</v>
      </c>
      <c r="AN104">
        <v>0</v>
      </c>
      <c r="AO104">
        <v>0</v>
      </c>
      <c r="AP104">
        <v>1</v>
      </c>
      <c r="AQ104">
        <v>0</v>
      </c>
      <c r="AR104">
        <v>0</v>
      </c>
      <c r="AS104" t="s">
        <v>3</v>
      </c>
      <c r="AT104">
        <v>1</v>
      </c>
      <c r="AU104" t="s">
        <v>3</v>
      </c>
      <c r="AV104">
        <v>0</v>
      </c>
      <c r="AW104">
        <v>2</v>
      </c>
      <c r="AX104">
        <v>82813689</v>
      </c>
      <c r="AY104">
        <v>1</v>
      </c>
      <c r="AZ104">
        <v>0</v>
      </c>
      <c r="BA104">
        <v>101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CV104">
        <v>0</v>
      </c>
      <c r="CW104">
        <v>0</v>
      </c>
      <c r="CX104">
        <f>ROUND(Y104*Source!I55,7)</f>
        <v>2</v>
      </c>
      <c r="CY104">
        <f t="shared" si="50"/>
        <v>0</v>
      </c>
      <c r="CZ104">
        <f t="shared" si="51"/>
        <v>0</v>
      </c>
      <c r="DA104">
        <f t="shared" si="52"/>
        <v>1</v>
      </c>
      <c r="DB104">
        <f t="shared" si="53"/>
        <v>0</v>
      </c>
      <c r="DC104">
        <f t="shared" si="54"/>
        <v>0</v>
      </c>
      <c r="DD104" t="s">
        <v>3</v>
      </c>
      <c r="DE104" t="s">
        <v>3</v>
      </c>
      <c r="DF104">
        <f>ROUND(ROUND(AE104,2)*CX104,2)</f>
        <v>0</v>
      </c>
      <c r="DG104">
        <f t="shared" si="46"/>
        <v>0</v>
      </c>
      <c r="DH104">
        <f t="shared" si="47"/>
        <v>0</v>
      </c>
      <c r="DI104">
        <f t="shared" si="48"/>
        <v>0</v>
      </c>
      <c r="DJ104">
        <f t="shared" si="55"/>
        <v>0</v>
      </c>
      <c r="DK104">
        <v>0</v>
      </c>
      <c r="DL104" t="s">
        <v>3</v>
      </c>
      <c r="DM104">
        <v>0</v>
      </c>
      <c r="DN104" t="s">
        <v>3</v>
      </c>
      <c r="DO104">
        <v>0</v>
      </c>
    </row>
    <row r="105" spans="1:119" x14ac:dyDescent="0.2">
      <c r="A105">
        <f>ROW(Source!A55)</f>
        <v>55</v>
      </c>
      <c r="B105">
        <v>82813384</v>
      </c>
      <c r="C105">
        <v>82813681</v>
      </c>
      <c r="D105">
        <v>81058206</v>
      </c>
      <c r="E105">
        <v>1</v>
      </c>
      <c r="F105">
        <v>1</v>
      </c>
      <c r="G105">
        <v>1</v>
      </c>
      <c r="H105">
        <v>3</v>
      </c>
      <c r="I105" t="s">
        <v>133</v>
      </c>
      <c r="J105" t="s">
        <v>135</v>
      </c>
      <c r="K105" t="s">
        <v>134</v>
      </c>
      <c r="L105">
        <v>1371</v>
      </c>
      <c r="N105">
        <v>1013</v>
      </c>
      <c r="O105" t="s">
        <v>30</v>
      </c>
      <c r="P105" t="s">
        <v>30</v>
      </c>
      <c r="Q105">
        <v>1</v>
      </c>
      <c r="W105">
        <v>0</v>
      </c>
      <c r="X105">
        <v>481438085</v>
      </c>
      <c r="Y105">
        <f t="shared" si="49"/>
        <v>1</v>
      </c>
      <c r="AA105">
        <v>3214.11</v>
      </c>
      <c r="AB105">
        <v>0</v>
      </c>
      <c r="AC105">
        <v>0</v>
      </c>
      <c r="AD105">
        <v>0</v>
      </c>
      <c r="AE105">
        <v>2634.52</v>
      </c>
      <c r="AF105">
        <v>0</v>
      </c>
      <c r="AG105">
        <v>0</v>
      </c>
      <c r="AH105">
        <v>0</v>
      </c>
      <c r="AI105">
        <v>1.22</v>
      </c>
      <c r="AJ105">
        <v>1</v>
      </c>
      <c r="AK105">
        <v>1</v>
      </c>
      <c r="AL105">
        <v>1</v>
      </c>
      <c r="AM105">
        <v>0</v>
      </c>
      <c r="AN105">
        <v>0</v>
      </c>
      <c r="AO105">
        <v>0</v>
      </c>
      <c r="AP105">
        <v>1</v>
      </c>
      <c r="AQ105">
        <v>0</v>
      </c>
      <c r="AR105">
        <v>0</v>
      </c>
      <c r="AS105" t="s">
        <v>3</v>
      </c>
      <c r="AT105">
        <v>1</v>
      </c>
      <c r="AU105" t="s">
        <v>3</v>
      </c>
      <c r="AV105">
        <v>0</v>
      </c>
      <c r="AW105">
        <v>1</v>
      </c>
      <c r="AX105">
        <v>-1</v>
      </c>
      <c r="AY105">
        <v>0</v>
      </c>
      <c r="AZ105">
        <v>0</v>
      </c>
      <c r="BA105" t="s">
        <v>3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CV105">
        <v>0</v>
      </c>
      <c r="CW105">
        <v>0</v>
      </c>
      <c r="CX105">
        <f>ROUND(Y105*Source!I55,7)</f>
        <v>2</v>
      </c>
      <c r="CY105">
        <f t="shared" si="50"/>
        <v>3214.11</v>
      </c>
      <c r="CZ105">
        <f t="shared" si="51"/>
        <v>2634.52</v>
      </c>
      <c r="DA105">
        <f t="shared" si="52"/>
        <v>1.22</v>
      </c>
      <c r="DB105">
        <f t="shared" si="53"/>
        <v>2634.52</v>
      </c>
      <c r="DC105">
        <f t="shared" si="54"/>
        <v>0</v>
      </c>
      <c r="DD105" t="s">
        <v>3</v>
      </c>
      <c r="DE105" t="s">
        <v>3</v>
      </c>
      <c r="DF105">
        <f>ROUND(ROUND(AE105*AI105,2)*CX105,2)</f>
        <v>6428.22</v>
      </c>
      <c r="DG105">
        <f t="shared" si="46"/>
        <v>0</v>
      </c>
      <c r="DH105">
        <f t="shared" si="47"/>
        <v>0</v>
      </c>
      <c r="DI105">
        <f t="shared" si="48"/>
        <v>0</v>
      </c>
      <c r="DJ105">
        <f t="shared" si="55"/>
        <v>6428.22</v>
      </c>
      <c r="DK105">
        <v>0</v>
      </c>
      <c r="DL105" t="s">
        <v>3</v>
      </c>
      <c r="DM105">
        <v>0</v>
      </c>
      <c r="DN105" t="s">
        <v>3</v>
      </c>
      <c r="DO105">
        <v>0</v>
      </c>
    </row>
    <row r="106" spans="1:119" x14ac:dyDescent="0.2">
      <c r="A106">
        <f>ROW(Source!A55)</f>
        <v>55</v>
      </c>
      <c r="B106">
        <v>82813384</v>
      </c>
      <c r="C106">
        <v>82813681</v>
      </c>
      <c r="D106">
        <v>80965601</v>
      </c>
      <c r="E106">
        <v>118</v>
      </c>
      <c r="F106">
        <v>1</v>
      </c>
      <c r="G106">
        <v>1</v>
      </c>
      <c r="H106">
        <v>3</v>
      </c>
      <c r="I106" t="s">
        <v>47</v>
      </c>
      <c r="J106" t="s">
        <v>3</v>
      </c>
      <c r="K106" t="s">
        <v>48</v>
      </c>
      <c r="L106">
        <v>1371</v>
      </c>
      <c r="N106">
        <v>1013</v>
      </c>
      <c r="O106" t="s">
        <v>30</v>
      </c>
      <c r="P106" t="s">
        <v>30</v>
      </c>
      <c r="Q106">
        <v>1</v>
      </c>
      <c r="W106">
        <v>0</v>
      </c>
      <c r="X106">
        <v>-2036935815</v>
      </c>
      <c r="Y106">
        <f t="shared" si="49"/>
        <v>2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1</v>
      </c>
      <c r="AJ106">
        <v>1</v>
      </c>
      <c r="AK106">
        <v>1</v>
      </c>
      <c r="AL106">
        <v>1</v>
      </c>
      <c r="AM106">
        <v>0</v>
      </c>
      <c r="AN106">
        <v>0</v>
      </c>
      <c r="AO106">
        <v>0</v>
      </c>
      <c r="AP106">
        <v>1</v>
      </c>
      <c r="AQ106">
        <v>0</v>
      </c>
      <c r="AR106">
        <v>0</v>
      </c>
      <c r="AS106" t="s">
        <v>3</v>
      </c>
      <c r="AT106">
        <v>2</v>
      </c>
      <c r="AU106" t="s">
        <v>3</v>
      </c>
      <c r="AV106">
        <v>0</v>
      </c>
      <c r="AW106">
        <v>2</v>
      </c>
      <c r="AX106">
        <v>82813690</v>
      </c>
      <c r="AY106">
        <v>1</v>
      </c>
      <c r="AZ106">
        <v>0</v>
      </c>
      <c r="BA106">
        <v>102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CV106">
        <v>0</v>
      </c>
      <c r="CW106">
        <v>0</v>
      </c>
      <c r="CX106">
        <f>ROUND(Y106*Source!I55,7)</f>
        <v>4</v>
      </c>
      <c r="CY106">
        <f t="shared" si="50"/>
        <v>0</v>
      </c>
      <c r="CZ106">
        <f t="shared" si="51"/>
        <v>0</v>
      </c>
      <c r="DA106">
        <f t="shared" si="52"/>
        <v>1</v>
      </c>
      <c r="DB106">
        <f t="shared" si="53"/>
        <v>0</v>
      </c>
      <c r="DC106">
        <f t="shared" si="54"/>
        <v>0</v>
      </c>
      <c r="DD106" t="s">
        <v>3</v>
      </c>
      <c r="DE106" t="s">
        <v>3</v>
      </c>
      <c r="DF106">
        <f>ROUND(ROUND(AE106,2)*CX106,2)</f>
        <v>0</v>
      </c>
      <c r="DG106">
        <f t="shared" si="46"/>
        <v>0</v>
      </c>
      <c r="DH106">
        <f t="shared" si="47"/>
        <v>0</v>
      </c>
      <c r="DI106">
        <f t="shared" si="48"/>
        <v>0</v>
      </c>
      <c r="DJ106">
        <f t="shared" si="55"/>
        <v>0</v>
      </c>
      <c r="DK106">
        <v>0</v>
      </c>
      <c r="DL106" t="s">
        <v>3</v>
      </c>
      <c r="DM106">
        <v>0</v>
      </c>
      <c r="DN106" t="s">
        <v>3</v>
      </c>
      <c r="DO106">
        <v>0</v>
      </c>
    </row>
    <row r="107" spans="1:119" x14ac:dyDescent="0.2">
      <c r="A107">
        <f>ROW(Source!A60)</f>
        <v>60</v>
      </c>
      <c r="B107">
        <v>82813384</v>
      </c>
      <c r="C107">
        <v>82813584</v>
      </c>
      <c r="D107">
        <v>80959956</v>
      </c>
      <c r="E107">
        <v>118</v>
      </c>
      <c r="F107">
        <v>1</v>
      </c>
      <c r="G107">
        <v>1</v>
      </c>
      <c r="H107">
        <v>1</v>
      </c>
      <c r="I107" t="s">
        <v>389</v>
      </c>
      <c r="J107" t="s">
        <v>3</v>
      </c>
      <c r="K107" t="s">
        <v>390</v>
      </c>
      <c r="L107">
        <v>1191</v>
      </c>
      <c r="N107">
        <v>1013</v>
      </c>
      <c r="O107" t="s">
        <v>288</v>
      </c>
      <c r="P107" t="s">
        <v>288</v>
      </c>
      <c r="Q107">
        <v>1</v>
      </c>
      <c r="W107">
        <v>0</v>
      </c>
      <c r="X107">
        <v>1522950421</v>
      </c>
      <c r="Y107">
        <f>(AT107*ROUND(((0.35+1)*1.15),7))</f>
        <v>3.4155000000000002</v>
      </c>
      <c r="AA107">
        <v>0</v>
      </c>
      <c r="AB107">
        <v>0</v>
      </c>
      <c r="AC107">
        <v>0</v>
      </c>
      <c r="AD107">
        <v>752.9</v>
      </c>
      <c r="AE107">
        <v>0</v>
      </c>
      <c r="AF107">
        <v>0</v>
      </c>
      <c r="AG107">
        <v>0</v>
      </c>
      <c r="AH107">
        <v>752.9</v>
      </c>
      <c r="AI107">
        <v>1</v>
      </c>
      <c r="AJ107">
        <v>1</v>
      </c>
      <c r="AK107">
        <v>1</v>
      </c>
      <c r="AL107">
        <v>1</v>
      </c>
      <c r="AM107">
        <v>-2</v>
      </c>
      <c r="AN107">
        <v>0</v>
      </c>
      <c r="AO107">
        <v>0</v>
      </c>
      <c r="AP107">
        <v>1</v>
      </c>
      <c r="AQ107">
        <v>1</v>
      </c>
      <c r="AR107">
        <v>0</v>
      </c>
      <c r="AS107" t="s">
        <v>3</v>
      </c>
      <c r="AT107">
        <v>2.2000000000000002</v>
      </c>
      <c r="AU107" t="s">
        <v>33</v>
      </c>
      <c r="AV107">
        <v>1</v>
      </c>
      <c r="AW107">
        <v>2</v>
      </c>
      <c r="AX107">
        <v>82813585</v>
      </c>
      <c r="AY107">
        <v>1</v>
      </c>
      <c r="AZ107">
        <v>0</v>
      </c>
      <c r="BA107">
        <v>103</v>
      </c>
      <c r="BB107">
        <v>1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1656.38</v>
      </c>
      <c r="BN107">
        <v>2.2000000000000002</v>
      </c>
      <c r="BO107">
        <v>0</v>
      </c>
      <c r="BP107">
        <v>1</v>
      </c>
      <c r="BQ107">
        <v>0</v>
      </c>
      <c r="BR107">
        <v>0</v>
      </c>
      <c r="BS107">
        <v>0</v>
      </c>
      <c r="BT107">
        <v>2571.5299500000006</v>
      </c>
      <c r="BU107">
        <v>3.4155000000000006</v>
      </c>
      <c r="BV107">
        <v>0</v>
      </c>
      <c r="BW107">
        <v>1</v>
      </c>
      <c r="CU107">
        <f>ROUND(AT107*Source!I60*AH107*AL107,2)</f>
        <v>2484.5700000000002</v>
      </c>
      <c r="CV107">
        <f>ROUND(Y107*Source!I60,7)</f>
        <v>5.1232499999999996</v>
      </c>
      <c r="CW107">
        <v>0</v>
      </c>
      <c r="CX107">
        <f>ROUND(Y107*Source!I60,7)</f>
        <v>5.1232499999999996</v>
      </c>
      <c r="CY107">
        <f>AD107</f>
        <v>752.9</v>
      </c>
      <c r="CZ107">
        <f>AH107</f>
        <v>752.9</v>
      </c>
      <c r="DA107">
        <f>AL107</f>
        <v>1</v>
      </c>
      <c r="DB107">
        <f>ROUND((ROUND(AT107*CZ107,2)*ROUND(((0.35+1)*1.15),7)),6)</f>
        <v>2571.5299500000001</v>
      </c>
      <c r="DC107">
        <f>ROUND((ROUND(AT107*AG107,2)*ROUND(((0.35+1)*1.15),7)),6)</f>
        <v>0</v>
      </c>
      <c r="DD107" t="s">
        <v>3</v>
      </c>
      <c r="DE107" t="s">
        <v>3</v>
      </c>
      <c r="DF107">
        <f>ROUND(ROUND(AE107,2)*CX107,2)</f>
        <v>0</v>
      </c>
      <c r="DG107">
        <f t="shared" si="46"/>
        <v>0</v>
      </c>
      <c r="DH107">
        <f t="shared" si="47"/>
        <v>0</v>
      </c>
      <c r="DI107">
        <f t="shared" si="48"/>
        <v>3857.29</v>
      </c>
      <c r="DJ107">
        <f>DI107</f>
        <v>3857.29</v>
      </c>
      <c r="DK107">
        <v>1</v>
      </c>
      <c r="DL107" t="s">
        <v>3</v>
      </c>
      <c r="DM107">
        <v>0</v>
      </c>
      <c r="DN107" t="s">
        <v>3</v>
      </c>
      <c r="DO107">
        <v>0</v>
      </c>
    </row>
    <row r="108" spans="1:119" x14ac:dyDescent="0.2">
      <c r="A108">
        <f>ROW(Source!A60)</f>
        <v>60</v>
      </c>
      <c r="B108">
        <v>82813384</v>
      </c>
      <c r="C108">
        <v>82813584</v>
      </c>
      <c r="D108">
        <v>80960127</v>
      </c>
      <c r="E108">
        <v>118</v>
      </c>
      <c r="F108">
        <v>1</v>
      </c>
      <c r="G108">
        <v>1</v>
      </c>
      <c r="H108">
        <v>1</v>
      </c>
      <c r="I108" t="s">
        <v>302</v>
      </c>
      <c r="J108" t="s">
        <v>3</v>
      </c>
      <c r="K108" t="s">
        <v>303</v>
      </c>
      <c r="L108">
        <v>1191</v>
      </c>
      <c r="N108">
        <v>1013</v>
      </c>
      <c r="O108" t="s">
        <v>288</v>
      </c>
      <c r="P108" t="s">
        <v>288</v>
      </c>
      <c r="Q108">
        <v>1</v>
      </c>
      <c r="W108">
        <v>0</v>
      </c>
      <c r="X108">
        <v>-1417349443</v>
      </c>
      <c r="Y108">
        <f>(AT108*ROUND(((0.35+1)*1.25),7))</f>
        <v>0.421875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1</v>
      </c>
      <c r="AJ108">
        <v>1</v>
      </c>
      <c r="AK108">
        <v>1</v>
      </c>
      <c r="AL108">
        <v>1</v>
      </c>
      <c r="AM108">
        <v>-2</v>
      </c>
      <c r="AN108">
        <v>0</v>
      </c>
      <c r="AO108">
        <v>0</v>
      </c>
      <c r="AP108">
        <v>1</v>
      </c>
      <c r="AQ108">
        <v>1</v>
      </c>
      <c r="AR108">
        <v>0</v>
      </c>
      <c r="AS108" t="s">
        <v>3</v>
      </c>
      <c r="AT108">
        <v>0.25</v>
      </c>
      <c r="AU108" t="s">
        <v>32</v>
      </c>
      <c r="AV108">
        <v>2</v>
      </c>
      <c r="AW108">
        <v>2</v>
      </c>
      <c r="AX108">
        <v>82813586</v>
      </c>
      <c r="AY108">
        <v>1</v>
      </c>
      <c r="AZ108">
        <v>0</v>
      </c>
      <c r="BA108">
        <v>104</v>
      </c>
      <c r="BB108">
        <v>1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CV108">
        <v>0</v>
      </c>
      <c r="CW108">
        <v>0</v>
      </c>
      <c r="CX108">
        <f>ROUND(Y108*Source!I60,7)</f>
        <v>0.6328125</v>
      </c>
      <c r="CY108">
        <f>AD108</f>
        <v>0</v>
      </c>
      <c r="CZ108">
        <f>AH108</f>
        <v>0</v>
      </c>
      <c r="DA108">
        <f>AL108</f>
        <v>1</v>
      </c>
      <c r="DB108">
        <f>ROUND((ROUND(AT108*CZ108,2)*ROUND(((0.35+1)*1.25),7)),6)</f>
        <v>0</v>
      </c>
      <c r="DC108">
        <f>ROUND((ROUND(AT108*AG108,2)*ROUND(((0.35+1)*1.25),7)),6)</f>
        <v>0</v>
      </c>
      <c r="DD108" t="s">
        <v>3</v>
      </c>
      <c r="DE108" t="s">
        <v>3</v>
      </c>
      <c r="DF108">
        <f>ROUND(ROUND(AE108,2)*CX108,2)</f>
        <v>0</v>
      </c>
      <c r="DG108">
        <f t="shared" si="46"/>
        <v>0</v>
      </c>
      <c r="DH108">
        <f t="shared" si="47"/>
        <v>0</v>
      </c>
      <c r="DI108">
        <f t="shared" si="48"/>
        <v>0</v>
      </c>
      <c r="DJ108">
        <f>DI108</f>
        <v>0</v>
      </c>
      <c r="DK108">
        <v>0</v>
      </c>
      <c r="DL108" t="s">
        <v>3</v>
      </c>
      <c r="DM108">
        <v>0</v>
      </c>
      <c r="DN108" t="s">
        <v>3</v>
      </c>
      <c r="DO108">
        <v>0</v>
      </c>
    </row>
    <row r="109" spans="1:119" x14ac:dyDescent="0.2">
      <c r="A109">
        <f>ROW(Source!A60)</f>
        <v>60</v>
      </c>
      <c r="B109">
        <v>82813384</v>
      </c>
      <c r="C109">
        <v>82813584</v>
      </c>
      <c r="D109">
        <v>81087487</v>
      </c>
      <c r="E109">
        <v>1</v>
      </c>
      <c r="F109">
        <v>1</v>
      </c>
      <c r="G109">
        <v>1</v>
      </c>
      <c r="H109">
        <v>2</v>
      </c>
      <c r="I109" t="s">
        <v>308</v>
      </c>
      <c r="J109" t="s">
        <v>309</v>
      </c>
      <c r="K109" t="s">
        <v>310</v>
      </c>
      <c r="L109">
        <v>1368</v>
      </c>
      <c r="N109">
        <v>1011</v>
      </c>
      <c r="O109" t="s">
        <v>292</v>
      </c>
      <c r="P109" t="s">
        <v>292</v>
      </c>
      <c r="Q109">
        <v>1</v>
      </c>
      <c r="W109">
        <v>0</v>
      </c>
      <c r="X109">
        <v>-312038840</v>
      </c>
      <c r="Y109">
        <f>(AT109*ROUND(((0.35+1)*1.25),7))</f>
        <v>0.421875</v>
      </c>
      <c r="AA109">
        <v>0</v>
      </c>
      <c r="AB109">
        <v>544.91999999999996</v>
      </c>
      <c r="AC109">
        <v>731.08</v>
      </c>
      <c r="AD109">
        <v>0</v>
      </c>
      <c r="AE109">
        <v>0</v>
      </c>
      <c r="AF109">
        <v>544.91999999999996</v>
      </c>
      <c r="AG109">
        <v>731.08</v>
      </c>
      <c r="AH109">
        <v>0</v>
      </c>
      <c r="AI109">
        <v>1</v>
      </c>
      <c r="AJ109">
        <v>1</v>
      </c>
      <c r="AK109">
        <v>1</v>
      </c>
      <c r="AL109">
        <v>1</v>
      </c>
      <c r="AM109">
        <v>-2</v>
      </c>
      <c r="AN109">
        <v>0</v>
      </c>
      <c r="AO109">
        <v>0</v>
      </c>
      <c r="AP109">
        <v>1</v>
      </c>
      <c r="AQ109">
        <v>1</v>
      </c>
      <c r="AR109">
        <v>0</v>
      </c>
      <c r="AS109" t="s">
        <v>3</v>
      </c>
      <c r="AT109">
        <v>0.25</v>
      </c>
      <c r="AU109" t="s">
        <v>32</v>
      </c>
      <c r="AV109">
        <v>1</v>
      </c>
      <c r="AW109">
        <v>2</v>
      </c>
      <c r="AX109">
        <v>82813587</v>
      </c>
      <c r="AY109">
        <v>1</v>
      </c>
      <c r="AZ109">
        <v>0</v>
      </c>
      <c r="BA109">
        <v>105</v>
      </c>
      <c r="BB109">
        <v>1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136.22999999999999</v>
      </c>
      <c r="BL109">
        <v>182.77</v>
      </c>
      <c r="BM109">
        <v>0</v>
      </c>
      <c r="BN109">
        <v>0</v>
      </c>
      <c r="BO109">
        <v>0.25</v>
      </c>
      <c r="BP109">
        <v>1</v>
      </c>
      <c r="BQ109">
        <v>0</v>
      </c>
      <c r="BR109">
        <v>229.88812499999997</v>
      </c>
      <c r="BS109">
        <v>308.424375</v>
      </c>
      <c r="BT109">
        <v>0</v>
      </c>
      <c r="BU109">
        <v>0</v>
      </c>
      <c r="BV109">
        <v>0.421875</v>
      </c>
      <c r="BW109">
        <v>1</v>
      </c>
      <c r="CV109">
        <v>0</v>
      </c>
      <c r="CW109">
        <f>ROUND(Y109*Source!I60*DO109,7)</f>
        <v>0.6328125</v>
      </c>
      <c r="CX109">
        <f>ROUND(Y109*Source!I60,7)</f>
        <v>0.6328125</v>
      </c>
      <c r="CY109">
        <f>AB109</f>
        <v>544.91999999999996</v>
      </c>
      <c r="CZ109">
        <f>AF109</f>
        <v>544.91999999999996</v>
      </c>
      <c r="DA109">
        <f>AJ109</f>
        <v>1</v>
      </c>
      <c r="DB109">
        <f>ROUND((ROUND(AT109*CZ109,2)*ROUND(((0.35+1)*1.25),7)),6)</f>
        <v>229.888125</v>
      </c>
      <c r="DC109">
        <f>ROUND((ROUND(AT109*AG109,2)*ROUND(((0.35+1)*1.25),7)),6)</f>
        <v>308.424375</v>
      </c>
      <c r="DD109" t="s">
        <v>3</v>
      </c>
      <c r="DE109" t="s">
        <v>3</v>
      </c>
      <c r="DF109">
        <f>ROUND(ROUND(AE109,2)*CX109,2)</f>
        <v>0</v>
      </c>
      <c r="DG109">
        <f t="shared" si="46"/>
        <v>344.83</v>
      </c>
      <c r="DH109">
        <f t="shared" si="47"/>
        <v>462.64</v>
      </c>
      <c r="DI109">
        <f t="shared" si="48"/>
        <v>0</v>
      </c>
      <c r="DJ109">
        <f>DG109+DH109</f>
        <v>807.47</v>
      </c>
      <c r="DK109">
        <v>1</v>
      </c>
      <c r="DL109" t="s">
        <v>311</v>
      </c>
      <c r="DM109">
        <v>4</v>
      </c>
      <c r="DN109" t="s">
        <v>288</v>
      </c>
      <c r="DO109">
        <v>1</v>
      </c>
    </row>
    <row r="110" spans="1:119" x14ac:dyDescent="0.2">
      <c r="A110">
        <f>ROW(Source!A60)</f>
        <v>60</v>
      </c>
      <c r="B110">
        <v>82813384</v>
      </c>
      <c r="C110">
        <v>82813584</v>
      </c>
      <c r="D110">
        <v>81088244</v>
      </c>
      <c r="E110">
        <v>1</v>
      </c>
      <c r="F110">
        <v>1</v>
      </c>
      <c r="G110">
        <v>1</v>
      </c>
      <c r="H110">
        <v>2</v>
      </c>
      <c r="I110" t="s">
        <v>391</v>
      </c>
      <c r="J110" t="s">
        <v>392</v>
      </c>
      <c r="K110" t="s">
        <v>393</v>
      </c>
      <c r="L110">
        <v>1368</v>
      </c>
      <c r="N110">
        <v>1011</v>
      </c>
      <c r="O110" t="s">
        <v>292</v>
      </c>
      <c r="P110" t="s">
        <v>292</v>
      </c>
      <c r="Q110">
        <v>1</v>
      </c>
      <c r="W110">
        <v>0</v>
      </c>
      <c r="X110">
        <v>-774410353</v>
      </c>
      <c r="Y110">
        <f>(AT110*ROUND(((0.35+1)*1.25),7))</f>
        <v>0.65812500000000007</v>
      </c>
      <c r="AA110">
        <v>0</v>
      </c>
      <c r="AB110">
        <v>31.23</v>
      </c>
      <c r="AC110">
        <v>0</v>
      </c>
      <c r="AD110">
        <v>0</v>
      </c>
      <c r="AE110">
        <v>0</v>
      </c>
      <c r="AF110">
        <v>21.39</v>
      </c>
      <c r="AG110">
        <v>0</v>
      </c>
      <c r="AH110">
        <v>0</v>
      </c>
      <c r="AI110">
        <v>1</v>
      </c>
      <c r="AJ110">
        <v>1.46</v>
      </c>
      <c r="AK110">
        <v>1</v>
      </c>
      <c r="AL110">
        <v>1</v>
      </c>
      <c r="AM110">
        <v>2</v>
      </c>
      <c r="AN110">
        <v>0</v>
      </c>
      <c r="AO110">
        <v>0</v>
      </c>
      <c r="AP110">
        <v>1</v>
      </c>
      <c r="AQ110">
        <v>1</v>
      </c>
      <c r="AR110">
        <v>0</v>
      </c>
      <c r="AS110" t="s">
        <v>3</v>
      </c>
      <c r="AT110">
        <v>0.39</v>
      </c>
      <c r="AU110" t="s">
        <v>32</v>
      </c>
      <c r="AV110">
        <v>1</v>
      </c>
      <c r="AW110">
        <v>2</v>
      </c>
      <c r="AX110">
        <v>82813588</v>
      </c>
      <c r="AY110">
        <v>1</v>
      </c>
      <c r="AZ110">
        <v>0</v>
      </c>
      <c r="BA110">
        <v>106</v>
      </c>
      <c r="BB110">
        <v>1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8.3421000000000003</v>
      </c>
      <c r="BL110">
        <v>0</v>
      </c>
      <c r="BM110">
        <v>0</v>
      </c>
      <c r="BN110">
        <v>0</v>
      </c>
      <c r="BO110">
        <v>0</v>
      </c>
      <c r="BP110">
        <v>1</v>
      </c>
      <c r="BQ110">
        <v>0</v>
      </c>
      <c r="BR110">
        <v>14.077293750000003</v>
      </c>
      <c r="BS110">
        <v>0</v>
      </c>
      <c r="BT110">
        <v>0</v>
      </c>
      <c r="BU110">
        <v>0</v>
      </c>
      <c r="BV110">
        <v>0</v>
      </c>
      <c r="BW110">
        <v>1</v>
      </c>
      <c r="CV110">
        <v>0</v>
      </c>
      <c r="CW110">
        <f>ROUND(Y110*Source!I60*DO110,7)</f>
        <v>0</v>
      </c>
      <c r="CX110">
        <f>ROUND(Y110*Source!I60,7)</f>
        <v>0.9871875</v>
      </c>
      <c r="CY110">
        <f>AB110</f>
        <v>31.23</v>
      </c>
      <c r="CZ110">
        <f>AF110</f>
        <v>21.39</v>
      </c>
      <c r="DA110">
        <f>AJ110</f>
        <v>1.46</v>
      </c>
      <c r="DB110">
        <f>ROUND((ROUND(AT110*CZ110,2)*ROUND(((0.35+1)*1.25),7)),6)</f>
        <v>14.07375</v>
      </c>
      <c r="DC110">
        <f>ROUND((ROUND(AT110*AG110,2)*ROUND(((0.35+1)*1.25),7)),6)</f>
        <v>0</v>
      </c>
      <c r="DD110" t="s">
        <v>3</v>
      </c>
      <c r="DE110" t="s">
        <v>3</v>
      </c>
      <c r="DF110">
        <f>ROUND(ROUND(AE110,2)*CX110,2)</f>
        <v>0</v>
      </c>
      <c r="DG110">
        <f>ROUND(ROUND(AF110*AJ110,2)*CX110,2)</f>
        <v>30.83</v>
      </c>
      <c r="DH110">
        <f t="shared" si="47"/>
        <v>0</v>
      </c>
      <c r="DI110">
        <f t="shared" si="48"/>
        <v>0</v>
      </c>
      <c r="DJ110">
        <f>DG110+DH110</f>
        <v>30.83</v>
      </c>
      <c r="DK110">
        <v>0</v>
      </c>
      <c r="DL110" t="s">
        <v>3</v>
      </c>
      <c r="DM110">
        <v>0</v>
      </c>
      <c r="DN110" t="s">
        <v>3</v>
      </c>
      <c r="DO110">
        <v>0</v>
      </c>
    </row>
    <row r="111" spans="1:119" x14ac:dyDescent="0.2">
      <c r="A111">
        <f>ROW(Source!A60)</f>
        <v>60</v>
      </c>
      <c r="B111">
        <v>82813384</v>
      </c>
      <c r="C111">
        <v>82813584</v>
      </c>
      <c r="D111">
        <v>81036929</v>
      </c>
      <c r="E111">
        <v>1</v>
      </c>
      <c r="F111">
        <v>1</v>
      </c>
      <c r="G111">
        <v>1</v>
      </c>
      <c r="H111">
        <v>3</v>
      </c>
      <c r="I111" t="s">
        <v>394</v>
      </c>
      <c r="J111" t="s">
        <v>395</v>
      </c>
      <c r="K111" t="s">
        <v>396</v>
      </c>
      <c r="L111">
        <v>1301</v>
      </c>
      <c r="N111">
        <v>1003</v>
      </c>
      <c r="O111" t="s">
        <v>72</v>
      </c>
      <c r="P111" t="s">
        <v>72</v>
      </c>
      <c r="Q111">
        <v>1</v>
      </c>
      <c r="W111">
        <v>0</v>
      </c>
      <c r="X111">
        <v>1966456539</v>
      </c>
      <c r="Y111">
        <f t="shared" ref="Y111:Y116" si="56">AT111</f>
        <v>15</v>
      </c>
      <c r="AA111">
        <v>63.05</v>
      </c>
      <c r="AB111">
        <v>0</v>
      </c>
      <c r="AC111">
        <v>0</v>
      </c>
      <c r="AD111">
        <v>0</v>
      </c>
      <c r="AE111">
        <v>40.94</v>
      </c>
      <c r="AF111">
        <v>0</v>
      </c>
      <c r="AG111">
        <v>0</v>
      </c>
      <c r="AH111">
        <v>0</v>
      </c>
      <c r="AI111">
        <v>1.54</v>
      </c>
      <c r="AJ111">
        <v>1</v>
      </c>
      <c r="AK111">
        <v>1</v>
      </c>
      <c r="AL111">
        <v>1</v>
      </c>
      <c r="AM111">
        <v>2</v>
      </c>
      <c r="AN111">
        <v>0</v>
      </c>
      <c r="AO111">
        <v>0</v>
      </c>
      <c r="AP111">
        <v>1</v>
      </c>
      <c r="AQ111">
        <v>1</v>
      </c>
      <c r="AR111">
        <v>0</v>
      </c>
      <c r="AS111" t="s">
        <v>3</v>
      </c>
      <c r="AT111">
        <v>15</v>
      </c>
      <c r="AU111" t="s">
        <v>3</v>
      </c>
      <c r="AV111">
        <v>0</v>
      </c>
      <c r="AW111">
        <v>2</v>
      </c>
      <c r="AX111">
        <v>82813589</v>
      </c>
      <c r="AY111">
        <v>1</v>
      </c>
      <c r="AZ111">
        <v>0</v>
      </c>
      <c r="BA111">
        <v>107</v>
      </c>
      <c r="BB111">
        <v>1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614.09999999999991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1</v>
      </c>
      <c r="BQ111">
        <v>614.09999999999991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1</v>
      </c>
      <c r="CV111">
        <v>0</v>
      </c>
      <c r="CW111">
        <v>0</v>
      </c>
      <c r="CX111">
        <f>ROUND(Y111*Source!I60,7)</f>
        <v>22.5</v>
      </c>
      <c r="CY111">
        <f t="shared" ref="CY111:CY116" si="57">AA111</f>
        <v>63.05</v>
      </c>
      <c r="CZ111">
        <f t="shared" ref="CZ111:CZ116" si="58">AE111</f>
        <v>40.94</v>
      </c>
      <c r="DA111">
        <f t="shared" ref="DA111:DA116" si="59">AI111</f>
        <v>1.54</v>
      </c>
      <c r="DB111">
        <f t="shared" ref="DB111:DB116" si="60">ROUND(ROUND(AT111*CZ111,2),6)</f>
        <v>614.1</v>
      </c>
      <c r="DC111">
        <f t="shared" ref="DC111:DC116" si="61">ROUND(ROUND(AT111*AG111,2),6)</f>
        <v>0</v>
      </c>
      <c r="DD111" t="s">
        <v>3</v>
      </c>
      <c r="DE111" t="s">
        <v>3</v>
      </c>
      <c r="DF111">
        <f t="shared" ref="DF111:DF116" si="62">ROUND(ROUND(AE111*AI111,2)*CX111,2)</f>
        <v>1418.63</v>
      </c>
      <c r="DG111">
        <f t="shared" ref="DG111:DG116" si="63">ROUND(ROUND(AF111,2)*CX111,2)</f>
        <v>0</v>
      </c>
      <c r="DH111">
        <f t="shared" si="47"/>
        <v>0</v>
      </c>
      <c r="DI111">
        <f t="shared" si="48"/>
        <v>0</v>
      </c>
      <c r="DJ111">
        <f t="shared" ref="DJ111:DJ116" si="64">DF111</f>
        <v>1418.63</v>
      </c>
      <c r="DK111">
        <v>0</v>
      </c>
      <c r="DL111" t="s">
        <v>3</v>
      </c>
      <c r="DM111">
        <v>0</v>
      </c>
      <c r="DN111" t="s">
        <v>3</v>
      </c>
      <c r="DO111">
        <v>0</v>
      </c>
    </row>
    <row r="112" spans="1:119" x14ac:dyDescent="0.2">
      <c r="A112">
        <f>ROW(Source!A60)</f>
        <v>60</v>
      </c>
      <c r="B112">
        <v>82813384</v>
      </c>
      <c r="C112">
        <v>82813584</v>
      </c>
      <c r="D112">
        <v>81046846</v>
      </c>
      <c r="E112">
        <v>1</v>
      </c>
      <c r="F112">
        <v>1</v>
      </c>
      <c r="G112">
        <v>1</v>
      </c>
      <c r="H112">
        <v>3</v>
      </c>
      <c r="I112" t="s">
        <v>397</v>
      </c>
      <c r="J112" t="s">
        <v>398</v>
      </c>
      <c r="K112" t="s">
        <v>399</v>
      </c>
      <c r="L112">
        <v>1346</v>
      </c>
      <c r="N112">
        <v>1009</v>
      </c>
      <c r="O112" t="s">
        <v>93</v>
      </c>
      <c r="P112" t="s">
        <v>93</v>
      </c>
      <c r="Q112">
        <v>1</v>
      </c>
      <c r="W112">
        <v>0</v>
      </c>
      <c r="X112">
        <v>-1559483265</v>
      </c>
      <c r="Y112">
        <f t="shared" si="56"/>
        <v>3.3000000000000002E-2</v>
      </c>
      <c r="AA112">
        <v>365.5</v>
      </c>
      <c r="AB112">
        <v>0</v>
      </c>
      <c r="AC112">
        <v>0</v>
      </c>
      <c r="AD112">
        <v>0</v>
      </c>
      <c r="AE112">
        <v>329.28</v>
      </c>
      <c r="AF112">
        <v>0</v>
      </c>
      <c r="AG112">
        <v>0</v>
      </c>
      <c r="AH112">
        <v>0</v>
      </c>
      <c r="AI112">
        <v>1.1100000000000001</v>
      </c>
      <c r="AJ112">
        <v>1</v>
      </c>
      <c r="AK112">
        <v>1</v>
      </c>
      <c r="AL112">
        <v>1</v>
      </c>
      <c r="AM112">
        <v>2</v>
      </c>
      <c r="AN112">
        <v>0</v>
      </c>
      <c r="AO112">
        <v>0</v>
      </c>
      <c r="AP112">
        <v>1</v>
      </c>
      <c r="AQ112">
        <v>1</v>
      </c>
      <c r="AR112">
        <v>0</v>
      </c>
      <c r="AS112" t="s">
        <v>3</v>
      </c>
      <c r="AT112">
        <v>3.3000000000000002E-2</v>
      </c>
      <c r="AU112" t="s">
        <v>3</v>
      </c>
      <c r="AV112">
        <v>0</v>
      </c>
      <c r="AW112">
        <v>2</v>
      </c>
      <c r="AX112">
        <v>82813590</v>
      </c>
      <c r="AY112">
        <v>1</v>
      </c>
      <c r="AZ112">
        <v>0</v>
      </c>
      <c r="BA112">
        <v>108</v>
      </c>
      <c r="BB112">
        <v>1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10.866239999999999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1</v>
      </c>
      <c r="BQ112">
        <v>10.866239999999999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1</v>
      </c>
      <c r="CV112">
        <v>0</v>
      </c>
      <c r="CW112">
        <v>0</v>
      </c>
      <c r="CX112">
        <f>ROUND(Y112*Source!I60,7)</f>
        <v>4.9500000000000002E-2</v>
      </c>
      <c r="CY112">
        <f t="shared" si="57"/>
        <v>365.5</v>
      </c>
      <c r="CZ112">
        <f t="shared" si="58"/>
        <v>329.28</v>
      </c>
      <c r="DA112">
        <f t="shared" si="59"/>
        <v>1.1100000000000001</v>
      </c>
      <c r="DB112">
        <f t="shared" si="60"/>
        <v>10.87</v>
      </c>
      <c r="DC112">
        <f t="shared" si="61"/>
        <v>0</v>
      </c>
      <c r="DD112" t="s">
        <v>3</v>
      </c>
      <c r="DE112" t="s">
        <v>3</v>
      </c>
      <c r="DF112">
        <f t="shared" si="62"/>
        <v>18.09</v>
      </c>
      <c r="DG112">
        <f t="shared" si="63"/>
        <v>0</v>
      </c>
      <c r="DH112">
        <f t="shared" si="47"/>
        <v>0</v>
      </c>
      <c r="DI112">
        <f t="shared" si="48"/>
        <v>0</v>
      </c>
      <c r="DJ112">
        <f t="shared" si="64"/>
        <v>18.09</v>
      </c>
      <c r="DK112">
        <v>0</v>
      </c>
      <c r="DL112" t="s">
        <v>3</v>
      </c>
      <c r="DM112">
        <v>0</v>
      </c>
      <c r="DN112" t="s">
        <v>3</v>
      </c>
      <c r="DO112">
        <v>0</v>
      </c>
    </row>
    <row r="113" spans="1:119" x14ac:dyDescent="0.2">
      <c r="A113">
        <f>ROW(Source!A60)</f>
        <v>60</v>
      </c>
      <c r="B113">
        <v>82813384</v>
      </c>
      <c r="C113">
        <v>82813584</v>
      </c>
      <c r="D113">
        <v>81049457</v>
      </c>
      <c r="E113">
        <v>1</v>
      </c>
      <c r="F113">
        <v>1</v>
      </c>
      <c r="G113">
        <v>1</v>
      </c>
      <c r="H113">
        <v>3</v>
      </c>
      <c r="I113" t="s">
        <v>400</v>
      </c>
      <c r="J113" t="s">
        <v>401</v>
      </c>
      <c r="K113" t="s">
        <v>402</v>
      </c>
      <c r="L113">
        <v>1425</v>
      </c>
      <c r="N113">
        <v>1013</v>
      </c>
      <c r="O113" t="s">
        <v>109</v>
      </c>
      <c r="P113" t="s">
        <v>109</v>
      </c>
      <c r="Q113">
        <v>1</v>
      </c>
      <c r="W113">
        <v>0</v>
      </c>
      <c r="X113">
        <v>-1184046883</v>
      </c>
      <c r="Y113">
        <f t="shared" si="56"/>
        <v>0.3</v>
      </c>
      <c r="AA113">
        <v>320.42</v>
      </c>
      <c r="AB113">
        <v>0</v>
      </c>
      <c r="AC113">
        <v>0</v>
      </c>
      <c r="AD113">
        <v>0</v>
      </c>
      <c r="AE113">
        <v>237.35</v>
      </c>
      <c r="AF113">
        <v>0</v>
      </c>
      <c r="AG113">
        <v>0</v>
      </c>
      <c r="AH113">
        <v>0</v>
      </c>
      <c r="AI113">
        <v>1.35</v>
      </c>
      <c r="AJ113">
        <v>1</v>
      </c>
      <c r="AK113">
        <v>1</v>
      </c>
      <c r="AL113">
        <v>1</v>
      </c>
      <c r="AM113">
        <v>2</v>
      </c>
      <c r="AN113">
        <v>0</v>
      </c>
      <c r="AO113">
        <v>0</v>
      </c>
      <c r="AP113">
        <v>1</v>
      </c>
      <c r="AQ113">
        <v>1</v>
      </c>
      <c r="AR113">
        <v>0</v>
      </c>
      <c r="AS113" t="s">
        <v>3</v>
      </c>
      <c r="AT113">
        <v>0.3</v>
      </c>
      <c r="AU113" t="s">
        <v>3</v>
      </c>
      <c r="AV113">
        <v>0</v>
      </c>
      <c r="AW113">
        <v>2</v>
      </c>
      <c r="AX113">
        <v>82813591</v>
      </c>
      <c r="AY113">
        <v>1</v>
      </c>
      <c r="AZ113">
        <v>0</v>
      </c>
      <c r="BA113">
        <v>109</v>
      </c>
      <c r="BB113">
        <v>1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71.204999999999998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1</v>
      </c>
      <c r="BQ113">
        <v>71.204999999999998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1</v>
      </c>
      <c r="CV113">
        <v>0</v>
      </c>
      <c r="CW113">
        <v>0</v>
      </c>
      <c r="CX113">
        <f>ROUND(Y113*Source!I60,7)</f>
        <v>0.45</v>
      </c>
      <c r="CY113">
        <f t="shared" si="57"/>
        <v>320.42</v>
      </c>
      <c r="CZ113">
        <f t="shared" si="58"/>
        <v>237.35</v>
      </c>
      <c r="DA113">
        <f t="shared" si="59"/>
        <v>1.35</v>
      </c>
      <c r="DB113">
        <f t="shared" si="60"/>
        <v>71.209999999999994</v>
      </c>
      <c r="DC113">
        <f t="shared" si="61"/>
        <v>0</v>
      </c>
      <c r="DD113" t="s">
        <v>3</v>
      </c>
      <c r="DE113" t="s">
        <v>3</v>
      </c>
      <c r="DF113">
        <f t="shared" si="62"/>
        <v>144.19</v>
      </c>
      <c r="DG113">
        <f t="shared" si="63"/>
        <v>0</v>
      </c>
      <c r="DH113">
        <f t="shared" si="47"/>
        <v>0</v>
      </c>
      <c r="DI113">
        <f t="shared" si="48"/>
        <v>0</v>
      </c>
      <c r="DJ113">
        <f t="shared" si="64"/>
        <v>144.19</v>
      </c>
      <c r="DK113">
        <v>0</v>
      </c>
      <c r="DL113" t="s">
        <v>3</v>
      </c>
      <c r="DM113">
        <v>0</v>
      </c>
      <c r="DN113" t="s">
        <v>3</v>
      </c>
      <c r="DO113">
        <v>0</v>
      </c>
    </row>
    <row r="114" spans="1:119" x14ac:dyDescent="0.2">
      <c r="A114">
        <f>ROW(Source!A60)</f>
        <v>60</v>
      </c>
      <c r="B114">
        <v>82813384</v>
      </c>
      <c r="C114">
        <v>82813584</v>
      </c>
      <c r="D114">
        <v>81050220</v>
      </c>
      <c r="E114">
        <v>1</v>
      </c>
      <c r="F114">
        <v>1</v>
      </c>
      <c r="G114">
        <v>1</v>
      </c>
      <c r="H114">
        <v>3</v>
      </c>
      <c r="I114" t="s">
        <v>151</v>
      </c>
      <c r="J114" t="s">
        <v>153</v>
      </c>
      <c r="K114" t="s">
        <v>152</v>
      </c>
      <c r="L114">
        <v>1301</v>
      </c>
      <c r="N114">
        <v>1003</v>
      </c>
      <c r="O114" t="s">
        <v>72</v>
      </c>
      <c r="P114" t="s">
        <v>72</v>
      </c>
      <c r="Q114">
        <v>1</v>
      </c>
      <c r="W114">
        <v>0</v>
      </c>
      <c r="X114">
        <v>2054648080</v>
      </c>
      <c r="Y114">
        <f t="shared" si="56"/>
        <v>11</v>
      </c>
      <c r="AA114">
        <v>192.43</v>
      </c>
      <c r="AB114">
        <v>0</v>
      </c>
      <c r="AC114">
        <v>0</v>
      </c>
      <c r="AD114">
        <v>0</v>
      </c>
      <c r="AE114">
        <v>139.44</v>
      </c>
      <c r="AF114">
        <v>0</v>
      </c>
      <c r="AG114">
        <v>0</v>
      </c>
      <c r="AH114">
        <v>0</v>
      </c>
      <c r="AI114">
        <v>1.38</v>
      </c>
      <c r="AJ114">
        <v>1</v>
      </c>
      <c r="AK114">
        <v>1</v>
      </c>
      <c r="AL114">
        <v>1</v>
      </c>
      <c r="AM114">
        <v>0</v>
      </c>
      <c r="AN114">
        <v>0</v>
      </c>
      <c r="AO114">
        <v>0</v>
      </c>
      <c r="AP114">
        <v>1</v>
      </c>
      <c r="AQ114">
        <v>0</v>
      </c>
      <c r="AR114">
        <v>0</v>
      </c>
      <c r="AS114" t="s">
        <v>3</v>
      </c>
      <c r="AT114">
        <v>11</v>
      </c>
      <c r="AU114" t="s">
        <v>3</v>
      </c>
      <c r="AV114">
        <v>0</v>
      </c>
      <c r="AW114">
        <v>1</v>
      </c>
      <c r="AX114">
        <v>-1</v>
      </c>
      <c r="AY114">
        <v>0</v>
      </c>
      <c r="AZ114">
        <v>0</v>
      </c>
      <c r="BA114" t="s">
        <v>3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CV114">
        <v>0</v>
      </c>
      <c r="CW114">
        <v>0</v>
      </c>
      <c r="CX114">
        <f>ROUND(Y114*Source!I60,7)</f>
        <v>16.5</v>
      </c>
      <c r="CY114">
        <f t="shared" si="57"/>
        <v>192.43</v>
      </c>
      <c r="CZ114">
        <f t="shared" si="58"/>
        <v>139.44</v>
      </c>
      <c r="DA114">
        <f t="shared" si="59"/>
        <v>1.38</v>
      </c>
      <c r="DB114">
        <f t="shared" si="60"/>
        <v>1533.84</v>
      </c>
      <c r="DC114">
        <f t="shared" si="61"/>
        <v>0</v>
      </c>
      <c r="DD114" t="s">
        <v>3</v>
      </c>
      <c r="DE114" t="s">
        <v>3</v>
      </c>
      <c r="DF114">
        <f t="shared" si="62"/>
        <v>3175.1</v>
      </c>
      <c r="DG114">
        <f t="shared" si="63"/>
        <v>0</v>
      </c>
      <c r="DH114">
        <f t="shared" si="47"/>
        <v>0</v>
      </c>
      <c r="DI114">
        <f t="shared" si="48"/>
        <v>0</v>
      </c>
      <c r="DJ114">
        <f t="shared" si="64"/>
        <v>3175.1</v>
      </c>
      <c r="DK114">
        <v>0</v>
      </c>
      <c r="DL114" t="s">
        <v>3</v>
      </c>
      <c r="DM114">
        <v>0</v>
      </c>
      <c r="DN114" t="s">
        <v>3</v>
      </c>
      <c r="DO114">
        <v>0</v>
      </c>
    </row>
    <row r="115" spans="1:119" x14ac:dyDescent="0.2">
      <c r="A115">
        <f>ROW(Source!A60)</f>
        <v>60</v>
      </c>
      <c r="B115">
        <v>82813384</v>
      </c>
      <c r="C115">
        <v>82813584</v>
      </c>
      <c r="D115">
        <v>81055237</v>
      </c>
      <c r="E115">
        <v>1</v>
      </c>
      <c r="F115">
        <v>1</v>
      </c>
      <c r="G115">
        <v>1</v>
      </c>
      <c r="H115">
        <v>3</v>
      </c>
      <c r="I115" t="s">
        <v>403</v>
      </c>
      <c r="J115" t="s">
        <v>404</v>
      </c>
      <c r="K115" t="s">
        <v>405</v>
      </c>
      <c r="L115">
        <v>1296</v>
      </c>
      <c r="N115">
        <v>1002</v>
      </c>
      <c r="O115" t="s">
        <v>406</v>
      </c>
      <c r="P115" t="s">
        <v>406</v>
      </c>
      <c r="Q115">
        <v>1</v>
      </c>
      <c r="W115">
        <v>0</v>
      </c>
      <c r="X115">
        <v>79600317</v>
      </c>
      <c r="Y115">
        <f t="shared" si="56"/>
        <v>0.14299999999999999</v>
      </c>
      <c r="AA115">
        <v>556.07000000000005</v>
      </c>
      <c r="AB115">
        <v>0</v>
      </c>
      <c r="AC115">
        <v>0</v>
      </c>
      <c r="AD115">
        <v>0</v>
      </c>
      <c r="AE115">
        <v>402.95</v>
      </c>
      <c r="AF115">
        <v>0</v>
      </c>
      <c r="AG115">
        <v>0</v>
      </c>
      <c r="AH115">
        <v>0</v>
      </c>
      <c r="AI115">
        <v>1.38</v>
      </c>
      <c r="AJ115">
        <v>1</v>
      </c>
      <c r="AK115">
        <v>1</v>
      </c>
      <c r="AL115">
        <v>1</v>
      </c>
      <c r="AM115">
        <v>2</v>
      </c>
      <c r="AN115">
        <v>0</v>
      </c>
      <c r="AO115">
        <v>0</v>
      </c>
      <c r="AP115">
        <v>1</v>
      </c>
      <c r="AQ115">
        <v>1</v>
      </c>
      <c r="AR115">
        <v>0</v>
      </c>
      <c r="AS115" t="s">
        <v>3</v>
      </c>
      <c r="AT115">
        <v>0.14299999999999999</v>
      </c>
      <c r="AU115" t="s">
        <v>3</v>
      </c>
      <c r="AV115">
        <v>0</v>
      </c>
      <c r="AW115">
        <v>2</v>
      </c>
      <c r="AX115">
        <v>82813593</v>
      </c>
      <c r="AY115">
        <v>1</v>
      </c>
      <c r="AZ115">
        <v>0</v>
      </c>
      <c r="BA115">
        <v>111</v>
      </c>
      <c r="BB115">
        <v>1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57.621849999999995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1</v>
      </c>
      <c r="BQ115">
        <v>57.621849999999995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1</v>
      </c>
      <c r="CV115">
        <v>0</v>
      </c>
      <c r="CW115">
        <v>0</v>
      </c>
      <c r="CX115">
        <f>ROUND(Y115*Source!I60,7)</f>
        <v>0.2145</v>
      </c>
      <c r="CY115">
        <f t="shared" si="57"/>
        <v>556.07000000000005</v>
      </c>
      <c r="CZ115">
        <f t="shared" si="58"/>
        <v>402.95</v>
      </c>
      <c r="DA115">
        <f t="shared" si="59"/>
        <v>1.38</v>
      </c>
      <c r="DB115">
        <f t="shared" si="60"/>
        <v>57.62</v>
      </c>
      <c r="DC115">
        <f t="shared" si="61"/>
        <v>0</v>
      </c>
      <c r="DD115" t="s">
        <v>3</v>
      </c>
      <c r="DE115" t="s">
        <v>3</v>
      </c>
      <c r="DF115">
        <f t="shared" si="62"/>
        <v>119.28</v>
      </c>
      <c r="DG115">
        <f t="shared" si="63"/>
        <v>0</v>
      </c>
      <c r="DH115">
        <f t="shared" si="47"/>
        <v>0</v>
      </c>
      <c r="DI115">
        <f t="shared" si="48"/>
        <v>0</v>
      </c>
      <c r="DJ115">
        <f t="shared" si="64"/>
        <v>119.28</v>
      </c>
      <c r="DK115">
        <v>0</v>
      </c>
      <c r="DL115" t="s">
        <v>3</v>
      </c>
      <c r="DM115">
        <v>0</v>
      </c>
      <c r="DN115" t="s">
        <v>3</v>
      </c>
      <c r="DO115">
        <v>0</v>
      </c>
    </row>
    <row r="116" spans="1:119" x14ac:dyDescent="0.2">
      <c r="A116">
        <f>ROW(Source!A60)</f>
        <v>60</v>
      </c>
      <c r="B116">
        <v>82813384</v>
      </c>
      <c r="C116">
        <v>82813584</v>
      </c>
      <c r="D116">
        <v>81056077</v>
      </c>
      <c r="E116">
        <v>1</v>
      </c>
      <c r="F116">
        <v>1</v>
      </c>
      <c r="G116">
        <v>1</v>
      </c>
      <c r="H116">
        <v>3</v>
      </c>
      <c r="I116" t="s">
        <v>407</v>
      </c>
      <c r="J116" t="s">
        <v>408</v>
      </c>
      <c r="K116" t="s">
        <v>409</v>
      </c>
      <c r="L116">
        <v>1296</v>
      </c>
      <c r="N116">
        <v>1002</v>
      </c>
      <c r="O116" t="s">
        <v>406</v>
      </c>
      <c r="P116" t="s">
        <v>406</v>
      </c>
      <c r="Q116">
        <v>1</v>
      </c>
      <c r="W116">
        <v>0</v>
      </c>
      <c r="X116">
        <v>1011934814</v>
      </c>
      <c r="Y116">
        <f t="shared" si="56"/>
        <v>0.02</v>
      </c>
      <c r="AA116">
        <v>1196.57</v>
      </c>
      <c r="AB116">
        <v>0</v>
      </c>
      <c r="AC116">
        <v>0</v>
      </c>
      <c r="AD116">
        <v>0</v>
      </c>
      <c r="AE116">
        <v>830.95</v>
      </c>
      <c r="AF116">
        <v>0</v>
      </c>
      <c r="AG116">
        <v>0</v>
      </c>
      <c r="AH116">
        <v>0</v>
      </c>
      <c r="AI116">
        <v>1.44</v>
      </c>
      <c r="AJ116">
        <v>1</v>
      </c>
      <c r="AK116">
        <v>1</v>
      </c>
      <c r="AL116">
        <v>1</v>
      </c>
      <c r="AM116">
        <v>2</v>
      </c>
      <c r="AN116">
        <v>0</v>
      </c>
      <c r="AO116">
        <v>0</v>
      </c>
      <c r="AP116">
        <v>1</v>
      </c>
      <c r="AQ116">
        <v>1</v>
      </c>
      <c r="AR116">
        <v>0</v>
      </c>
      <c r="AS116" t="s">
        <v>3</v>
      </c>
      <c r="AT116">
        <v>0.02</v>
      </c>
      <c r="AU116" t="s">
        <v>3</v>
      </c>
      <c r="AV116">
        <v>0</v>
      </c>
      <c r="AW116">
        <v>2</v>
      </c>
      <c r="AX116">
        <v>82813595</v>
      </c>
      <c r="AY116">
        <v>1</v>
      </c>
      <c r="AZ116">
        <v>0</v>
      </c>
      <c r="BA116">
        <v>113</v>
      </c>
      <c r="BB116">
        <v>1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16.619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1</v>
      </c>
      <c r="BQ116">
        <v>16.619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1</v>
      </c>
      <c r="CV116">
        <v>0</v>
      </c>
      <c r="CW116">
        <v>0</v>
      </c>
      <c r="CX116">
        <f>ROUND(Y116*Source!I60,7)</f>
        <v>0.03</v>
      </c>
      <c r="CY116">
        <f t="shared" si="57"/>
        <v>1196.57</v>
      </c>
      <c r="CZ116">
        <f t="shared" si="58"/>
        <v>830.95</v>
      </c>
      <c r="DA116">
        <f t="shared" si="59"/>
        <v>1.44</v>
      </c>
      <c r="DB116">
        <f t="shared" si="60"/>
        <v>16.62</v>
      </c>
      <c r="DC116">
        <f t="shared" si="61"/>
        <v>0</v>
      </c>
      <c r="DD116" t="s">
        <v>3</v>
      </c>
      <c r="DE116" t="s">
        <v>3</v>
      </c>
      <c r="DF116">
        <f t="shared" si="62"/>
        <v>35.9</v>
      </c>
      <c r="DG116">
        <f t="shared" si="63"/>
        <v>0</v>
      </c>
      <c r="DH116">
        <f t="shared" si="47"/>
        <v>0</v>
      </c>
      <c r="DI116">
        <f t="shared" si="48"/>
        <v>0</v>
      </c>
      <c r="DJ116">
        <f t="shared" si="64"/>
        <v>35.9</v>
      </c>
      <c r="DK116">
        <v>0</v>
      </c>
      <c r="DL116" t="s">
        <v>3</v>
      </c>
      <c r="DM116">
        <v>0</v>
      </c>
      <c r="DN116" t="s">
        <v>3</v>
      </c>
      <c r="DO116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3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44" x14ac:dyDescent="0.2">
      <c r="A1">
        <f>ROW(Source!A24)</f>
        <v>24</v>
      </c>
      <c r="B1">
        <v>82813599</v>
      </c>
      <c r="C1">
        <v>82813598</v>
      </c>
      <c r="D1">
        <v>80959926</v>
      </c>
      <c r="E1">
        <v>118</v>
      </c>
      <c r="F1">
        <v>1</v>
      </c>
      <c r="G1">
        <v>1</v>
      </c>
      <c r="H1">
        <v>1</v>
      </c>
      <c r="I1" t="s">
        <v>286</v>
      </c>
      <c r="J1" t="s">
        <v>3</v>
      </c>
      <c r="K1" t="s">
        <v>287</v>
      </c>
      <c r="L1">
        <v>1191</v>
      </c>
      <c r="N1">
        <v>1013</v>
      </c>
      <c r="O1" t="s">
        <v>288</v>
      </c>
      <c r="P1" t="s">
        <v>288</v>
      </c>
      <c r="Q1">
        <v>1</v>
      </c>
      <c r="X1">
        <v>43.6</v>
      </c>
      <c r="Y1">
        <v>0</v>
      </c>
      <c r="Z1">
        <v>0</v>
      </c>
      <c r="AA1">
        <v>0</v>
      </c>
      <c r="AB1">
        <v>649.24</v>
      </c>
      <c r="AC1">
        <v>0</v>
      </c>
      <c r="AD1">
        <v>1</v>
      </c>
      <c r="AE1">
        <v>1</v>
      </c>
      <c r="AF1" t="s">
        <v>19</v>
      </c>
      <c r="AG1">
        <v>58.860000000000007</v>
      </c>
      <c r="AH1">
        <v>2</v>
      </c>
      <c r="AI1">
        <v>82813599</v>
      </c>
      <c r="AJ1">
        <v>1</v>
      </c>
      <c r="AK1">
        <v>0</v>
      </c>
      <c r="AL1">
        <v>0</v>
      </c>
      <c r="AM1">
        <v>0</v>
      </c>
      <c r="AN1">
        <v>0</v>
      </c>
      <c r="AO1">
        <v>0</v>
      </c>
      <c r="AP1">
        <v>0</v>
      </c>
      <c r="AQ1">
        <v>0</v>
      </c>
      <c r="AR1">
        <v>0</v>
      </c>
    </row>
    <row r="2" spans="1:44" x14ac:dyDescent="0.2">
      <c r="A2">
        <f>ROW(Source!A24)</f>
        <v>24</v>
      </c>
      <c r="B2">
        <v>82813600</v>
      </c>
      <c r="C2">
        <v>82813598</v>
      </c>
      <c r="D2">
        <v>81087646</v>
      </c>
      <c r="E2">
        <v>1</v>
      </c>
      <c r="F2">
        <v>1</v>
      </c>
      <c r="G2">
        <v>1</v>
      </c>
      <c r="H2">
        <v>2</v>
      </c>
      <c r="I2" t="s">
        <v>289</v>
      </c>
      <c r="J2" t="s">
        <v>290</v>
      </c>
      <c r="K2" t="s">
        <v>291</v>
      </c>
      <c r="L2">
        <v>1368</v>
      </c>
      <c r="N2">
        <v>1011</v>
      </c>
      <c r="O2" t="s">
        <v>292</v>
      </c>
      <c r="P2" t="s">
        <v>292</v>
      </c>
      <c r="Q2">
        <v>1</v>
      </c>
      <c r="X2">
        <v>5.45</v>
      </c>
      <c r="Y2">
        <v>0</v>
      </c>
      <c r="Z2">
        <v>4.3499999999999996</v>
      </c>
      <c r="AA2">
        <v>0</v>
      </c>
      <c r="AB2">
        <v>0</v>
      </c>
      <c r="AC2">
        <v>0</v>
      </c>
      <c r="AD2">
        <v>1</v>
      </c>
      <c r="AE2">
        <v>0</v>
      </c>
      <c r="AF2" t="s">
        <v>19</v>
      </c>
      <c r="AG2">
        <v>7.3575000000000008</v>
      </c>
      <c r="AH2">
        <v>2</v>
      </c>
      <c r="AI2">
        <v>82813600</v>
      </c>
      <c r="AJ2">
        <v>2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</row>
    <row r="3" spans="1:44" x14ac:dyDescent="0.2">
      <c r="A3">
        <f>ROW(Source!A24)</f>
        <v>24</v>
      </c>
      <c r="B3">
        <v>82813601</v>
      </c>
      <c r="C3">
        <v>82813598</v>
      </c>
      <c r="D3">
        <v>81034712</v>
      </c>
      <c r="E3">
        <v>1</v>
      </c>
      <c r="F3">
        <v>1</v>
      </c>
      <c r="G3">
        <v>1</v>
      </c>
      <c r="H3">
        <v>3</v>
      </c>
      <c r="I3" t="s">
        <v>293</v>
      </c>
      <c r="J3" t="s">
        <v>294</v>
      </c>
      <c r="K3" t="s">
        <v>295</v>
      </c>
      <c r="L3">
        <v>1339</v>
      </c>
      <c r="N3">
        <v>1007</v>
      </c>
      <c r="O3" t="s">
        <v>296</v>
      </c>
      <c r="P3" t="s">
        <v>296</v>
      </c>
      <c r="Q3">
        <v>1</v>
      </c>
      <c r="X3">
        <v>0.15</v>
      </c>
      <c r="Y3">
        <v>340.41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 t="s">
        <v>3</v>
      </c>
      <c r="AG3">
        <v>0.15</v>
      </c>
      <c r="AH3">
        <v>2</v>
      </c>
      <c r="AI3">
        <v>82813601</v>
      </c>
      <c r="AJ3">
        <v>3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</row>
    <row r="4" spans="1:44" x14ac:dyDescent="0.2">
      <c r="A4">
        <f>ROW(Source!A24)</f>
        <v>24</v>
      </c>
      <c r="B4">
        <v>82813602</v>
      </c>
      <c r="C4">
        <v>82813598</v>
      </c>
      <c r="D4">
        <v>81034728</v>
      </c>
      <c r="E4">
        <v>1</v>
      </c>
      <c r="F4">
        <v>1</v>
      </c>
      <c r="G4">
        <v>1</v>
      </c>
      <c r="H4">
        <v>3</v>
      </c>
      <c r="I4" t="s">
        <v>297</v>
      </c>
      <c r="J4" t="s">
        <v>298</v>
      </c>
      <c r="K4" t="s">
        <v>299</v>
      </c>
      <c r="L4">
        <v>1339</v>
      </c>
      <c r="N4">
        <v>1007</v>
      </c>
      <c r="O4" t="s">
        <v>296</v>
      </c>
      <c r="P4" t="s">
        <v>296</v>
      </c>
      <c r="Q4">
        <v>1</v>
      </c>
      <c r="X4">
        <v>1.0900000000000001</v>
      </c>
      <c r="Y4">
        <v>114.64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 t="s">
        <v>3</v>
      </c>
      <c r="AG4">
        <v>1.0900000000000001</v>
      </c>
      <c r="AH4">
        <v>2</v>
      </c>
      <c r="AI4">
        <v>82813602</v>
      </c>
      <c r="AJ4">
        <v>4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</row>
    <row r="5" spans="1:44" x14ac:dyDescent="0.2">
      <c r="A5">
        <f>ROW(Source!A25)</f>
        <v>25</v>
      </c>
      <c r="B5">
        <v>82813513</v>
      </c>
      <c r="C5">
        <v>82813512</v>
      </c>
      <c r="D5">
        <v>80959950</v>
      </c>
      <c r="E5">
        <v>118</v>
      </c>
      <c r="F5">
        <v>1</v>
      </c>
      <c r="G5">
        <v>1</v>
      </c>
      <c r="H5">
        <v>1</v>
      </c>
      <c r="I5" t="s">
        <v>300</v>
      </c>
      <c r="J5" t="s">
        <v>3</v>
      </c>
      <c r="K5" t="s">
        <v>301</v>
      </c>
      <c r="L5">
        <v>1191</v>
      </c>
      <c r="N5">
        <v>1013</v>
      </c>
      <c r="O5" t="s">
        <v>288</v>
      </c>
      <c r="P5" t="s">
        <v>288</v>
      </c>
      <c r="Q5">
        <v>1</v>
      </c>
      <c r="X5">
        <v>5.64</v>
      </c>
      <c r="Y5">
        <v>0</v>
      </c>
      <c r="Z5">
        <v>0</v>
      </c>
      <c r="AA5">
        <v>0</v>
      </c>
      <c r="AB5">
        <v>731.08</v>
      </c>
      <c r="AC5">
        <v>0</v>
      </c>
      <c r="AD5">
        <v>1</v>
      </c>
      <c r="AE5">
        <v>1</v>
      </c>
      <c r="AF5" t="s">
        <v>33</v>
      </c>
      <c r="AG5">
        <v>8.7561</v>
      </c>
      <c r="AH5">
        <v>2</v>
      </c>
      <c r="AI5">
        <v>82813513</v>
      </c>
      <c r="AJ5">
        <v>5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</row>
    <row r="6" spans="1:44" x14ac:dyDescent="0.2">
      <c r="A6">
        <f>ROW(Source!A25)</f>
        <v>25</v>
      </c>
      <c r="B6">
        <v>82813514</v>
      </c>
      <c r="C6">
        <v>82813512</v>
      </c>
      <c r="D6">
        <v>80960127</v>
      </c>
      <c r="E6">
        <v>118</v>
      </c>
      <c r="F6">
        <v>1</v>
      </c>
      <c r="G6">
        <v>1</v>
      </c>
      <c r="H6">
        <v>1</v>
      </c>
      <c r="I6" t="s">
        <v>302</v>
      </c>
      <c r="J6" t="s">
        <v>3</v>
      </c>
      <c r="K6" t="s">
        <v>303</v>
      </c>
      <c r="L6">
        <v>1191</v>
      </c>
      <c r="N6">
        <v>1013</v>
      </c>
      <c r="O6" t="s">
        <v>288</v>
      </c>
      <c r="P6" t="s">
        <v>288</v>
      </c>
      <c r="Q6">
        <v>1</v>
      </c>
      <c r="X6">
        <v>0.02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2</v>
      </c>
      <c r="AF6" t="s">
        <v>32</v>
      </c>
      <c r="AG6">
        <v>3.3750000000000002E-2</v>
      </c>
      <c r="AH6">
        <v>2</v>
      </c>
      <c r="AI6">
        <v>82813514</v>
      </c>
      <c r="AJ6">
        <v>6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</row>
    <row r="7" spans="1:44" x14ac:dyDescent="0.2">
      <c r="A7">
        <f>ROW(Source!A25)</f>
        <v>25</v>
      </c>
      <c r="B7">
        <v>82813515</v>
      </c>
      <c r="C7">
        <v>82813512</v>
      </c>
      <c r="D7">
        <v>81086531</v>
      </c>
      <c r="E7">
        <v>1</v>
      </c>
      <c r="F7">
        <v>1</v>
      </c>
      <c r="G7">
        <v>1</v>
      </c>
      <c r="H7">
        <v>2</v>
      </c>
      <c r="I7" t="s">
        <v>304</v>
      </c>
      <c r="J7" t="s">
        <v>305</v>
      </c>
      <c r="K7" t="s">
        <v>306</v>
      </c>
      <c r="L7">
        <v>1368</v>
      </c>
      <c r="N7">
        <v>1011</v>
      </c>
      <c r="O7" t="s">
        <v>292</v>
      </c>
      <c r="P7" t="s">
        <v>292</v>
      </c>
      <c r="Q7">
        <v>1</v>
      </c>
      <c r="X7">
        <v>0.01</v>
      </c>
      <c r="Y7">
        <v>0</v>
      </c>
      <c r="Z7">
        <v>1036.96</v>
      </c>
      <c r="AA7">
        <v>982.04</v>
      </c>
      <c r="AB7">
        <v>0</v>
      </c>
      <c r="AC7">
        <v>0</v>
      </c>
      <c r="AD7">
        <v>1</v>
      </c>
      <c r="AE7">
        <v>0</v>
      </c>
      <c r="AF7" t="s">
        <v>32</v>
      </c>
      <c r="AG7">
        <v>1.6875000000000001E-2</v>
      </c>
      <c r="AH7">
        <v>2</v>
      </c>
      <c r="AI7">
        <v>82813515</v>
      </c>
      <c r="AJ7">
        <v>7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</row>
    <row r="8" spans="1:44" x14ac:dyDescent="0.2">
      <c r="A8">
        <f>ROW(Source!A25)</f>
        <v>25</v>
      </c>
      <c r="B8">
        <v>82813516</v>
      </c>
      <c r="C8">
        <v>82813512</v>
      </c>
      <c r="D8">
        <v>81087487</v>
      </c>
      <c r="E8">
        <v>1</v>
      </c>
      <c r="F8">
        <v>1</v>
      </c>
      <c r="G8">
        <v>1</v>
      </c>
      <c r="H8">
        <v>2</v>
      </c>
      <c r="I8" t="s">
        <v>308</v>
      </c>
      <c r="J8" t="s">
        <v>309</v>
      </c>
      <c r="K8" t="s">
        <v>310</v>
      </c>
      <c r="L8">
        <v>1368</v>
      </c>
      <c r="N8">
        <v>1011</v>
      </c>
      <c r="O8" t="s">
        <v>292</v>
      </c>
      <c r="P8" t="s">
        <v>292</v>
      </c>
      <c r="Q8">
        <v>1</v>
      </c>
      <c r="X8">
        <v>0.01</v>
      </c>
      <c r="Y8">
        <v>0</v>
      </c>
      <c r="Z8">
        <v>544.91999999999996</v>
      </c>
      <c r="AA8">
        <v>731.08</v>
      </c>
      <c r="AB8">
        <v>0</v>
      </c>
      <c r="AC8">
        <v>0</v>
      </c>
      <c r="AD8">
        <v>1</v>
      </c>
      <c r="AE8">
        <v>0</v>
      </c>
      <c r="AF8" t="s">
        <v>32</v>
      </c>
      <c r="AG8">
        <v>1.6875000000000001E-2</v>
      </c>
      <c r="AH8">
        <v>2</v>
      </c>
      <c r="AI8">
        <v>82813516</v>
      </c>
      <c r="AJ8">
        <v>8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</row>
    <row r="9" spans="1:44" x14ac:dyDescent="0.2">
      <c r="A9">
        <f>ROW(Source!A25)</f>
        <v>25</v>
      </c>
      <c r="B9">
        <v>82813517</v>
      </c>
      <c r="C9">
        <v>82813512</v>
      </c>
      <c r="D9">
        <v>81087646</v>
      </c>
      <c r="E9">
        <v>1</v>
      </c>
      <c r="F9">
        <v>1</v>
      </c>
      <c r="G9">
        <v>1</v>
      </c>
      <c r="H9">
        <v>2</v>
      </c>
      <c r="I9" t="s">
        <v>289</v>
      </c>
      <c r="J9" t="s">
        <v>290</v>
      </c>
      <c r="K9" t="s">
        <v>291</v>
      </c>
      <c r="L9">
        <v>1368</v>
      </c>
      <c r="N9">
        <v>1011</v>
      </c>
      <c r="O9" t="s">
        <v>292</v>
      </c>
      <c r="P9" t="s">
        <v>292</v>
      </c>
      <c r="Q9">
        <v>1</v>
      </c>
      <c r="X9">
        <v>0.61</v>
      </c>
      <c r="Y9">
        <v>0</v>
      </c>
      <c r="Z9">
        <v>4.3499999999999996</v>
      </c>
      <c r="AA9">
        <v>0</v>
      </c>
      <c r="AB9">
        <v>0</v>
      </c>
      <c r="AC9">
        <v>0</v>
      </c>
      <c r="AD9">
        <v>1</v>
      </c>
      <c r="AE9">
        <v>0</v>
      </c>
      <c r="AF9" t="s">
        <v>32</v>
      </c>
      <c r="AG9">
        <v>1.0293749999999999</v>
      </c>
      <c r="AH9">
        <v>2</v>
      </c>
      <c r="AI9">
        <v>82813517</v>
      </c>
      <c r="AJ9">
        <v>9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</row>
    <row r="10" spans="1:44" x14ac:dyDescent="0.2">
      <c r="A10">
        <f>ROW(Source!A25)</f>
        <v>25</v>
      </c>
      <c r="B10">
        <v>82813518</v>
      </c>
      <c r="C10">
        <v>82813512</v>
      </c>
      <c r="D10">
        <v>81087684</v>
      </c>
      <c r="E10">
        <v>1</v>
      </c>
      <c r="F10">
        <v>1</v>
      </c>
      <c r="G10">
        <v>1</v>
      </c>
      <c r="H10">
        <v>2</v>
      </c>
      <c r="I10" t="s">
        <v>312</v>
      </c>
      <c r="J10" t="s">
        <v>313</v>
      </c>
      <c r="K10" t="s">
        <v>314</v>
      </c>
      <c r="L10">
        <v>1368</v>
      </c>
      <c r="N10">
        <v>1011</v>
      </c>
      <c r="O10" t="s">
        <v>292</v>
      </c>
      <c r="P10" t="s">
        <v>292</v>
      </c>
      <c r="Q10">
        <v>1</v>
      </c>
      <c r="X10">
        <v>0.56000000000000005</v>
      </c>
      <c r="Y10">
        <v>0</v>
      </c>
      <c r="Z10">
        <v>32.24</v>
      </c>
      <c r="AA10">
        <v>0</v>
      </c>
      <c r="AB10">
        <v>0</v>
      </c>
      <c r="AC10">
        <v>0</v>
      </c>
      <c r="AD10">
        <v>1</v>
      </c>
      <c r="AE10">
        <v>0</v>
      </c>
      <c r="AF10" t="s">
        <v>32</v>
      </c>
      <c r="AG10">
        <v>0.94500000000000017</v>
      </c>
      <c r="AH10">
        <v>2</v>
      </c>
      <c r="AI10">
        <v>82813518</v>
      </c>
      <c r="AJ10">
        <v>10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</row>
    <row r="11" spans="1:44" x14ac:dyDescent="0.2">
      <c r="A11">
        <f>ROW(Source!A25)</f>
        <v>25</v>
      </c>
      <c r="B11">
        <v>82813519</v>
      </c>
      <c r="C11">
        <v>82813512</v>
      </c>
      <c r="D11">
        <v>81034499</v>
      </c>
      <c r="E11">
        <v>1</v>
      </c>
      <c r="F11">
        <v>1</v>
      </c>
      <c r="G11">
        <v>1</v>
      </c>
      <c r="H11">
        <v>3</v>
      </c>
      <c r="I11" t="s">
        <v>315</v>
      </c>
      <c r="J11" t="s">
        <v>316</v>
      </c>
      <c r="K11" t="s">
        <v>317</v>
      </c>
      <c r="L11">
        <v>1407</v>
      </c>
      <c r="N11">
        <v>1013</v>
      </c>
      <c r="O11" t="s">
        <v>318</v>
      </c>
      <c r="P11" t="s">
        <v>318</v>
      </c>
      <c r="Q11">
        <v>1</v>
      </c>
      <c r="X11">
        <v>1E-3</v>
      </c>
      <c r="Y11">
        <v>7023.63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 t="s">
        <v>3</v>
      </c>
      <c r="AG11">
        <v>1E-3</v>
      </c>
      <c r="AH11">
        <v>2</v>
      </c>
      <c r="AI11">
        <v>82813519</v>
      </c>
      <c r="AJ11">
        <v>11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</row>
    <row r="12" spans="1:44" x14ac:dyDescent="0.2">
      <c r="A12">
        <f>ROW(Source!A25)</f>
        <v>25</v>
      </c>
      <c r="B12">
        <v>82813520</v>
      </c>
      <c r="C12">
        <v>82813512</v>
      </c>
      <c r="D12">
        <v>81034712</v>
      </c>
      <c r="E12">
        <v>1</v>
      </c>
      <c r="F12">
        <v>1</v>
      </c>
      <c r="G12">
        <v>1</v>
      </c>
      <c r="H12">
        <v>3</v>
      </c>
      <c r="I12" t="s">
        <v>293</v>
      </c>
      <c r="J12" t="s">
        <v>294</v>
      </c>
      <c r="K12" t="s">
        <v>295</v>
      </c>
      <c r="L12">
        <v>1339</v>
      </c>
      <c r="N12">
        <v>1007</v>
      </c>
      <c r="O12" t="s">
        <v>296</v>
      </c>
      <c r="P12" t="s">
        <v>296</v>
      </c>
      <c r="Q12">
        <v>1</v>
      </c>
      <c r="X12">
        <v>1.0500000000000001E-2</v>
      </c>
      <c r="Y12">
        <v>340.41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 t="s">
        <v>3</v>
      </c>
      <c r="AG12">
        <v>1.0500000000000001E-2</v>
      </c>
      <c r="AH12">
        <v>2</v>
      </c>
      <c r="AI12">
        <v>82813520</v>
      </c>
      <c r="AJ12">
        <v>12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</row>
    <row r="13" spans="1:44" x14ac:dyDescent="0.2">
      <c r="A13">
        <f>ROW(Source!A25)</f>
        <v>25</v>
      </c>
      <c r="B13">
        <v>82813521</v>
      </c>
      <c r="C13">
        <v>82813512</v>
      </c>
      <c r="D13">
        <v>81034728</v>
      </c>
      <c r="E13">
        <v>1</v>
      </c>
      <c r="F13">
        <v>1</v>
      </c>
      <c r="G13">
        <v>1</v>
      </c>
      <c r="H13">
        <v>3</v>
      </c>
      <c r="I13" t="s">
        <v>297</v>
      </c>
      <c r="J13" t="s">
        <v>298</v>
      </c>
      <c r="K13" t="s">
        <v>299</v>
      </c>
      <c r="L13">
        <v>1339</v>
      </c>
      <c r="N13">
        <v>1007</v>
      </c>
      <c r="O13" t="s">
        <v>296</v>
      </c>
      <c r="P13" t="s">
        <v>296</v>
      </c>
      <c r="Q13">
        <v>1</v>
      </c>
      <c r="X13">
        <v>4.2000000000000003E-2</v>
      </c>
      <c r="Y13">
        <v>114.64</v>
      </c>
      <c r="Z13">
        <v>0</v>
      </c>
      <c r="AA13">
        <v>0</v>
      </c>
      <c r="AB13">
        <v>0</v>
      </c>
      <c r="AC13">
        <v>0</v>
      </c>
      <c r="AD13">
        <v>1</v>
      </c>
      <c r="AE13">
        <v>0</v>
      </c>
      <c r="AF13" t="s">
        <v>3</v>
      </c>
      <c r="AG13">
        <v>4.2000000000000003E-2</v>
      </c>
      <c r="AH13">
        <v>2</v>
      </c>
      <c r="AI13">
        <v>82813521</v>
      </c>
      <c r="AJ13">
        <v>13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</row>
    <row r="14" spans="1:44" x14ac:dyDescent="0.2">
      <c r="A14">
        <f>ROW(Source!A25)</f>
        <v>25</v>
      </c>
      <c r="B14">
        <v>82813522</v>
      </c>
      <c r="C14">
        <v>82813512</v>
      </c>
      <c r="D14">
        <v>81037446</v>
      </c>
      <c r="E14">
        <v>1</v>
      </c>
      <c r="F14">
        <v>1</v>
      </c>
      <c r="G14">
        <v>1</v>
      </c>
      <c r="H14">
        <v>3</v>
      </c>
      <c r="I14" t="s">
        <v>319</v>
      </c>
      <c r="J14" t="s">
        <v>320</v>
      </c>
      <c r="K14" t="s">
        <v>321</v>
      </c>
      <c r="L14">
        <v>1346</v>
      </c>
      <c r="N14">
        <v>1009</v>
      </c>
      <c r="O14" t="s">
        <v>93</v>
      </c>
      <c r="P14" t="s">
        <v>93</v>
      </c>
      <c r="Q14">
        <v>1</v>
      </c>
      <c r="X14">
        <v>0.2</v>
      </c>
      <c r="Y14">
        <v>155.63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0</v>
      </c>
      <c r="AF14" t="s">
        <v>3</v>
      </c>
      <c r="AG14">
        <v>0.2</v>
      </c>
      <c r="AH14">
        <v>2</v>
      </c>
      <c r="AI14">
        <v>82813522</v>
      </c>
      <c r="AJ14">
        <v>14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</row>
    <row r="15" spans="1:44" x14ac:dyDescent="0.2">
      <c r="A15">
        <f>ROW(Source!A25)</f>
        <v>25</v>
      </c>
      <c r="B15">
        <v>82813523</v>
      </c>
      <c r="C15">
        <v>82813512</v>
      </c>
      <c r="D15">
        <v>81038182</v>
      </c>
      <c r="E15">
        <v>1</v>
      </c>
      <c r="F15">
        <v>1</v>
      </c>
      <c r="G15">
        <v>1</v>
      </c>
      <c r="H15">
        <v>3</v>
      </c>
      <c r="I15" t="s">
        <v>322</v>
      </c>
      <c r="J15" t="s">
        <v>323</v>
      </c>
      <c r="K15" t="s">
        <v>324</v>
      </c>
      <c r="L15">
        <v>1348</v>
      </c>
      <c r="N15">
        <v>1009</v>
      </c>
      <c r="O15" t="s">
        <v>59</v>
      </c>
      <c r="P15" t="s">
        <v>59</v>
      </c>
      <c r="Q15">
        <v>1000</v>
      </c>
      <c r="X15">
        <v>5.9999999999999995E-4</v>
      </c>
      <c r="Y15">
        <v>145801.49</v>
      </c>
      <c r="Z15">
        <v>0</v>
      </c>
      <c r="AA15">
        <v>0</v>
      </c>
      <c r="AB15">
        <v>0</v>
      </c>
      <c r="AC15">
        <v>0</v>
      </c>
      <c r="AD15">
        <v>1</v>
      </c>
      <c r="AE15">
        <v>0</v>
      </c>
      <c r="AF15" t="s">
        <v>3</v>
      </c>
      <c r="AG15">
        <v>5.9999999999999995E-4</v>
      </c>
      <c r="AH15">
        <v>2</v>
      </c>
      <c r="AI15">
        <v>82813523</v>
      </c>
      <c r="AJ15">
        <v>15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</row>
    <row r="16" spans="1:44" x14ac:dyDescent="0.2">
      <c r="A16">
        <f>ROW(Source!A25)</f>
        <v>25</v>
      </c>
      <c r="B16">
        <v>82813524</v>
      </c>
      <c r="C16">
        <v>82813512</v>
      </c>
      <c r="D16">
        <v>80964454</v>
      </c>
      <c r="E16">
        <v>118</v>
      </c>
      <c r="F16">
        <v>1</v>
      </c>
      <c r="G16">
        <v>1</v>
      </c>
      <c r="H16">
        <v>3</v>
      </c>
      <c r="I16" t="s">
        <v>44</v>
      </c>
      <c r="J16" t="s">
        <v>3</v>
      </c>
      <c r="K16" t="s">
        <v>45</v>
      </c>
      <c r="L16">
        <v>1371</v>
      </c>
      <c r="N16">
        <v>1013</v>
      </c>
      <c r="O16" t="s">
        <v>30</v>
      </c>
      <c r="P16" t="s">
        <v>30</v>
      </c>
      <c r="Q16">
        <v>1</v>
      </c>
      <c r="X16">
        <v>1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 t="s">
        <v>3</v>
      </c>
      <c r="AG16">
        <v>1</v>
      </c>
      <c r="AH16">
        <v>2</v>
      </c>
      <c r="AI16">
        <v>82813524</v>
      </c>
      <c r="AJ16">
        <v>16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</row>
    <row r="17" spans="1:44" x14ac:dyDescent="0.2">
      <c r="A17">
        <f>ROW(Source!A25)</f>
        <v>25</v>
      </c>
      <c r="B17">
        <v>82813525</v>
      </c>
      <c r="C17">
        <v>82813512</v>
      </c>
      <c r="D17">
        <v>81073308</v>
      </c>
      <c r="E17">
        <v>1</v>
      </c>
      <c r="F17">
        <v>1</v>
      </c>
      <c r="G17">
        <v>1</v>
      </c>
      <c r="H17">
        <v>3</v>
      </c>
      <c r="I17" t="s">
        <v>325</v>
      </c>
      <c r="J17" t="s">
        <v>326</v>
      </c>
      <c r="K17" t="s">
        <v>327</v>
      </c>
      <c r="L17">
        <v>1301</v>
      </c>
      <c r="N17">
        <v>1003</v>
      </c>
      <c r="O17" t="s">
        <v>72</v>
      </c>
      <c r="P17" t="s">
        <v>72</v>
      </c>
      <c r="Q17">
        <v>1</v>
      </c>
      <c r="X17">
        <v>0.4</v>
      </c>
      <c r="Y17">
        <v>573.1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 t="s">
        <v>3</v>
      </c>
      <c r="AG17">
        <v>0.4</v>
      </c>
      <c r="AH17">
        <v>2</v>
      </c>
      <c r="AI17">
        <v>82813525</v>
      </c>
      <c r="AJ17">
        <v>17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</row>
    <row r="18" spans="1:44" x14ac:dyDescent="0.2">
      <c r="A18">
        <f>ROW(Source!A25)</f>
        <v>25</v>
      </c>
      <c r="B18">
        <v>82813526</v>
      </c>
      <c r="C18">
        <v>82813512</v>
      </c>
      <c r="D18">
        <v>80965601</v>
      </c>
      <c r="E18">
        <v>118</v>
      </c>
      <c r="F18">
        <v>1</v>
      </c>
      <c r="G18">
        <v>1</v>
      </c>
      <c r="H18">
        <v>3</v>
      </c>
      <c r="I18" t="s">
        <v>47</v>
      </c>
      <c r="J18" t="s">
        <v>3</v>
      </c>
      <c r="K18" t="s">
        <v>48</v>
      </c>
      <c r="L18">
        <v>1371</v>
      </c>
      <c r="N18">
        <v>1013</v>
      </c>
      <c r="O18" t="s">
        <v>30</v>
      </c>
      <c r="P18" t="s">
        <v>30</v>
      </c>
      <c r="Q18">
        <v>1</v>
      </c>
      <c r="X18">
        <v>1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 t="s">
        <v>3</v>
      </c>
      <c r="AG18">
        <v>1</v>
      </c>
      <c r="AH18">
        <v>2</v>
      </c>
      <c r="AI18">
        <v>82813526</v>
      </c>
      <c r="AJ18">
        <v>18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</row>
    <row r="19" spans="1:44" x14ac:dyDescent="0.2">
      <c r="A19">
        <f>ROW(Source!A28)</f>
        <v>28</v>
      </c>
      <c r="B19">
        <v>82813604</v>
      </c>
      <c r="C19">
        <v>82813603</v>
      </c>
      <c r="D19">
        <v>80959886</v>
      </c>
      <c r="E19">
        <v>118</v>
      </c>
      <c r="F19">
        <v>1</v>
      </c>
      <c r="G19">
        <v>1</v>
      </c>
      <c r="H19">
        <v>1</v>
      </c>
      <c r="I19" t="s">
        <v>328</v>
      </c>
      <c r="J19" t="s">
        <v>3</v>
      </c>
      <c r="K19" t="s">
        <v>329</v>
      </c>
      <c r="L19">
        <v>1191</v>
      </c>
      <c r="N19">
        <v>1013</v>
      </c>
      <c r="O19" t="s">
        <v>288</v>
      </c>
      <c r="P19" t="s">
        <v>288</v>
      </c>
      <c r="Q19">
        <v>1</v>
      </c>
      <c r="X19">
        <v>85.5</v>
      </c>
      <c r="Y19">
        <v>0</v>
      </c>
      <c r="Z19">
        <v>0</v>
      </c>
      <c r="AA19">
        <v>0</v>
      </c>
      <c r="AB19">
        <v>594.67999999999995</v>
      </c>
      <c r="AC19">
        <v>0</v>
      </c>
      <c r="AD19">
        <v>1</v>
      </c>
      <c r="AE19">
        <v>1</v>
      </c>
      <c r="AF19" t="s">
        <v>3</v>
      </c>
      <c r="AG19">
        <v>85.5</v>
      </c>
      <c r="AH19">
        <v>2</v>
      </c>
      <c r="AI19">
        <v>82813604</v>
      </c>
      <c r="AJ19">
        <v>19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</row>
    <row r="20" spans="1:44" x14ac:dyDescent="0.2">
      <c r="A20">
        <f>ROW(Source!A28)</f>
        <v>28</v>
      </c>
      <c r="B20">
        <v>82813605</v>
      </c>
      <c r="C20">
        <v>82813603</v>
      </c>
      <c r="D20">
        <v>80966187</v>
      </c>
      <c r="E20">
        <v>118</v>
      </c>
      <c r="F20">
        <v>1</v>
      </c>
      <c r="G20">
        <v>1</v>
      </c>
      <c r="H20">
        <v>3</v>
      </c>
      <c r="I20" t="s">
        <v>57</v>
      </c>
      <c r="J20" t="s">
        <v>3</v>
      </c>
      <c r="K20" t="s">
        <v>58</v>
      </c>
      <c r="L20">
        <v>1348</v>
      </c>
      <c r="N20">
        <v>1009</v>
      </c>
      <c r="O20" t="s">
        <v>59</v>
      </c>
      <c r="P20" t="s">
        <v>59</v>
      </c>
      <c r="Q20">
        <v>1000</v>
      </c>
      <c r="X20">
        <v>0.11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 t="s">
        <v>3</v>
      </c>
      <c r="AG20">
        <v>0.11</v>
      </c>
      <c r="AH20">
        <v>2</v>
      </c>
      <c r="AI20">
        <v>82813605</v>
      </c>
      <c r="AJ20">
        <v>20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</row>
    <row r="21" spans="1:44" x14ac:dyDescent="0.2">
      <c r="A21">
        <f>ROW(Source!A30)</f>
        <v>30</v>
      </c>
      <c r="B21">
        <v>82813608</v>
      </c>
      <c r="C21">
        <v>82813607</v>
      </c>
      <c r="D21">
        <v>80959926</v>
      </c>
      <c r="E21">
        <v>118</v>
      </c>
      <c r="F21">
        <v>1</v>
      </c>
      <c r="G21">
        <v>1</v>
      </c>
      <c r="H21">
        <v>1</v>
      </c>
      <c r="I21" t="s">
        <v>286</v>
      </c>
      <c r="J21" t="s">
        <v>3</v>
      </c>
      <c r="K21" t="s">
        <v>287</v>
      </c>
      <c r="L21">
        <v>1191</v>
      </c>
      <c r="N21">
        <v>1013</v>
      </c>
      <c r="O21" t="s">
        <v>288</v>
      </c>
      <c r="P21" t="s">
        <v>288</v>
      </c>
      <c r="Q21">
        <v>1</v>
      </c>
      <c r="X21">
        <v>5.36</v>
      </c>
      <c r="Y21">
        <v>0</v>
      </c>
      <c r="Z21">
        <v>0</v>
      </c>
      <c r="AA21">
        <v>0</v>
      </c>
      <c r="AB21">
        <v>649.24</v>
      </c>
      <c r="AC21">
        <v>0</v>
      </c>
      <c r="AD21">
        <v>1</v>
      </c>
      <c r="AE21">
        <v>1</v>
      </c>
      <c r="AF21" t="s">
        <v>3</v>
      </c>
      <c r="AG21">
        <v>5.36</v>
      </c>
      <c r="AH21">
        <v>2</v>
      </c>
      <c r="AI21">
        <v>82813608</v>
      </c>
      <c r="AJ21">
        <v>21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</row>
    <row r="22" spans="1:44" x14ac:dyDescent="0.2">
      <c r="A22">
        <f>ROW(Source!A30)</f>
        <v>30</v>
      </c>
      <c r="B22">
        <v>82813609</v>
      </c>
      <c r="C22">
        <v>82813607</v>
      </c>
      <c r="D22">
        <v>81036704</v>
      </c>
      <c r="E22">
        <v>1</v>
      </c>
      <c r="F22">
        <v>1</v>
      </c>
      <c r="G22">
        <v>1</v>
      </c>
      <c r="H22">
        <v>3</v>
      </c>
      <c r="I22" t="s">
        <v>330</v>
      </c>
      <c r="J22" t="s">
        <v>331</v>
      </c>
      <c r="K22" t="s">
        <v>332</v>
      </c>
      <c r="L22">
        <v>1383</v>
      </c>
      <c r="N22">
        <v>1013</v>
      </c>
      <c r="O22" t="s">
        <v>333</v>
      </c>
      <c r="P22" t="s">
        <v>333</v>
      </c>
      <c r="Q22">
        <v>1</v>
      </c>
      <c r="X22">
        <v>0.79039999999999999</v>
      </c>
      <c r="Y22">
        <v>6.92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0</v>
      </c>
      <c r="AF22" t="s">
        <v>3</v>
      </c>
      <c r="AG22">
        <v>0.79039999999999999</v>
      </c>
      <c r="AH22">
        <v>2</v>
      </c>
      <c r="AI22">
        <v>82813609</v>
      </c>
      <c r="AJ22">
        <v>22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</row>
    <row r="23" spans="1:44" x14ac:dyDescent="0.2">
      <c r="A23">
        <f>ROW(Source!A30)</f>
        <v>30</v>
      </c>
      <c r="B23">
        <v>82813610</v>
      </c>
      <c r="C23">
        <v>82813607</v>
      </c>
      <c r="D23">
        <v>80966187</v>
      </c>
      <c r="E23">
        <v>118</v>
      </c>
      <c r="F23">
        <v>1</v>
      </c>
      <c r="G23">
        <v>1</v>
      </c>
      <c r="H23">
        <v>3</v>
      </c>
      <c r="I23" t="s">
        <v>57</v>
      </c>
      <c r="J23" t="s">
        <v>3</v>
      </c>
      <c r="K23" t="s">
        <v>58</v>
      </c>
      <c r="L23">
        <v>1348</v>
      </c>
      <c r="N23">
        <v>1009</v>
      </c>
      <c r="O23" t="s">
        <v>59</v>
      </c>
      <c r="P23" t="s">
        <v>59</v>
      </c>
      <c r="Q23">
        <v>1000</v>
      </c>
      <c r="X23">
        <v>6.0000000000000001E-3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 t="s">
        <v>3</v>
      </c>
      <c r="AG23">
        <v>6.0000000000000001E-3</v>
      </c>
      <c r="AH23">
        <v>2</v>
      </c>
      <c r="AI23">
        <v>82813610</v>
      </c>
      <c r="AJ23">
        <v>23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</row>
    <row r="24" spans="1:44" x14ac:dyDescent="0.2">
      <c r="A24">
        <f>ROW(Source!A32)</f>
        <v>32</v>
      </c>
      <c r="B24">
        <v>82813613</v>
      </c>
      <c r="C24">
        <v>82813612</v>
      </c>
      <c r="D24">
        <v>80959926</v>
      </c>
      <c r="E24">
        <v>118</v>
      </c>
      <c r="F24">
        <v>1</v>
      </c>
      <c r="G24">
        <v>1</v>
      </c>
      <c r="H24">
        <v>1</v>
      </c>
      <c r="I24" t="s">
        <v>286</v>
      </c>
      <c r="J24" t="s">
        <v>3</v>
      </c>
      <c r="K24" t="s">
        <v>287</v>
      </c>
      <c r="L24">
        <v>1191</v>
      </c>
      <c r="N24">
        <v>1013</v>
      </c>
      <c r="O24" t="s">
        <v>288</v>
      </c>
      <c r="P24" t="s">
        <v>288</v>
      </c>
      <c r="Q24">
        <v>1</v>
      </c>
      <c r="X24">
        <v>5.28</v>
      </c>
      <c r="Y24">
        <v>0</v>
      </c>
      <c r="Z24">
        <v>0</v>
      </c>
      <c r="AA24">
        <v>0</v>
      </c>
      <c r="AB24">
        <v>649.24</v>
      </c>
      <c r="AC24">
        <v>0</v>
      </c>
      <c r="AD24">
        <v>1</v>
      </c>
      <c r="AE24">
        <v>1</v>
      </c>
      <c r="AF24" t="s">
        <v>3</v>
      </c>
      <c r="AG24">
        <v>5.28</v>
      </c>
      <c r="AH24">
        <v>2</v>
      </c>
      <c r="AI24">
        <v>82813613</v>
      </c>
      <c r="AJ24">
        <v>24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</row>
    <row r="25" spans="1:44" x14ac:dyDescent="0.2">
      <c r="A25">
        <f>ROW(Source!A32)</f>
        <v>32</v>
      </c>
      <c r="B25">
        <v>82813614</v>
      </c>
      <c r="C25">
        <v>82813612</v>
      </c>
      <c r="D25">
        <v>81036704</v>
      </c>
      <c r="E25">
        <v>1</v>
      </c>
      <c r="F25">
        <v>1</v>
      </c>
      <c r="G25">
        <v>1</v>
      </c>
      <c r="H25">
        <v>3</v>
      </c>
      <c r="I25" t="s">
        <v>330</v>
      </c>
      <c r="J25" t="s">
        <v>331</v>
      </c>
      <c r="K25" t="s">
        <v>332</v>
      </c>
      <c r="L25">
        <v>1383</v>
      </c>
      <c r="N25">
        <v>1013</v>
      </c>
      <c r="O25" t="s">
        <v>333</v>
      </c>
      <c r="P25" t="s">
        <v>333</v>
      </c>
      <c r="Q25">
        <v>1</v>
      </c>
      <c r="X25">
        <v>0.76</v>
      </c>
      <c r="Y25">
        <v>6.92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 t="s">
        <v>3</v>
      </c>
      <c r="AG25">
        <v>0.76</v>
      </c>
      <c r="AH25">
        <v>2</v>
      </c>
      <c r="AI25">
        <v>82813614</v>
      </c>
      <c r="AJ25">
        <v>25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</row>
    <row r="26" spans="1:44" x14ac:dyDescent="0.2">
      <c r="A26">
        <f>ROW(Source!A32)</f>
        <v>32</v>
      </c>
      <c r="B26">
        <v>82813615</v>
      </c>
      <c r="C26">
        <v>82813612</v>
      </c>
      <c r="D26">
        <v>80966187</v>
      </c>
      <c r="E26">
        <v>118</v>
      </c>
      <c r="F26">
        <v>1</v>
      </c>
      <c r="G26">
        <v>1</v>
      </c>
      <c r="H26">
        <v>3</v>
      </c>
      <c r="I26" t="s">
        <v>57</v>
      </c>
      <c r="J26" t="s">
        <v>3</v>
      </c>
      <c r="K26" t="s">
        <v>58</v>
      </c>
      <c r="L26">
        <v>1348</v>
      </c>
      <c r="N26">
        <v>1009</v>
      </c>
      <c r="O26" t="s">
        <v>59</v>
      </c>
      <c r="P26" t="s">
        <v>59</v>
      </c>
      <c r="Q26">
        <v>1000</v>
      </c>
      <c r="X26">
        <v>6.0000000000000001E-3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 t="s">
        <v>3</v>
      </c>
      <c r="AG26">
        <v>6.0000000000000001E-3</v>
      </c>
      <c r="AH26">
        <v>2</v>
      </c>
      <c r="AI26">
        <v>82813615</v>
      </c>
      <c r="AJ26">
        <v>26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</row>
    <row r="27" spans="1:44" x14ac:dyDescent="0.2">
      <c r="A27">
        <f>ROW(Source!A34)</f>
        <v>34</v>
      </c>
      <c r="B27">
        <v>82813618</v>
      </c>
      <c r="C27">
        <v>82813617</v>
      </c>
      <c r="D27">
        <v>80959926</v>
      </c>
      <c r="E27">
        <v>118</v>
      </c>
      <c r="F27">
        <v>1</v>
      </c>
      <c r="G27">
        <v>1</v>
      </c>
      <c r="H27">
        <v>1</v>
      </c>
      <c r="I27" t="s">
        <v>286</v>
      </c>
      <c r="J27" t="s">
        <v>3</v>
      </c>
      <c r="K27" t="s">
        <v>287</v>
      </c>
      <c r="L27">
        <v>1191</v>
      </c>
      <c r="N27">
        <v>1013</v>
      </c>
      <c r="O27" t="s">
        <v>288</v>
      </c>
      <c r="P27" t="s">
        <v>288</v>
      </c>
      <c r="Q27">
        <v>1</v>
      </c>
      <c r="X27">
        <v>6.31</v>
      </c>
      <c r="Y27">
        <v>0</v>
      </c>
      <c r="Z27">
        <v>0</v>
      </c>
      <c r="AA27">
        <v>0</v>
      </c>
      <c r="AB27">
        <v>649.24</v>
      </c>
      <c r="AC27">
        <v>0</v>
      </c>
      <c r="AD27">
        <v>1</v>
      </c>
      <c r="AE27">
        <v>1</v>
      </c>
      <c r="AF27" t="s">
        <v>69</v>
      </c>
      <c r="AG27">
        <v>25.24</v>
      </c>
      <c r="AH27">
        <v>2</v>
      </c>
      <c r="AI27">
        <v>82813618</v>
      </c>
      <c r="AJ27">
        <v>27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</row>
    <row r="28" spans="1:44" x14ac:dyDescent="0.2">
      <c r="A28">
        <f>ROW(Source!A34)</f>
        <v>34</v>
      </c>
      <c r="B28">
        <v>82813619</v>
      </c>
      <c r="C28">
        <v>82813617</v>
      </c>
      <c r="D28">
        <v>81036704</v>
      </c>
      <c r="E28">
        <v>1</v>
      </c>
      <c r="F28">
        <v>1</v>
      </c>
      <c r="G28">
        <v>1</v>
      </c>
      <c r="H28">
        <v>3</v>
      </c>
      <c r="I28" t="s">
        <v>330</v>
      </c>
      <c r="J28" t="s">
        <v>331</v>
      </c>
      <c r="K28" t="s">
        <v>332</v>
      </c>
      <c r="L28">
        <v>1383</v>
      </c>
      <c r="N28">
        <v>1013</v>
      </c>
      <c r="O28" t="s">
        <v>333</v>
      </c>
      <c r="P28" t="s">
        <v>333</v>
      </c>
      <c r="Q28">
        <v>1</v>
      </c>
      <c r="X28">
        <v>0.90880000000000005</v>
      </c>
      <c r="Y28">
        <v>6.92</v>
      </c>
      <c r="Z28">
        <v>0</v>
      </c>
      <c r="AA28">
        <v>0</v>
      </c>
      <c r="AB28">
        <v>0</v>
      </c>
      <c r="AC28">
        <v>0</v>
      </c>
      <c r="AD28">
        <v>1</v>
      </c>
      <c r="AE28">
        <v>0</v>
      </c>
      <c r="AF28" t="s">
        <v>69</v>
      </c>
      <c r="AG28">
        <v>3.6352000000000002</v>
      </c>
      <c r="AH28">
        <v>2</v>
      </c>
      <c r="AI28">
        <v>82813619</v>
      </c>
      <c r="AJ28">
        <v>28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</row>
    <row r="29" spans="1:44" x14ac:dyDescent="0.2">
      <c r="A29">
        <f>ROW(Source!A34)</f>
        <v>34</v>
      </c>
      <c r="B29">
        <v>82813620</v>
      </c>
      <c r="C29">
        <v>82813617</v>
      </c>
      <c r="D29">
        <v>80966187</v>
      </c>
      <c r="E29">
        <v>118</v>
      </c>
      <c r="F29">
        <v>1</v>
      </c>
      <c r="G29">
        <v>1</v>
      </c>
      <c r="H29">
        <v>3</v>
      </c>
      <c r="I29" t="s">
        <v>57</v>
      </c>
      <c r="J29" t="s">
        <v>3</v>
      </c>
      <c r="K29" t="s">
        <v>58</v>
      </c>
      <c r="L29">
        <v>1348</v>
      </c>
      <c r="N29">
        <v>1009</v>
      </c>
      <c r="O29" t="s">
        <v>59</v>
      </c>
      <c r="P29" t="s">
        <v>59</v>
      </c>
      <c r="Q29">
        <v>1000</v>
      </c>
      <c r="X29">
        <v>3.0000000000000001E-3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 t="s">
        <v>69</v>
      </c>
      <c r="AG29">
        <v>1.2E-2</v>
      </c>
      <c r="AH29">
        <v>2</v>
      </c>
      <c r="AI29">
        <v>82813620</v>
      </c>
      <c r="AJ29">
        <v>29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</row>
    <row r="30" spans="1:44" x14ac:dyDescent="0.2">
      <c r="A30">
        <f>ROW(Source!A36)</f>
        <v>36</v>
      </c>
      <c r="B30">
        <v>82813633</v>
      </c>
      <c r="C30">
        <v>82813628</v>
      </c>
      <c r="D30">
        <v>37113247</v>
      </c>
      <c r="E30">
        <v>118</v>
      </c>
      <c r="F30">
        <v>1</v>
      </c>
      <c r="G30">
        <v>1</v>
      </c>
      <c r="H30">
        <v>1</v>
      </c>
      <c r="I30" t="s">
        <v>334</v>
      </c>
      <c r="J30" t="s">
        <v>3</v>
      </c>
      <c r="K30" t="s">
        <v>335</v>
      </c>
      <c r="L30">
        <v>1191</v>
      </c>
      <c r="N30">
        <v>1013</v>
      </c>
      <c r="O30" t="s">
        <v>288</v>
      </c>
      <c r="P30" t="s">
        <v>288</v>
      </c>
      <c r="Q30">
        <v>1</v>
      </c>
      <c r="X30">
        <v>5.8</v>
      </c>
      <c r="Y30">
        <v>0</v>
      </c>
      <c r="Z30">
        <v>0</v>
      </c>
      <c r="AA30">
        <v>0</v>
      </c>
      <c r="AB30">
        <v>840.19</v>
      </c>
      <c r="AC30">
        <v>0</v>
      </c>
      <c r="AD30">
        <v>1</v>
      </c>
      <c r="AE30">
        <v>1</v>
      </c>
      <c r="AF30" t="s">
        <v>3</v>
      </c>
      <c r="AG30">
        <v>5.8</v>
      </c>
      <c r="AH30">
        <v>2</v>
      </c>
      <c r="AI30">
        <v>82813629</v>
      </c>
      <c r="AJ30">
        <v>30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</row>
    <row r="31" spans="1:44" x14ac:dyDescent="0.2">
      <c r="A31">
        <f>ROW(Source!A36)</f>
        <v>36</v>
      </c>
      <c r="B31">
        <v>82813634</v>
      </c>
      <c r="C31">
        <v>82813628</v>
      </c>
      <c r="D31">
        <v>81088186</v>
      </c>
      <c r="E31">
        <v>1</v>
      </c>
      <c r="F31">
        <v>1</v>
      </c>
      <c r="G31">
        <v>1</v>
      </c>
      <c r="H31">
        <v>2</v>
      </c>
      <c r="I31" t="s">
        <v>336</v>
      </c>
      <c r="J31" t="s">
        <v>337</v>
      </c>
      <c r="K31" t="s">
        <v>338</v>
      </c>
      <c r="L31">
        <v>1368</v>
      </c>
      <c r="N31">
        <v>1011</v>
      </c>
      <c r="O31" t="s">
        <v>292</v>
      </c>
      <c r="P31" t="s">
        <v>292</v>
      </c>
      <c r="Q31">
        <v>1</v>
      </c>
      <c r="X31">
        <v>1.9</v>
      </c>
      <c r="Y31">
        <v>0</v>
      </c>
      <c r="Z31">
        <v>26.1</v>
      </c>
      <c r="AA31">
        <v>0</v>
      </c>
      <c r="AB31">
        <v>0</v>
      </c>
      <c r="AC31">
        <v>0</v>
      </c>
      <c r="AD31">
        <v>1</v>
      </c>
      <c r="AE31">
        <v>0</v>
      </c>
      <c r="AF31" t="s">
        <v>3</v>
      </c>
      <c r="AG31">
        <v>1.9</v>
      </c>
      <c r="AH31">
        <v>2</v>
      </c>
      <c r="AI31">
        <v>82813630</v>
      </c>
      <c r="AJ31">
        <v>31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</row>
    <row r="32" spans="1:44" x14ac:dyDescent="0.2">
      <c r="A32">
        <f>ROW(Source!A36)</f>
        <v>36</v>
      </c>
      <c r="B32">
        <v>82813635</v>
      </c>
      <c r="C32">
        <v>82813628</v>
      </c>
      <c r="D32">
        <v>81036692</v>
      </c>
      <c r="E32">
        <v>1</v>
      </c>
      <c r="F32">
        <v>1</v>
      </c>
      <c r="G32">
        <v>1</v>
      </c>
      <c r="H32">
        <v>3</v>
      </c>
      <c r="I32" t="s">
        <v>339</v>
      </c>
      <c r="J32" t="s">
        <v>340</v>
      </c>
      <c r="K32" t="s">
        <v>341</v>
      </c>
      <c r="L32">
        <v>1339</v>
      </c>
      <c r="N32">
        <v>1007</v>
      </c>
      <c r="O32" t="s">
        <v>296</v>
      </c>
      <c r="P32" t="s">
        <v>296</v>
      </c>
      <c r="Q32">
        <v>1</v>
      </c>
      <c r="X32">
        <v>0.11700000000000001</v>
      </c>
      <c r="Y32">
        <v>35.71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 t="s">
        <v>3</v>
      </c>
      <c r="AG32">
        <v>0.11700000000000001</v>
      </c>
      <c r="AH32">
        <v>2</v>
      </c>
      <c r="AI32">
        <v>82813631</v>
      </c>
      <c r="AJ32">
        <v>32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</row>
    <row r="33" spans="1:44" x14ac:dyDescent="0.2">
      <c r="A33">
        <f>ROW(Source!A36)</f>
        <v>36</v>
      </c>
      <c r="B33">
        <v>82813636</v>
      </c>
      <c r="C33">
        <v>82813628</v>
      </c>
      <c r="D33">
        <v>80961013</v>
      </c>
      <c r="E33">
        <v>118</v>
      </c>
      <c r="F33">
        <v>1</v>
      </c>
      <c r="G33">
        <v>1</v>
      </c>
      <c r="H33">
        <v>3</v>
      </c>
      <c r="I33" t="s">
        <v>74</v>
      </c>
      <c r="J33" t="s">
        <v>3</v>
      </c>
      <c r="K33" t="s">
        <v>75</v>
      </c>
      <c r="L33">
        <v>1371</v>
      </c>
      <c r="N33">
        <v>1013</v>
      </c>
      <c r="O33" t="s">
        <v>30</v>
      </c>
      <c r="P33" t="s">
        <v>30</v>
      </c>
      <c r="Q33">
        <v>1</v>
      </c>
      <c r="X33">
        <v>6.3E-2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 t="s">
        <v>3</v>
      </c>
      <c r="AG33">
        <v>6.3E-2</v>
      </c>
      <c r="AH33">
        <v>2</v>
      </c>
      <c r="AI33">
        <v>82813632</v>
      </c>
      <c r="AJ33">
        <v>33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</row>
    <row r="34" spans="1:44" x14ac:dyDescent="0.2">
      <c r="A34">
        <f>ROW(Source!A38)</f>
        <v>38</v>
      </c>
      <c r="B34">
        <v>82813639</v>
      </c>
      <c r="C34">
        <v>82813638</v>
      </c>
      <c r="D34">
        <v>80959983</v>
      </c>
      <c r="E34">
        <v>118</v>
      </c>
      <c r="F34">
        <v>1</v>
      </c>
      <c r="G34">
        <v>1</v>
      </c>
      <c r="H34">
        <v>1</v>
      </c>
      <c r="I34" t="s">
        <v>334</v>
      </c>
      <c r="J34" t="s">
        <v>3</v>
      </c>
      <c r="K34" t="s">
        <v>335</v>
      </c>
      <c r="L34">
        <v>1191</v>
      </c>
      <c r="N34">
        <v>1013</v>
      </c>
      <c r="O34" t="s">
        <v>288</v>
      </c>
      <c r="P34" t="s">
        <v>288</v>
      </c>
      <c r="Q34">
        <v>1</v>
      </c>
      <c r="X34">
        <v>5.9</v>
      </c>
      <c r="Y34">
        <v>0</v>
      </c>
      <c r="Z34">
        <v>0</v>
      </c>
      <c r="AA34">
        <v>0</v>
      </c>
      <c r="AB34">
        <v>840.19</v>
      </c>
      <c r="AC34">
        <v>0</v>
      </c>
      <c r="AD34">
        <v>1</v>
      </c>
      <c r="AE34">
        <v>1</v>
      </c>
      <c r="AF34" t="s">
        <v>19</v>
      </c>
      <c r="AG34">
        <v>7.9650000000000007</v>
      </c>
      <c r="AH34">
        <v>2</v>
      </c>
      <c r="AI34">
        <v>82813639</v>
      </c>
      <c r="AJ34">
        <v>34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</row>
    <row r="35" spans="1:44" x14ac:dyDescent="0.2">
      <c r="A35">
        <f>ROW(Source!A38)</f>
        <v>38</v>
      </c>
      <c r="B35">
        <v>82813640</v>
      </c>
      <c r="C35">
        <v>82813638</v>
      </c>
      <c r="D35">
        <v>81088186</v>
      </c>
      <c r="E35">
        <v>1</v>
      </c>
      <c r="F35">
        <v>1</v>
      </c>
      <c r="G35">
        <v>1</v>
      </c>
      <c r="H35">
        <v>2</v>
      </c>
      <c r="I35" t="s">
        <v>336</v>
      </c>
      <c r="J35" t="s">
        <v>337</v>
      </c>
      <c r="K35" t="s">
        <v>338</v>
      </c>
      <c r="L35">
        <v>1368</v>
      </c>
      <c r="N35">
        <v>1011</v>
      </c>
      <c r="O35" t="s">
        <v>292</v>
      </c>
      <c r="P35" t="s">
        <v>292</v>
      </c>
      <c r="Q35">
        <v>1</v>
      </c>
      <c r="X35">
        <v>1.9</v>
      </c>
      <c r="Y35">
        <v>0</v>
      </c>
      <c r="Z35">
        <v>26.1</v>
      </c>
      <c r="AA35">
        <v>0</v>
      </c>
      <c r="AB35">
        <v>0</v>
      </c>
      <c r="AC35">
        <v>0</v>
      </c>
      <c r="AD35">
        <v>1</v>
      </c>
      <c r="AE35">
        <v>0</v>
      </c>
      <c r="AF35" t="s">
        <v>19</v>
      </c>
      <c r="AG35">
        <v>2.5649999999999999</v>
      </c>
      <c r="AH35">
        <v>2</v>
      </c>
      <c r="AI35">
        <v>82813640</v>
      </c>
      <c r="AJ35">
        <v>35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</row>
    <row r="36" spans="1:44" x14ac:dyDescent="0.2">
      <c r="A36">
        <f>ROW(Source!A38)</f>
        <v>38</v>
      </c>
      <c r="B36">
        <v>82813641</v>
      </c>
      <c r="C36">
        <v>82813638</v>
      </c>
      <c r="D36">
        <v>81036692</v>
      </c>
      <c r="E36">
        <v>1</v>
      </c>
      <c r="F36">
        <v>1</v>
      </c>
      <c r="G36">
        <v>1</v>
      </c>
      <c r="H36">
        <v>3</v>
      </c>
      <c r="I36" t="s">
        <v>339</v>
      </c>
      <c r="J36" t="s">
        <v>340</v>
      </c>
      <c r="K36" t="s">
        <v>341</v>
      </c>
      <c r="L36">
        <v>1339</v>
      </c>
      <c r="N36">
        <v>1007</v>
      </c>
      <c r="O36" t="s">
        <v>296</v>
      </c>
      <c r="P36" t="s">
        <v>296</v>
      </c>
      <c r="Q36">
        <v>1</v>
      </c>
      <c r="X36">
        <v>0.14599999999999999</v>
      </c>
      <c r="Y36">
        <v>35.71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 t="s">
        <v>3</v>
      </c>
      <c r="AG36">
        <v>0.14599999999999999</v>
      </c>
      <c r="AH36">
        <v>2</v>
      </c>
      <c r="AI36">
        <v>82813641</v>
      </c>
      <c r="AJ36">
        <v>36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</row>
    <row r="37" spans="1:44" x14ac:dyDescent="0.2">
      <c r="A37">
        <f>ROW(Source!A38)</f>
        <v>38</v>
      </c>
      <c r="B37">
        <v>82813642</v>
      </c>
      <c r="C37">
        <v>82813638</v>
      </c>
      <c r="D37">
        <v>80961013</v>
      </c>
      <c r="E37">
        <v>118</v>
      </c>
      <c r="F37">
        <v>1</v>
      </c>
      <c r="G37">
        <v>1</v>
      </c>
      <c r="H37">
        <v>3</v>
      </c>
      <c r="I37" t="s">
        <v>74</v>
      </c>
      <c r="J37" t="s">
        <v>3</v>
      </c>
      <c r="K37" t="s">
        <v>75</v>
      </c>
      <c r="L37">
        <v>1371</v>
      </c>
      <c r="N37">
        <v>1013</v>
      </c>
      <c r="O37" t="s">
        <v>30</v>
      </c>
      <c r="P37" t="s">
        <v>30</v>
      </c>
      <c r="Q37">
        <v>1</v>
      </c>
      <c r="X37">
        <v>6.5000000000000002E-2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 t="s">
        <v>3</v>
      </c>
      <c r="AG37">
        <v>6.5000000000000002E-2</v>
      </c>
      <c r="AH37">
        <v>3</v>
      </c>
      <c r="AI37">
        <v>-1</v>
      </c>
      <c r="AJ37" t="s">
        <v>3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</row>
    <row r="38" spans="1:44" x14ac:dyDescent="0.2">
      <c r="A38">
        <f>ROW(Source!A40)</f>
        <v>40</v>
      </c>
      <c r="B38">
        <v>82813530</v>
      </c>
      <c r="C38">
        <v>82813529</v>
      </c>
      <c r="D38">
        <v>80959950</v>
      </c>
      <c r="E38">
        <v>118</v>
      </c>
      <c r="F38">
        <v>1</v>
      </c>
      <c r="G38">
        <v>1</v>
      </c>
      <c r="H38">
        <v>1</v>
      </c>
      <c r="I38" t="s">
        <v>300</v>
      </c>
      <c r="J38" t="s">
        <v>3</v>
      </c>
      <c r="K38" t="s">
        <v>301</v>
      </c>
      <c r="L38">
        <v>1191</v>
      </c>
      <c r="N38">
        <v>1013</v>
      </c>
      <c r="O38" t="s">
        <v>288</v>
      </c>
      <c r="P38" t="s">
        <v>288</v>
      </c>
      <c r="Q38">
        <v>1</v>
      </c>
      <c r="X38">
        <v>43.3</v>
      </c>
      <c r="Y38">
        <v>0</v>
      </c>
      <c r="Z38">
        <v>0</v>
      </c>
      <c r="AA38">
        <v>0</v>
      </c>
      <c r="AB38">
        <v>731.08</v>
      </c>
      <c r="AC38">
        <v>0</v>
      </c>
      <c r="AD38">
        <v>1</v>
      </c>
      <c r="AE38">
        <v>1</v>
      </c>
      <c r="AF38" t="s">
        <v>3</v>
      </c>
      <c r="AG38">
        <v>43.3</v>
      </c>
      <c r="AH38">
        <v>2</v>
      </c>
      <c r="AI38">
        <v>82813530</v>
      </c>
      <c r="AJ38">
        <v>38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</row>
    <row r="39" spans="1:44" x14ac:dyDescent="0.2">
      <c r="A39">
        <f>ROW(Source!A40)</f>
        <v>40</v>
      </c>
      <c r="B39">
        <v>82813531</v>
      </c>
      <c r="C39">
        <v>82813529</v>
      </c>
      <c r="D39">
        <v>80960127</v>
      </c>
      <c r="E39">
        <v>118</v>
      </c>
      <c r="F39">
        <v>1</v>
      </c>
      <c r="G39">
        <v>1</v>
      </c>
      <c r="H39">
        <v>1</v>
      </c>
      <c r="I39" t="s">
        <v>302</v>
      </c>
      <c r="J39" t="s">
        <v>3</v>
      </c>
      <c r="K39" t="s">
        <v>303</v>
      </c>
      <c r="L39">
        <v>1191</v>
      </c>
      <c r="N39">
        <v>1013</v>
      </c>
      <c r="O39" t="s">
        <v>288</v>
      </c>
      <c r="P39" t="s">
        <v>288</v>
      </c>
      <c r="Q39">
        <v>1</v>
      </c>
      <c r="X39">
        <v>0.99</v>
      </c>
      <c r="Y39">
        <v>0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2</v>
      </c>
      <c r="AF39" t="s">
        <v>3</v>
      </c>
      <c r="AG39">
        <v>0.99</v>
      </c>
      <c r="AH39">
        <v>2</v>
      </c>
      <c r="AI39">
        <v>82813531</v>
      </c>
      <c r="AJ39">
        <v>39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</row>
    <row r="40" spans="1:44" x14ac:dyDescent="0.2">
      <c r="A40">
        <f>ROW(Source!A40)</f>
        <v>40</v>
      </c>
      <c r="B40">
        <v>82813532</v>
      </c>
      <c r="C40">
        <v>82813529</v>
      </c>
      <c r="D40">
        <v>81086531</v>
      </c>
      <c r="E40">
        <v>1</v>
      </c>
      <c r="F40">
        <v>1</v>
      </c>
      <c r="G40">
        <v>1</v>
      </c>
      <c r="H40">
        <v>2</v>
      </c>
      <c r="I40" t="s">
        <v>304</v>
      </c>
      <c r="J40" t="s">
        <v>305</v>
      </c>
      <c r="K40" t="s">
        <v>306</v>
      </c>
      <c r="L40">
        <v>1368</v>
      </c>
      <c r="N40">
        <v>1011</v>
      </c>
      <c r="O40" t="s">
        <v>292</v>
      </c>
      <c r="P40" t="s">
        <v>292</v>
      </c>
      <c r="Q40">
        <v>1</v>
      </c>
      <c r="X40">
        <v>0.14000000000000001</v>
      </c>
      <c r="Y40">
        <v>0</v>
      </c>
      <c r="Z40">
        <v>1036.96</v>
      </c>
      <c r="AA40">
        <v>982.04</v>
      </c>
      <c r="AB40">
        <v>0</v>
      </c>
      <c r="AC40">
        <v>0</v>
      </c>
      <c r="AD40">
        <v>1</v>
      </c>
      <c r="AE40">
        <v>0</v>
      </c>
      <c r="AF40" t="s">
        <v>3</v>
      </c>
      <c r="AG40">
        <v>0.14000000000000001</v>
      </c>
      <c r="AH40">
        <v>2</v>
      </c>
      <c r="AI40">
        <v>82813532</v>
      </c>
      <c r="AJ40">
        <v>40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</row>
    <row r="41" spans="1:44" x14ac:dyDescent="0.2">
      <c r="A41">
        <f>ROW(Source!A40)</f>
        <v>40</v>
      </c>
      <c r="B41">
        <v>82813533</v>
      </c>
      <c r="C41">
        <v>82813529</v>
      </c>
      <c r="D41">
        <v>81086585</v>
      </c>
      <c r="E41">
        <v>1</v>
      </c>
      <c r="F41">
        <v>1</v>
      </c>
      <c r="G41">
        <v>1</v>
      </c>
      <c r="H41">
        <v>2</v>
      </c>
      <c r="I41" t="s">
        <v>342</v>
      </c>
      <c r="J41" t="s">
        <v>343</v>
      </c>
      <c r="K41" t="s">
        <v>344</v>
      </c>
      <c r="L41">
        <v>1368</v>
      </c>
      <c r="N41">
        <v>1011</v>
      </c>
      <c r="O41" t="s">
        <v>292</v>
      </c>
      <c r="P41" t="s">
        <v>292</v>
      </c>
      <c r="Q41">
        <v>1</v>
      </c>
      <c r="X41">
        <v>0.06</v>
      </c>
      <c r="Y41">
        <v>0</v>
      </c>
      <c r="Z41">
        <v>1585.56</v>
      </c>
      <c r="AA41">
        <v>982.04</v>
      </c>
      <c r="AB41">
        <v>0</v>
      </c>
      <c r="AC41">
        <v>0</v>
      </c>
      <c r="AD41">
        <v>1</v>
      </c>
      <c r="AE41">
        <v>0</v>
      </c>
      <c r="AF41" t="s">
        <v>3</v>
      </c>
      <c r="AG41">
        <v>0.06</v>
      </c>
      <c r="AH41">
        <v>2</v>
      </c>
      <c r="AI41">
        <v>82813533</v>
      </c>
      <c r="AJ41">
        <v>41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</row>
    <row r="42" spans="1:44" x14ac:dyDescent="0.2">
      <c r="A42">
        <f>ROW(Source!A40)</f>
        <v>40</v>
      </c>
      <c r="B42">
        <v>82813534</v>
      </c>
      <c r="C42">
        <v>82813529</v>
      </c>
      <c r="D42">
        <v>81087487</v>
      </c>
      <c r="E42">
        <v>1</v>
      </c>
      <c r="F42">
        <v>1</v>
      </c>
      <c r="G42">
        <v>1</v>
      </c>
      <c r="H42">
        <v>2</v>
      </c>
      <c r="I42" t="s">
        <v>308</v>
      </c>
      <c r="J42" t="s">
        <v>309</v>
      </c>
      <c r="K42" t="s">
        <v>310</v>
      </c>
      <c r="L42">
        <v>1368</v>
      </c>
      <c r="N42">
        <v>1011</v>
      </c>
      <c r="O42" t="s">
        <v>292</v>
      </c>
      <c r="P42" t="s">
        <v>292</v>
      </c>
      <c r="Q42">
        <v>1</v>
      </c>
      <c r="X42">
        <v>0.79</v>
      </c>
      <c r="Y42">
        <v>0</v>
      </c>
      <c r="Z42">
        <v>544.91999999999996</v>
      </c>
      <c r="AA42">
        <v>731.08</v>
      </c>
      <c r="AB42">
        <v>0</v>
      </c>
      <c r="AC42">
        <v>0</v>
      </c>
      <c r="AD42">
        <v>1</v>
      </c>
      <c r="AE42">
        <v>0</v>
      </c>
      <c r="AF42" t="s">
        <v>3</v>
      </c>
      <c r="AG42">
        <v>0.79</v>
      </c>
      <c r="AH42">
        <v>2</v>
      </c>
      <c r="AI42">
        <v>82813534</v>
      </c>
      <c r="AJ42">
        <v>42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</row>
    <row r="43" spans="1:44" x14ac:dyDescent="0.2">
      <c r="A43">
        <f>ROW(Source!A40)</f>
        <v>40</v>
      </c>
      <c r="B43">
        <v>82813535</v>
      </c>
      <c r="C43">
        <v>82813529</v>
      </c>
      <c r="D43">
        <v>81087646</v>
      </c>
      <c r="E43">
        <v>1</v>
      </c>
      <c r="F43">
        <v>1</v>
      </c>
      <c r="G43">
        <v>1</v>
      </c>
      <c r="H43">
        <v>2</v>
      </c>
      <c r="I43" t="s">
        <v>289</v>
      </c>
      <c r="J43" t="s">
        <v>290</v>
      </c>
      <c r="K43" t="s">
        <v>291</v>
      </c>
      <c r="L43">
        <v>1368</v>
      </c>
      <c r="N43">
        <v>1011</v>
      </c>
      <c r="O43" t="s">
        <v>292</v>
      </c>
      <c r="P43" t="s">
        <v>292</v>
      </c>
      <c r="Q43">
        <v>1</v>
      </c>
      <c r="X43">
        <v>1.69</v>
      </c>
      <c r="Y43">
        <v>0</v>
      </c>
      <c r="Z43">
        <v>4.3499999999999996</v>
      </c>
      <c r="AA43">
        <v>0</v>
      </c>
      <c r="AB43">
        <v>0</v>
      </c>
      <c r="AC43">
        <v>0</v>
      </c>
      <c r="AD43">
        <v>1</v>
      </c>
      <c r="AE43">
        <v>0</v>
      </c>
      <c r="AF43" t="s">
        <v>3</v>
      </c>
      <c r="AG43">
        <v>1.69</v>
      </c>
      <c r="AH43">
        <v>2</v>
      </c>
      <c r="AI43">
        <v>82813535</v>
      </c>
      <c r="AJ43">
        <v>43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</row>
    <row r="44" spans="1:44" x14ac:dyDescent="0.2">
      <c r="A44">
        <f>ROW(Source!A40)</f>
        <v>40</v>
      </c>
      <c r="B44">
        <v>82813536</v>
      </c>
      <c r="C44">
        <v>82813529</v>
      </c>
      <c r="D44">
        <v>81034713</v>
      </c>
      <c r="E44">
        <v>1</v>
      </c>
      <c r="F44">
        <v>1</v>
      </c>
      <c r="G44">
        <v>1</v>
      </c>
      <c r="H44">
        <v>3</v>
      </c>
      <c r="I44" t="s">
        <v>345</v>
      </c>
      <c r="J44" t="s">
        <v>346</v>
      </c>
      <c r="K44" t="s">
        <v>347</v>
      </c>
      <c r="L44">
        <v>1348</v>
      </c>
      <c r="N44">
        <v>1009</v>
      </c>
      <c r="O44" t="s">
        <v>59</v>
      </c>
      <c r="P44" t="s">
        <v>59</v>
      </c>
      <c r="Q44">
        <v>1000</v>
      </c>
      <c r="X44">
        <v>3.8000000000000002E-4</v>
      </c>
      <c r="Y44">
        <v>416065.6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0</v>
      </c>
      <c r="AF44" t="s">
        <v>3</v>
      </c>
      <c r="AG44">
        <v>3.8000000000000002E-4</v>
      </c>
      <c r="AH44">
        <v>2</v>
      </c>
      <c r="AI44">
        <v>82813536</v>
      </c>
      <c r="AJ44">
        <v>44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</row>
    <row r="45" spans="1:44" x14ac:dyDescent="0.2">
      <c r="A45">
        <f>ROW(Source!A40)</f>
        <v>40</v>
      </c>
      <c r="B45">
        <v>82813537</v>
      </c>
      <c r="C45">
        <v>82813529</v>
      </c>
      <c r="D45">
        <v>81034728</v>
      </c>
      <c r="E45">
        <v>1</v>
      </c>
      <c r="F45">
        <v>1</v>
      </c>
      <c r="G45">
        <v>1</v>
      </c>
      <c r="H45">
        <v>3</v>
      </c>
      <c r="I45" t="s">
        <v>297</v>
      </c>
      <c r="J45" t="s">
        <v>298</v>
      </c>
      <c r="K45" t="s">
        <v>299</v>
      </c>
      <c r="L45">
        <v>1339</v>
      </c>
      <c r="N45">
        <v>1007</v>
      </c>
      <c r="O45" t="s">
        <v>296</v>
      </c>
      <c r="P45" t="s">
        <v>296</v>
      </c>
      <c r="Q45">
        <v>1</v>
      </c>
      <c r="X45">
        <v>0.64600000000000002</v>
      </c>
      <c r="Y45">
        <v>114.64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0</v>
      </c>
      <c r="AF45" t="s">
        <v>3</v>
      </c>
      <c r="AG45">
        <v>0.64600000000000002</v>
      </c>
      <c r="AH45">
        <v>2</v>
      </c>
      <c r="AI45">
        <v>82813537</v>
      </c>
      <c r="AJ45">
        <v>45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</row>
    <row r="46" spans="1:44" x14ac:dyDescent="0.2">
      <c r="A46">
        <f>ROW(Source!A40)</f>
        <v>40</v>
      </c>
      <c r="B46">
        <v>82813538</v>
      </c>
      <c r="C46">
        <v>82813529</v>
      </c>
      <c r="D46">
        <v>81036692</v>
      </c>
      <c r="E46">
        <v>1</v>
      </c>
      <c r="F46">
        <v>1</v>
      </c>
      <c r="G46">
        <v>1</v>
      </c>
      <c r="H46">
        <v>3</v>
      </c>
      <c r="I46" t="s">
        <v>339</v>
      </c>
      <c r="J46" t="s">
        <v>340</v>
      </c>
      <c r="K46" t="s">
        <v>341</v>
      </c>
      <c r="L46">
        <v>1339</v>
      </c>
      <c r="N46">
        <v>1007</v>
      </c>
      <c r="O46" t="s">
        <v>296</v>
      </c>
      <c r="P46" t="s">
        <v>296</v>
      </c>
      <c r="Q46">
        <v>1</v>
      </c>
      <c r="X46">
        <v>2.75</v>
      </c>
      <c r="Y46">
        <v>35.71</v>
      </c>
      <c r="Z46">
        <v>0</v>
      </c>
      <c r="AA46">
        <v>0</v>
      </c>
      <c r="AB46">
        <v>0</v>
      </c>
      <c r="AC46">
        <v>0</v>
      </c>
      <c r="AD46">
        <v>1</v>
      </c>
      <c r="AE46">
        <v>0</v>
      </c>
      <c r="AF46" t="s">
        <v>3</v>
      </c>
      <c r="AG46">
        <v>2.75</v>
      </c>
      <c r="AH46">
        <v>2</v>
      </c>
      <c r="AI46">
        <v>82813538</v>
      </c>
      <c r="AJ46">
        <v>46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</row>
    <row r="47" spans="1:44" x14ac:dyDescent="0.2">
      <c r="A47">
        <f>ROW(Source!A40)</f>
        <v>40</v>
      </c>
      <c r="B47">
        <v>82813539</v>
      </c>
      <c r="C47">
        <v>82813529</v>
      </c>
      <c r="D47">
        <v>81037163</v>
      </c>
      <c r="E47">
        <v>1</v>
      </c>
      <c r="F47">
        <v>1</v>
      </c>
      <c r="G47">
        <v>1</v>
      </c>
      <c r="H47">
        <v>3</v>
      </c>
      <c r="I47" t="s">
        <v>348</v>
      </c>
      <c r="J47" t="s">
        <v>349</v>
      </c>
      <c r="K47" t="s">
        <v>350</v>
      </c>
      <c r="L47">
        <v>1346</v>
      </c>
      <c r="N47">
        <v>1009</v>
      </c>
      <c r="O47" t="s">
        <v>93</v>
      </c>
      <c r="P47" t="s">
        <v>93</v>
      </c>
      <c r="Q47">
        <v>1</v>
      </c>
      <c r="X47">
        <v>0.02</v>
      </c>
      <c r="Y47">
        <v>128.4</v>
      </c>
      <c r="Z47">
        <v>0</v>
      </c>
      <c r="AA47">
        <v>0</v>
      </c>
      <c r="AB47">
        <v>0</v>
      </c>
      <c r="AC47">
        <v>0</v>
      </c>
      <c r="AD47">
        <v>1</v>
      </c>
      <c r="AE47">
        <v>0</v>
      </c>
      <c r="AF47" t="s">
        <v>3</v>
      </c>
      <c r="AG47">
        <v>0.02</v>
      </c>
      <c r="AH47">
        <v>2</v>
      </c>
      <c r="AI47">
        <v>82813539</v>
      </c>
      <c r="AJ47">
        <v>47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</row>
    <row r="48" spans="1:44" x14ac:dyDescent="0.2">
      <c r="A48">
        <f>ROW(Source!A40)</f>
        <v>40</v>
      </c>
      <c r="B48">
        <v>82813540</v>
      </c>
      <c r="C48">
        <v>82813529</v>
      </c>
      <c r="D48">
        <v>81037319</v>
      </c>
      <c r="E48">
        <v>1</v>
      </c>
      <c r="F48">
        <v>1</v>
      </c>
      <c r="G48">
        <v>1</v>
      </c>
      <c r="H48">
        <v>3</v>
      </c>
      <c r="I48" t="s">
        <v>351</v>
      </c>
      <c r="J48" t="s">
        <v>352</v>
      </c>
      <c r="K48" t="s">
        <v>353</v>
      </c>
      <c r="L48">
        <v>1348</v>
      </c>
      <c r="N48">
        <v>1009</v>
      </c>
      <c r="O48" t="s">
        <v>59</v>
      </c>
      <c r="P48" t="s">
        <v>59</v>
      </c>
      <c r="Q48">
        <v>1000</v>
      </c>
      <c r="X48">
        <v>4.0000000000000002E-4</v>
      </c>
      <c r="Y48">
        <v>97282.880000000005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 t="s">
        <v>3</v>
      </c>
      <c r="AG48">
        <v>4.0000000000000002E-4</v>
      </c>
      <c r="AH48">
        <v>2</v>
      </c>
      <c r="AI48">
        <v>82813540</v>
      </c>
      <c r="AJ48">
        <v>48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</row>
    <row r="49" spans="1:44" x14ac:dyDescent="0.2">
      <c r="A49">
        <f>ROW(Source!A40)</f>
        <v>40</v>
      </c>
      <c r="B49">
        <v>82813541</v>
      </c>
      <c r="C49">
        <v>82813529</v>
      </c>
      <c r="D49">
        <v>81040064</v>
      </c>
      <c r="E49">
        <v>1</v>
      </c>
      <c r="F49">
        <v>1</v>
      </c>
      <c r="G49">
        <v>1</v>
      </c>
      <c r="H49">
        <v>3</v>
      </c>
      <c r="I49" t="s">
        <v>354</v>
      </c>
      <c r="J49" t="s">
        <v>355</v>
      </c>
      <c r="K49" t="s">
        <v>356</v>
      </c>
      <c r="L49">
        <v>1346</v>
      </c>
      <c r="N49">
        <v>1009</v>
      </c>
      <c r="O49" t="s">
        <v>93</v>
      </c>
      <c r="P49" t="s">
        <v>93</v>
      </c>
      <c r="Q49">
        <v>1</v>
      </c>
      <c r="X49">
        <v>9.9000000000000008E-3</v>
      </c>
      <c r="Y49">
        <v>59.41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0</v>
      </c>
      <c r="AF49" t="s">
        <v>3</v>
      </c>
      <c r="AG49">
        <v>9.9000000000000008E-3</v>
      </c>
      <c r="AH49">
        <v>2</v>
      </c>
      <c r="AI49">
        <v>82813541</v>
      </c>
      <c r="AJ49">
        <v>49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</row>
    <row r="50" spans="1:44" x14ac:dyDescent="0.2">
      <c r="A50">
        <f>ROW(Source!A40)</f>
        <v>40</v>
      </c>
      <c r="B50">
        <v>82813542</v>
      </c>
      <c r="C50">
        <v>82813529</v>
      </c>
      <c r="D50">
        <v>81055711</v>
      </c>
      <c r="E50">
        <v>1</v>
      </c>
      <c r="F50">
        <v>1</v>
      </c>
      <c r="G50">
        <v>1</v>
      </c>
      <c r="H50">
        <v>3</v>
      </c>
      <c r="I50" t="s">
        <v>357</v>
      </c>
      <c r="J50" t="s">
        <v>358</v>
      </c>
      <c r="K50" t="s">
        <v>359</v>
      </c>
      <c r="L50">
        <v>1346</v>
      </c>
      <c r="N50">
        <v>1009</v>
      </c>
      <c r="O50" t="s">
        <v>93</v>
      </c>
      <c r="P50" t="s">
        <v>93</v>
      </c>
      <c r="Q50">
        <v>1</v>
      </c>
      <c r="X50">
        <v>0.54</v>
      </c>
      <c r="Y50">
        <v>79.88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 t="s">
        <v>3</v>
      </c>
      <c r="AG50">
        <v>0.54</v>
      </c>
      <c r="AH50">
        <v>2</v>
      </c>
      <c r="AI50">
        <v>82813542</v>
      </c>
      <c r="AJ50">
        <v>50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</row>
    <row r="51" spans="1:44" x14ac:dyDescent="0.2">
      <c r="A51">
        <f>ROW(Source!A40)</f>
        <v>40</v>
      </c>
      <c r="B51">
        <v>82813543</v>
      </c>
      <c r="C51">
        <v>82813529</v>
      </c>
      <c r="D51">
        <v>81055984</v>
      </c>
      <c r="E51">
        <v>1</v>
      </c>
      <c r="F51">
        <v>1</v>
      </c>
      <c r="G51">
        <v>1</v>
      </c>
      <c r="H51">
        <v>3</v>
      </c>
      <c r="I51" t="s">
        <v>360</v>
      </c>
      <c r="J51" t="s">
        <v>361</v>
      </c>
      <c r="K51" t="s">
        <v>362</v>
      </c>
      <c r="L51">
        <v>1348</v>
      </c>
      <c r="N51">
        <v>1009</v>
      </c>
      <c r="O51" t="s">
        <v>59</v>
      </c>
      <c r="P51" t="s">
        <v>59</v>
      </c>
      <c r="Q51">
        <v>1000</v>
      </c>
      <c r="X51">
        <v>6.2E-4</v>
      </c>
      <c r="Y51">
        <v>60697.21</v>
      </c>
      <c r="Z51">
        <v>0</v>
      </c>
      <c r="AA51">
        <v>0</v>
      </c>
      <c r="AB51">
        <v>0</v>
      </c>
      <c r="AC51">
        <v>0</v>
      </c>
      <c r="AD51">
        <v>1</v>
      </c>
      <c r="AE51">
        <v>0</v>
      </c>
      <c r="AF51" t="s">
        <v>3</v>
      </c>
      <c r="AG51">
        <v>6.2E-4</v>
      </c>
      <c r="AH51">
        <v>2</v>
      </c>
      <c r="AI51">
        <v>82813543</v>
      </c>
      <c r="AJ51">
        <v>51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</row>
    <row r="52" spans="1:44" x14ac:dyDescent="0.2">
      <c r="A52">
        <f>ROW(Source!A40)</f>
        <v>40</v>
      </c>
      <c r="B52">
        <v>82813544</v>
      </c>
      <c r="C52">
        <v>82813529</v>
      </c>
      <c r="D52">
        <v>80964496</v>
      </c>
      <c r="E52">
        <v>118</v>
      </c>
      <c r="F52">
        <v>1</v>
      </c>
      <c r="G52">
        <v>1</v>
      </c>
      <c r="H52">
        <v>3</v>
      </c>
      <c r="I52" t="s">
        <v>87</v>
      </c>
      <c r="J52" t="s">
        <v>3</v>
      </c>
      <c r="K52" t="s">
        <v>88</v>
      </c>
      <c r="L52">
        <v>1371</v>
      </c>
      <c r="N52">
        <v>1013</v>
      </c>
      <c r="O52" t="s">
        <v>30</v>
      </c>
      <c r="P52" t="s">
        <v>30</v>
      </c>
      <c r="Q52">
        <v>1</v>
      </c>
      <c r="X52">
        <v>0</v>
      </c>
      <c r="Y52">
        <v>0</v>
      </c>
      <c r="Z52">
        <v>0</v>
      </c>
      <c r="AA52">
        <v>0</v>
      </c>
      <c r="AB52">
        <v>0</v>
      </c>
      <c r="AC52">
        <v>1</v>
      </c>
      <c r="AD52">
        <v>0</v>
      </c>
      <c r="AE52">
        <v>0</v>
      </c>
      <c r="AF52" t="s">
        <v>3</v>
      </c>
      <c r="AG52">
        <v>0</v>
      </c>
      <c r="AH52">
        <v>2</v>
      </c>
      <c r="AI52">
        <v>82813544</v>
      </c>
      <c r="AJ52">
        <v>52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</row>
    <row r="53" spans="1:44" x14ac:dyDescent="0.2">
      <c r="A53">
        <f>ROW(Source!A40)</f>
        <v>40</v>
      </c>
      <c r="B53">
        <v>82813545</v>
      </c>
      <c r="C53">
        <v>82813529</v>
      </c>
      <c r="D53">
        <v>80964664</v>
      </c>
      <c r="E53">
        <v>118</v>
      </c>
      <c r="F53">
        <v>1</v>
      </c>
      <c r="G53">
        <v>1</v>
      </c>
      <c r="H53">
        <v>3</v>
      </c>
      <c r="I53" t="s">
        <v>89</v>
      </c>
      <c r="J53" t="s">
        <v>3</v>
      </c>
      <c r="K53" t="s">
        <v>90</v>
      </c>
      <c r="L53">
        <v>1301</v>
      </c>
      <c r="N53">
        <v>1003</v>
      </c>
      <c r="O53" t="s">
        <v>72</v>
      </c>
      <c r="P53" t="s">
        <v>72</v>
      </c>
      <c r="Q53">
        <v>1</v>
      </c>
      <c r="X53">
        <v>100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 t="s">
        <v>3</v>
      </c>
      <c r="AG53">
        <v>100</v>
      </c>
      <c r="AH53">
        <v>2</v>
      </c>
      <c r="AI53">
        <v>82813545</v>
      </c>
      <c r="AJ53">
        <v>53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</row>
    <row r="54" spans="1:44" x14ac:dyDescent="0.2">
      <c r="A54">
        <f>ROW(Source!A40)</f>
        <v>40</v>
      </c>
      <c r="B54">
        <v>82813546</v>
      </c>
      <c r="C54">
        <v>82813529</v>
      </c>
      <c r="D54">
        <v>80965317</v>
      </c>
      <c r="E54">
        <v>118</v>
      </c>
      <c r="F54">
        <v>1</v>
      </c>
      <c r="G54">
        <v>1</v>
      </c>
      <c r="H54">
        <v>3</v>
      </c>
      <c r="I54" t="s">
        <v>91</v>
      </c>
      <c r="J54" t="s">
        <v>3</v>
      </c>
      <c r="K54" t="s">
        <v>92</v>
      </c>
      <c r="L54">
        <v>1346</v>
      </c>
      <c r="N54">
        <v>1009</v>
      </c>
      <c r="O54" t="s">
        <v>93</v>
      </c>
      <c r="P54" t="s">
        <v>93</v>
      </c>
      <c r="Q54">
        <v>1</v>
      </c>
      <c r="X54">
        <v>0</v>
      </c>
      <c r="Y54">
        <v>0</v>
      </c>
      <c r="Z54">
        <v>0</v>
      </c>
      <c r="AA54">
        <v>0</v>
      </c>
      <c r="AB54">
        <v>0</v>
      </c>
      <c r="AC54">
        <v>1</v>
      </c>
      <c r="AD54">
        <v>0</v>
      </c>
      <c r="AE54">
        <v>0</v>
      </c>
      <c r="AF54" t="s">
        <v>3</v>
      </c>
      <c r="AG54">
        <v>0</v>
      </c>
      <c r="AH54">
        <v>2</v>
      </c>
      <c r="AI54">
        <v>82813546</v>
      </c>
      <c r="AJ54">
        <v>54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</row>
    <row r="55" spans="1:44" x14ac:dyDescent="0.2">
      <c r="A55">
        <f>ROW(Source!A44)</f>
        <v>44</v>
      </c>
      <c r="B55">
        <v>82813551</v>
      </c>
      <c r="C55">
        <v>82813550</v>
      </c>
      <c r="D55">
        <v>80959954</v>
      </c>
      <c r="E55">
        <v>118</v>
      </c>
      <c r="F55">
        <v>1</v>
      </c>
      <c r="G55">
        <v>1</v>
      </c>
      <c r="H55">
        <v>1</v>
      </c>
      <c r="I55" t="s">
        <v>363</v>
      </c>
      <c r="J55" t="s">
        <v>3</v>
      </c>
      <c r="K55" t="s">
        <v>364</v>
      </c>
      <c r="L55">
        <v>1191</v>
      </c>
      <c r="N55">
        <v>1013</v>
      </c>
      <c r="O55" t="s">
        <v>288</v>
      </c>
      <c r="P55" t="s">
        <v>288</v>
      </c>
      <c r="Q55">
        <v>1</v>
      </c>
      <c r="X55">
        <v>55.3</v>
      </c>
      <c r="Y55">
        <v>0</v>
      </c>
      <c r="Z55">
        <v>0</v>
      </c>
      <c r="AA55">
        <v>0</v>
      </c>
      <c r="AB55">
        <v>741.99</v>
      </c>
      <c r="AC55">
        <v>0</v>
      </c>
      <c r="AD55">
        <v>1</v>
      </c>
      <c r="AE55">
        <v>1</v>
      </c>
      <c r="AF55" t="s">
        <v>33</v>
      </c>
      <c r="AG55">
        <v>85.853249999999989</v>
      </c>
      <c r="AH55">
        <v>2</v>
      </c>
      <c r="AI55">
        <v>82813551</v>
      </c>
      <c r="AJ55">
        <v>55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</row>
    <row r="56" spans="1:44" x14ac:dyDescent="0.2">
      <c r="A56">
        <f>ROW(Source!A44)</f>
        <v>44</v>
      </c>
      <c r="B56">
        <v>82813552</v>
      </c>
      <c r="C56">
        <v>82813550</v>
      </c>
      <c r="D56">
        <v>80960127</v>
      </c>
      <c r="E56">
        <v>118</v>
      </c>
      <c r="F56">
        <v>1</v>
      </c>
      <c r="G56">
        <v>1</v>
      </c>
      <c r="H56">
        <v>1</v>
      </c>
      <c r="I56" t="s">
        <v>302</v>
      </c>
      <c r="J56" t="s">
        <v>3</v>
      </c>
      <c r="K56" t="s">
        <v>303</v>
      </c>
      <c r="L56">
        <v>1191</v>
      </c>
      <c r="N56">
        <v>1013</v>
      </c>
      <c r="O56" t="s">
        <v>288</v>
      </c>
      <c r="P56" t="s">
        <v>288</v>
      </c>
      <c r="Q56">
        <v>1</v>
      </c>
      <c r="X56">
        <v>1.06</v>
      </c>
      <c r="Y56">
        <v>0</v>
      </c>
      <c r="Z56">
        <v>0</v>
      </c>
      <c r="AA56">
        <v>0</v>
      </c>
      <c r="AB56">
        <v>0</v>
      </c>
      <c r="AC56">
        <v>0</v>
      </c>
      <c r="AD56">
        <v>1</v>
      </c>
      <c r="AE56">
        <v>2</v>
      </c>
      <c r="AF56" t="s">
        <v>32</v>
      </c>
      <c r="AG56">
        <v>1.7887500000000003</v>
      </c>
      <c r="AH56">
        <v>2</v>
      </c>
      <c r="AI56">
        <v>82813552</v>
      </c>
      <c r="AJ56">
        <v>56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</row>
    <row r="57" spans="1:44" x14ac:dyDescent="0.2">
      <c r="A57">
        <f>ROW(Source!A44)</f>
        <v>44</v>
      </c>
      <c r="B57">
        <v>82813553</v>
      </c>
      <c r="C57">
        <v>82813550</v>
      </c>
      <c r="D57">
        <v>81086531</v>
      </c>
      <c r="E57">
        <v>1</v>
      </c>
      <c r="F57">
        <v>1</v>
      </c>
      <c r="G57">
        <v>1</v>
      </c>
      <c r="H57">
        <v>2</v>
      </c>
      <c r="I57" t="s">
        <v>304</v>
      </c>
      <c r="J57" t="s">
        <v>305</v>
      </c>
      <c r="K57" t="s">
        <v>306</v>
      </c>
      <c r="L57">
        <v>1368</v>
      </c>
      <c r="N57">
        <v>1011</v>
      </c>
      <c r="O57" t="s">
        <v>292</v>
      </c>
      <c r="P57" t="s">
        <v>292</v>
      </c>
      <c r="Q57">
        <v>1</v>
      </c>
      <c r="X57">
        <v>0.12</v>
      </c>
      <c r="Y57">
        <v>0</v>
      </c>
      <c r="Z57">
        <v>1036.96</v>
      </c>
      <c r="AA57">
        <v>982.04</v>
      </c>
      <c r="AB57">
        <v>0</v>
      </c>
      <c r="AC57">
        <v>0</v>
      </c>
      <c r="AD57">
        <v>1</v>
      </c>
      <c r="AE57">
        <v>0</v>
      </c>
      <c r="AF57" t="s">
        <v>32</v>
      </c>
      <c r="AG57">
        <v>0.20250000000000001</v>
      </c>
      <c r="AH57">
        <v>2</v>
      </c>
      <c r="AI57">
        <v>82813553</v>
      </c>
      <c r="AJ57">
        <v>57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</row>
    <row r="58" spans="1:44" x14ac:dyDescent="0.2">
      <c r="A58">
        <f>ROW(Source!A44)</f>
        <v>44</v>
      </c>
      <c r="B58">
        <v>82813554</v>
      </c>
      <c r="C58">
        <v>82813550</v>
      </c>
      <c r="D58">
        <v>81086585</v>
      </c>
      <c r="E58">
        <v>1</v>
      </c>
      <c r="F58">
        <v>1</v>
      </c>
      <c r="G58">
        <v>1</v>
      </c>
      <c r="H58">
        <v>2</v>
      </c>
      <c r="I58" t="s">
        <v>342</v>
      </c>
      <c r="J58" t="s">
        <v>343</v>
      </c>
      <c r="K58" t="s">
        <v>344</v>
      </c>
      <c r="L58">
        <v>1368</v>
      </c>
      <c r="N58">
        <v>1011</v>
      </c>
      <c r="O58" t="s">
        <v>292</v>
      </c>
      <c r="P58" t="s">
        <v>292</v>
      </c>
      <c r="Q58">
        <v>1</v>
      </c>
      <c r="X58">
        <v>7.0000000000000007E-2</v>
      </c>
      <c r="Y58">
        <v>0</v>
      </c>
      <c r="Z58">
        <v>1585.56</v>
      </c>
      <c r="AA58">
        <v>982.04</v>
      </c>
      <c r="AB58">
        <v>0</v>
      </c>
      <c r="AC58">
        <v>0</v>
      </c>
      <c r="AD58">
        <v>1</v>
      </c>
      <c r="AE58">
        <v>0</v>
      </c>
      <c r="AF58" t="s">
        <v>32</v>
      </c>
      <c r="AG58">
        <v>0.11812500000000002</v>
      </c>
      <c r="AH58">
        <v>2</v>
      </c>
      <c r="AI58">
        <v>82813554</v>
      </c>
      <c r="AJ58">
        <v>58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</row>
    <row r="59" spans="1:44" x14ac:dyDescent="0.2">
      <c r="A59">
        <f>ROW(Source!A44)</f>
        <v>44</v>
      </c>
      <c r="B59">
        <v>82813555</v>
      </c>
      <c r="C59">
        <v>82813550</v>
      </c>
      <c r="D59">
        <v>81087487</v>
      </c>
      <c r="E59">
        <v>1</v>
      </c>
      <c r="F59">
        <v>1</v>
      </c>
      <c r="G59">
        <v>1</v>
      </c>
      <c r="H59">
        <v>2</v>
      </c>
      <c r="I59" t="s">
        <v>308</v>
      </c>
      <c r="J59" t="s">
        <v>309</v>
      </c>
      <c r="K59" t="s">
        <v>310</v>
      </c>
      <c r="L59">
        <v>1368</v>
      </c>
      <c r="N59">
        <v>1011</v>
      </c>
      <c r="O59" t="s">
        <v>292</v>
      </c>
      <c r="P59" t="s">
        <v>292</v>
      </c>
      <c r="Q59">
        <v>1</v>
      </c>
      <c r="X59">
        <v>0.87</v>
      </c>
      <c r="Y59">
        <v>0</v>
      </c>
      <c r="Z59">
        <v>544.91999999999996</v>
      </c>
      <c r="AA59">
        <v>731.08</v>
      </c>
      <c r="AB59">
        <v>0</v>
      </c>
      <c r="AC59">
        <v>0</v>
      </c>
      <c r="AD59">
        <v>1</v>
      </c>
      <c r="AE59">
        <v>0</v>
      </c>
      <c r="AF59" t="s">
        <v>32</v>
      </c>
      <c r="AG59">
        <v>1.4681250000000001</v>
      </c>
      <c r="AH59">
        <v>2</v>
      </c>
      <c r="AI59">
        <v>82813555</v>
      </c>
      <c r="AJ59">
        <v>59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</row>
    <row r="60" spans="1:44" x14ac:dyDescent="0.2">
      <c r="A60">
        <f>ROW(Source!A44)</f>
        <v>44</v>
      </c>
      <c r="B60">
        <v>82813556</v>
      </c>
      <c r="C60">
        <v>82813550</v>
      </c>
      <c r="D60">
        <v>81087646</v>
      </c>
      <c r="E60">
        <v>1</v>
      </c>
      <c r="F60">
        <v>1</v>
      </c>
      <c r="G60">
        <v>1</v>
      </c>
      <c r="H60">
        <v>2</v>
      </c>
      <c r="I60" t="s">
        <v>289</v>
      </c>
      <c r="J60" t="s">
        <v>290</v>
      </c>
      <c r="K60" t="s">
        <v>291</v>
      </c>
      <c r="L60">
        <v>1368</v>
      </c>
      <c r="N60">
        <v>1011</v>
      </c>
      <c r="O60" t="s">
        <v>292</v>
      </c>
      <c r="P60" t="s">
        <v>292</v>
      </c>
      <c r="Q60">
        <v>1</v>
      </c>
      <c r="X60">
        <v>18.440000000000001</v>
      </c>
      <c r="Y60">
        <v>0</v>
      </c>
      <c r="Z60">
        <v>4.3499999999999996</v>
      </c>
      <c r="AA60">
        <v>0</v>
      </c>
      <c r="AB60">
        <v>0</v>
      </c>
      <c r="AC60">
        <v>0</v>
      </c>
      <c r="AD60">
        <v>1</v>
      </c>
      <c r="AE60">
        <v>0</v>
      </c>
      <c r="AF60" t="s">
        <v>32</v>
      </c>
      <c r="AG60">
        <v>31.117500000000003</v>
      </c>
      <c r="AH60">
        <v>2</v>
      </c>
      <c r="AI60">
        <v>82813556</v>
      </c>
      <c r="AJ60">
        <v>60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</row>
    <row r="61" spans="1:44" x14ac:dyDescent="0.2">
      <c r="A61">
        <f>ROW(Source!A44)</f>
        <v>44</v>
      </c>
      <c r="B61">
        <v>82813557</v>
      </c>
      <c r="C61">
        <v>82813550</v>
      </c>
      <c r="D61">
        <v>81034712</v>
      </c>
      <c r="E61">
        <v>1</v>
      </c>
      <c r="F61">
        <v>1</v>
      </c>
      <c r="G61">
        <v>1</v>
      </c>
      <c r="H61">
        <v>3</v>
      </c>
      <c r="I61" t="s">
        <v>293</v>
      </c>
      <c r="J61" t="s">
        <v>294</v>
      </c>
      <c r="K61" t="s">
        <v>295</v>
      </c>
      <c r="L61">
        <v>1339</v>
      </c>
      <c r="N61">
        <v>1007</v>
      </c>
      <c r="O61" t="s">
        <v>296</v>
      </c>
      <c r="P61" t="s">
        <v>296</v>
      </c>
      <c r="Q61">
        <v>1</v>
      </c>
      <c r="X61">
        <v>0.32</v>
      </c>
      <c r="Y61">
        <v>340.41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0</v>
      </c>
      <c r="AF61" t="s">
        <v>3</v>
      </c>
      <c r="AG61">
        <v>0.32</v>
      </c>
      <c r="AH61">
        <v>2</v>
      </c>
      <c r="AI61">
        <v>82813557</v>
      </c>
      <c r="AJ61">
        <v>61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</row>
    <row r="62" spans="1:44" x14ac:dyDescent="0.2">
      <c r="A62">
        <f>ROW(Source!A44)</f>
        <v>44</v>
      </c>
      <c r="B62">
        <v>82813558</v>
      </c>
      <c r="C62">
        <v>82813550</v>
      </c>
      <c r="D62">
        <v>81034728</v>
      </c>
      <c r="E62">
        <v>1</v>
      </c>
      <c r="F62">
        <v>1</v>
      </c>
      <c r="G62">
        <v>1</v>
      </c>
      <c r="H62">
        <v>3</v>
      </c>
      <c r="I62" t="s">
        <v>297</v>
      </c>
      <c r="J62" t="s">
        <v>298</v>
      </c>
      <c r="K62" t="s">
        <v>299</v>
      </c>
      <c r="L62">
        <v>1339</v>
      </c>
      <c r="N62">
        <v>1007</v>
      </c>
      <c r="O62" t="s">
        <v>296</v>
      </c>
      <c r="P62" t="s">
        <v>296</v>
      </c>
      <c r="Q62">
        <v>1</v>
      </c>
      <c r="X62">
        <v>0.35</v>
      </c>
      <c r="Y62">
        <v>114.64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0</v>
      </c>
      <c r="AF62" t="s">
        <v>3</v>
      </c>
      <c r="AG62">
        <v>0.35</v>
      </c>
      <c r="AH62">
        <v>2</v>
      </c>
      <c r="AI62">
        <v>82813558</v>
      </c>
      <c r="AJ62">
        <v>62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</row>
    <row r="63" spans="1:44" x14ac:dyDescent="0.2">
      <c r="A63">
        <f>ROW(Source!A44)</f>
        <v>44</v>
      </c>
      <c r="B63">
        <v>82813559</v>
      </c>
      <c r="C63">
        <v>82813550</v>
      </c>
      <c r="D63">
        <v>81036692</v>
      </c>
      <c r="E63">
        <v>1</v>
      </c>
      <c r="F63">
        <v>1</v>
      </c>
      <c r="G63">
        <v>1</v>
      </c>
      <c r="H63">
        <v>3</v>
      </c>
      <c r="I63" t="s">
        <v>339</v>
      </c>
      <c r="J63" t="s">
        <v>340</v>
      </c>
      <c r="K63" t="s">
        <v>341</v>
      </c>
      <c r="L63">
        <v>1339</v>
      </c>
      <c r="N63">
        <v>1007</v>
      </c>
      <c r="O63" t="s">
        <v>296</v>
      </c>
      <c r="P63" t="s">
        <v>296</v>
      </c>
      <c r="Q63">
        <v>1</v>
      </c>
      <c r="X63">
        <v>2.75</v>
      </c>
      <c r="Y63">
        <v>35.71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0</v>
      </c>
      <c r="AF63" t="s">
        <v>3</v>
      </c>
      <c r="AG63">
        <v>2.75</v>
      </c>
      <c r="AH63">
        <v>2</v>
      </c>
      <c r="AI63">
        <v>82813559</v>
      </c>
      <c r="AJ63">
        <v>63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</row>
    <row r="64" spans="1:44" x14ac:dyDescent="0.2">
      <c r="A64">
        <f>ROW(Source!A44)</f>
        <v>44</v>
      </c>
      <c r="B64">
        <v>82813560</v>
      </c>
      <c r="C64">
        <v>82813550</v>
      </c>
      <c r="D64">
        <v>81037319</v>
      </c>
      <c r="E64">
        <v>1</v>
      </c>
      <c r="F64">
        <v>1</v>
      </c>
      <c r="G64">
        <v>1</v>
      </c>
      <c r="H64">
        <v>3</v>
      </c>
      <c r="I64" t="s">
        <v>351</v>
      </c>
      <c r="J64" t="s">
        <v>352</v>
      </c>
      <c r="K64" t="s">
        <v>353</v>
      </c>
      <c r="L64">
        <v>1348</v>
      </c>
      <c r="N64">
        <v>1009</v>
      </c>
      <c r="O64" t="s">
        <v>59</v>
      </c>
      <c r="P64" t="s">
        <v>59</v>
      </c>
      <c r="Q64">
        <v>1000</v>
      </c>
      <c r="X64">
        <v>2.0000000000000001E-4</v>
      </c>
      <c r="Y64">
        <v>97282.880000000005</v>
      </c>
      <c r="Z64">
        <v>0</v>
      </c>
      <c r="AA64">
        <v>0</v>
      </c>
      <c r="AB64">
        <v>0</v>
      </c>
      <c r="AC64">
        <v>0</v>
      </c>
      <c r="AD64">
        <v>1</v>
      </c>
      <c r="AE64">
        <v>0</v>
      </c>
      <c r="AF64" t="s">
        <v>3</v>
      </c>
      <c r="AG64">
        <v>2.0000000000000001E-4</v>
      </c>
      <c r="AH64">
        <v>2</v>
      </c>
      <c r="AI64">
        <v>82813560</v>
      </c>
      <c r="AJ64">
        <v>64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</row>
    <row r="65" spans="1:44" x14ac:dyDescent="0.2">
      <c r="A65">
        <f>ROW(Source!A44)</f>
        <v>44</v>
      </c>
      <c r="B65">
        <v>82813561</v>
      </c>
      <c r="C65">
        <v>82813550</v>
      </c>
      <c r="D65">
        <v>81040064</v>
      </c>
      <c r="E65">
        <v>1</v>
      </c>
      <c r="F65">
        <v>1</v>
      </c>
      <c r="G65">
        <v>1</v>
      </c>
      <c r="H65">
        <v>3</v>
      </c>
      <c r="I65" t="s">
        <v>354</v>
      </c>
      <c r="J65" t="s">
        <v>355</v>
      </c>
      <c r="K65" t="s">
        <v>356</v>
      </c>
      <c r="L65">
        <v>1346</v>
      </c>
      <c r="N65">
        <v>1009</v>
      </c>
      <c r="O65" t="s">
        <v>93</v>
      </c>
      <c r="P65" t="s">
        <v>93</v>
      </c>
      <c r="Q65">
        <v>1</v>
      </c>
      <c r="X65">
        <v>9.9000000000000008E-3</v>
      </c>
      <c r="Y65">
        <v>59.41</v>
      </c>
      <c r="Z65">
        <v>0</v>
      </c>
      <c r="AA65">
        <v>0</v>
      </c>
      <c r="AB65">
        <v>0</v>
      </c>
      <c r="AC65">
        <v>0</v>
      </c>
      <c r="AD65">
        <v>1</v>
      </c>
      <c r="AE65">
        <v>0</v>
      </c>
      <c r="AF65" t="s">
        <v>3</v>
      </c>
      <c r="AG65">
        <v>9.9000000000000008E-3</v>
      </c>
      <c r="AH65">
        <v>2</v>
      </c>
      <c r="AI65">
        <v>82813561</v>
      </c>
      <c r="AJ65">
        <v>65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</row>
    <row r="66" spans="1:44" x14ac:dyDescent="0.2">
      <c r="A66">
        <f>ROW(Source!A44)</f>
        <v>44</v>
      </c>
      <c r="B66">
        <v>82813562</v>
      </c>
      <c r="C66">
        <v>82813550</v>
      </c>
      <c r="D66">
        <v>81040652</v>
      </c>
      <c r="E66">
        <v>1</v>
      </c>
      <c r="F66">
        <v>1</v>
      </c>
      <c r="G66">
        <v>1</v>
      </c>
      <c r="H66">
        <v>3</v>
      </c>
      <c r="I66" t="s">
        <v>365</v>
      </c>
      <c r="J66" t="s">
        <v>366</v>
      </c>
      <c r="K66" t="s">
        <v>367</v>
      </c>
      <c r="L66">
        <v>1339</v>
      </c>
      <c r="N66">
        <v>1007</v>
      </c>
      <c r="O66" t="s">
        <v>296</v>
      </c>
      <c r="P66" t="s">
        <v>296</v>
      </c>
      <c r="Q66">
        <v>1</v>
      </c>
      <c r="X66">
        <v>8.0000000000000002E-3</v>
      </c>
      <c r="Y66">
        <v>4033.62</v>
      </c>
      <c r="Z66">
        <v>0</v>
      </c>
      <c r="AA66">
        <v>0</v>
      </c>
      <c r="AB66">
        <v>0</v>
      </c>
      <c r="AC66">
        <v>0</v>
      </c>
      <c r="AD66">
        <v>1</v>
      </c>
      <c r="AE66">
        <v>0</v>
      </c>
      <c r="AF66" t="s">
        <v>3</v>
      </c>
      <c r="AG66">
        <v>8.0000000000000002E-3</v>
      </c>
      <c r="AH66">
        <v>2</v>
      </c>
      <c r="AI66">
        <v>82813562</v>
      </c>
      <c r="AJ66">
        <v>66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</row>
    <row r="67" spans="1:44" x14ac:dyDescent="0.2">
      <c r="A67">
        <f>ROW(Source!A44)</f>
        <v>44</v>
      </c>
      <c r="B67">
        <v>82813563</v>
      </c>
      <c r="C67">
        <v>82813550</v>
      </c>
      <c r="D67">
        <v>80965317</v>
      </c>
      <c r="E67">
        <v>118</v>
      </c>
      <c r="F67">
        <v>1</v>
      </c>
      <c r="G67">
        <v>1</v>
      </c>
      <c r="H67">
        <v>3</v>
      </c>
      <c r="I67" t="s">
        <v>91</v>
      </c>
      <c r="J67" t="s">
        <v>3</v>
      </c>
      <c r="K67" t="s">
        <v>92</v>
      </c>
      <c r="L67">
        <v>1346</v>
      </c>
      <c r="N67">
        <v>1009</v>
      </c>
      <c r="O67" t="s">
        <v>93</v>
      </c>
      <c r="P67" t="s">
        <v>93</v>
      </c>
      <c r="Q67">
        <v>1</v>
      </c>
      <c r="X67">
        <v>0</v>
      </c>
      <c r="Y67">
        <v>0</v>
      </c>
      <c r="Z67">
        <v>0</v>
      </c>
      <c r="AA67">
        <v>0</v>
      </c>
      <c r="AB67">
        <v>0</v>
      </c>
      <c r="AC67">
        <v>1</v>
      </c>
      <c r="AD67">
        <v>0</v>
      </c>
      <c r="AE67">
        <v>0</v>
      </c>
      <c r="AF67" t="s">
        <v>3</v>
      </c>
      <c r="AG67">
        <v>0</v>
      </c>
      <c r="AH67">
        <v>2</v>
      </c>
      <c r="AI67">
        <v>82813563</v>
      </c>
      <c r="AJ67">
        <v>68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</row>
    <row r="68" spans="1:44" x14ac:dyDescent="0.2">
      <c r="A68">
        <f>ROW(Source!A44)</f>
        <v>44</v>
      </c>
      <c r="B68">
        <v>82813564</v>
      </c>
      <c r="C68">
        <v>82813550</v>
      </c>
      <c r="D68">
        <v>80965532</v>
      </c>
      <c r="E68">
        <v>118</v>
      </c>
      <c r="F68">
        <v>1</v>
      </c>
      <c r="G68">
        <v>1</v>
      </c>
      <c r="H68">
        <v>3</v>
      </c>
      <c r="I68" t="s">
        <v>113</v>
      </c>
      <c r="J68" t="s">
        <v>3</v>
      </c>
      <c r="K68" t="s">
        <v>90</v>
      </c>
      <c r="L68">
        <v>1301</v>
      </c>
      <c r="N68">
        <v>1003</v>
      </c>
      <c r="O68" t="s">
        <v>72</v>
      </c>
      <c r="P68" t="s">
        <v>72</v>
      </c>
      <c r="Q68">
        <v>1</v>
      </c>
      <c r="X68">
        <v>100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 t="s">
        <v>3</v>
      </c>
      <c r="AG68">
        <v>100</v>
      </c>
      <c r="AH68">
        <v>2</v>
      </c>
      <c r="AI68">
        <v>82813564</v>
      </c>
      <c r="AJ68">
        <v>70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</row>
    <row r="69" spans="1:44" x14ac:dyDescent="0.2">
      <c r="A69">
        <f>ROW(Source!A50)</f>
        <v>50</v>
      </c>
      <c r="B69">
        <v>82813568</v>
      </c>
      <c r="C69">
        <v>82813567</v>
      </c>
      <c r="D69">
        <v>80959954</v>
      </c>
      <c r="E69">
        <v>118</v>
      </c>
      <c r="F69">
        <v>1</v>
      </c>
      <c r="G69">
        <v>1</v>
      </c>
      <c r="H69">
        <v>1</v>
      </c>
      <c r="I69" t="s">
        <v>363</v>
      </c>
      <c r="J69" t="s">
        <v>3</v>
      </c>
      <c r="K69" t="s">
        <v>364</v>
      </c>
      <c r="L69">
        <v>1191</v>
      </c>
      <c r="N69">
        <v>1013</v>
      </c>
      <c r="O69" t="s">
        <v>288</v>
      </c>
      <c r="P69" t="s">
        <v>288</v>
      </c>
      <c r="Q69">
        <v>1</v>
      </c>
      <c r="X69">
        <v>55.3</v>
      </c>
      <c r="Y69">
        <v>0</v>
      </c>
      <c r="Z69">
        <v>0</v>
      </c>
      <c r="AA69">
        <v>0</v>
      </c>
      <c r="AB69">
        <v>741.99</v>
      </c>
      <c r="AC69">
        <v>0</v>
      </c>
      <c r="AD69">
        <v>1</v>
      </c>
      <c r="AE69">
        <v>1</v>
      </c>
      <c r="AF69" t="s">
        <v>3</v>
      </c>
      <c r="AG69">
        <v>55.3</v>
      </c>
      <c r="AH69">
        <v>2</v>
      </c>
      <c r="AI69">
        <v>82813568</v>
      </c>
      <c r="AJ69">
        <v>72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</row>
    <row r="70" spans="1:44" x14ac:dyDescent="0.2">
      <c r="A70">
        <f>ROW(Source!A50)</f>
        <v>50</v>
      </c>
      <c r="B70">
        <v>82813569</v>
      </c>
      <c r="C70">
        <v>82813567</v>
      </c>
      <c r="D70">
        <v>80960127</v>
      </c>
      <c r="E70">
        <v>118</v>
      </c>
      <c r="F70">
        <v>1</v>
      </c>
      <c r="G70">
        <v>1</v>
      </c>
      <c r="H70">
        <v>1</v>
      </c>
      <c r="I70" t="s">
        <v>302</v>
      </c>
      <c r="J70" t="s">
        <v>3</v>
      </c>
      <c r="K70" t="s">
        <v>303</v>
      </c>
      <c r="L70">
        <v>1191</v>
      </c>
      <c r="N70">
        <v>1013</v>
      </c>
      <c r="O70" t="s">
        <v>288</v>
      </c>
      <c r="P70" t="s">
        <v>288</v>
      </c>
      <c r="Q70">
        <v>1</v>
      </c>
      <c r="X70">
        <v>1.06</v>
      </c>
      <c r="Y70">
        <v>0</v>
      </c>
      <c r="Z70">
        <v>0</v>
      </c>
      <c r="AA70">
        <v>0</v>
      </c>
      <c r="AB70">
        <v>0</v>
      </c>
      <c r="AC70">
        <v>0</v>
      </c>
      <c r="AD70">
        <v>1</v>
      </c>
      <c r="AE70">
        <v>2</v>
      </c>
      <c r="AF70" t="s">
        <v>3</v>
      </c>
      <c r="AG70">
        <v>1.06</v>
      </c>
      <c r="AH70">
        <v>2</v>
      </c>
      <c r="AI70">
        <v>82813569</v>
      </c>
      <c r="AJ70">
        <v>73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</row>
    <row r="71" spans="1:44" x14ac:dyDescent="0.2">
      <c r="A71">
        <f>ROW(Source!A50)</f>
        <v>50</v>
      </c>
      <c r="B71">
        <v>82813570</v>
      </c>
      <c r="C71">
        <v>82813567</v>
      </c>
      <c r="D71">
        <v>81086531</v>
      </c>
      <c r="E71">
        <v>1</v>
      </c>
      <c r="F71">
        <v>1</v>
      </c>
      <c r="G71">
        <v>1</v>
      </c>
      <c r="H71">
        <v>2</v>
      </c>
      <c r="I71" t="s">
        <v>304</v>
      </c>
      <c r="J71" t="s">
        <v>305</v>
      </c>
      <c r="K71" t="s">
        <v>306</v>
      </c>
      <c r="L71">
        <v>1368</v>
      </c>
      <c r="N71">
        <v>1011</v>
      </c>
      <c r="O71" t="s">
        <v>292</v>
      </c>
      <c r="P71" t="s">
        <v>292</v>
      </c>
      <c r="Q71">
        <v>1</v>
      </c>
      <c r="X71">
        <v>0.12</v>
      </c>
      <c r="Y71">
        <v>0</v>
      </c>
      <c r="Z71">
        <v>1036.96</v>
      </c>
      <c r="AA71">
        <v>982.04</v>
      </c>
      <c r="AB71">
        <v>0</v>
      </c>
      <c r="AC71">
        <v>0</v>
      </c>
      <c r="AD71">
        <v>1</v>
      </c>
      <c r="AE71">
        <v>0</v>
      </c>
      <c r="AF71" t="s">
        <v>3</v>
      </c>
      <c r="AG71">
        <v>0.12</v>
      </c>
      <c r="AH71">
        <v>2</v>
      </c>
      <c r="AI71">
        <v>82813570</v>
      </c>
      <c r="AJ71">
        <v>74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</row>
    <row r="72" spans="1:44" x14ac:dyDescent="0.2">
      <c r="A72">
        <f>ROW(Source!A50)</f>
        <v>50</v>
      </c>
      <c r="B72">
        <v>82813571</v>
      </c>
      <c r="C72">
        <v>82813567</v>
      </c>
      <c r="D72">
        <v>81086585</v>
      </c>
      <c r="E72">
        <v>1</v>
      </c>
      <c r="F72">
        <v>1</v>
      </c>
      <c r="G72">
        <v>1</v>
      </c>
      <c r="H72">
        <v>2</v>
      </c>
      <c r="I72" t="s">
        <v>342</v>
      </c>
      <c r="J72" t="s">
        <v>343</v>
      </c>
      <c r="K72" t="s">
        <v>344</v>
      </c>
      <c r="L72">
        <v>1368</v>
      </c>
      <c r="N72">
        <v>1011</v>
      </c>
      <c r="O72" t="s">
        <v>292</v>
      </c>
      <c r="P72" t="s">
        <v>292</v>
      </c>
      <c r="Q72">
        <v>1</v>
      </c>
      <c r="X72">
        <v>7.0000000000000007E-2</v>
      </c>
      <c r="Y72">
        <v>0</v>
      </c>
      <c r="Z72">
        <v>1585.56</v>
      </c>
      <c r="AA72">
        <v>982.04</v>
      </c>
      <c r="AB72">
        <v>0</v>
      </c>
      <c r="AC72">
        <v>0</v>
      </c>
      <c r="AD72">
        <v>1</v>
      </c>
      <c r="AE72">
        <v>0</v>
      </c>
      <c r="AF72" t="s">
        <v>3</v>
      </c>
      <c r="AG72">
        <v>7.0000000000000007E-2</v>
      </c>
      <c r="AH72">
        <v>2</v>
      </c>
      <c r="AI72">
        <v>82813571</v>
      </c>
      <c r="AJ72">
        <v>75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</row>
    <row r="73" spans="1:44" x14ac:dyDescent="0.2">
      <c r="A73">
        <f>ROW(Source!A50)</f>
        <v>50</v>
      </c>
      <c r="B73">
        <v>82813572</v>
      </c>
      <c r="C73">
        <v>82813567</v>
      </c>
      <c r="D73">
        <v>81087487</v>
      </c>
      <c r="E73">
        <v>1</v>
      </c>
      <c r="F73">
        <v>1</v>
      </c>
      <c r="G73">
        <v>1</v>
      </c>
      <c r="H73">
        <v>2</v>
      </c>
      <c r="I73" t="s">
        <v>308</v>
      </c>
      <c r="J73" t="s">
        <v>309</v>
      </c>
      <c r="K73" t="s">
        <v>310</v>
      </c>
      <c r="L73">
        <v>1368</v>
      </c>
      <c r="N73">
        <v>1011</v>
      </c>
      <c r="O73" t="s">
        <v>292</v>
      </c>
      <c r="P73" t="s">
        <v>292</v>
      </c>
      <c r="Q73">
        <v>1</v>
      </c>
      <c r="X73">
        <v>0.87</v>
      </c>
      <c r="Y73">
        <v>0</v>
      </c>
      <c r="Z73">
        <v>544.91999999999996</v>
      </c>
      <c r="AA73">
        <v>731.08</v>
      </c>
      <c r="AB73">
        <v>0</v>
      </c>
      <c r="AC73">
        <v>0</v>
      </c>
      <c r="AD73">
        <v>1</v>
      </c>
      <c r="AE73">
        <v>0</v>
      </c>
      <c r="AF73" t="s">
        <v>3</v>
      </c>
      <c r="AG73">
        <v>0.87</v>
      </c>
      <c r="AH73">
        <v>2</v>
      </c>
      <c r="AI73">
        <v>82813572</v>
      </c>
      <c r="AJ73">
        <v>76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</row>
    <row r="74" spans="1:44" x14ac:dyDescent="0.2">
      <c r="A74">
        <f>ROW(Source!A50)</f>
        <v>50</v>
      </c>
      <c r="B74">
        <v>82813573</v>
      </c>
      <c r="C74">
        <v>82813567</v>
      </c>
      <c r="D74">
        <v>81087646</v>
      </c>
      <c r="E74">
        <v>1</v>
      </c>
      <c r="F74">
        <v>1</v>
      </c>
      <c r="G74">
        <v>1</v>
      </c>
      <c r="H74">
        <v>2</v>
      </c>
      <c r="I74" t="s">
        <v>289</v>
      </c>
      <c r="J74" t="s">
        <v>290</v>
      </c>
      <c r="K74" t="s">
        <v>291</v>
      </c>
      <c r="L74">
        <v>1368</v>
      </c>
      <c r="N74">
        <v>1011</v>
      </c>
      <c r="O74" t="s">
        <v>292</v>
      </c>
      <c r="P74" t="s">
        <v>292</v>
      </c>
      <c r="Q74">
        <v>1</v>
      </c>
      <c r="X74">
        <v>18.440000000000001</v>
      </c>
      <c r="Y74">
        <v>0</v>
      </c>
      <c r="Z74">
        <v>4.3499999999999996</v>
      </c>
      <c r="AA74">
        <v>0</v>
      </c>
      <c r="AB74">
        <v>0</v>
      </c>
      <c r="AC74">
        <v>0</v>
      </c>
      <c r="AD74">
        <v>1</v>
      </c>
      <c r="AE74">
        <v>0</v>
      </c>
      <c r="AF74" t="s">
        <v>3</v>
      </c>
      <c r="AG74">
        <v>18.440000000000001</v>
      </c>
      <c r="AH74">
        <v>2</v>
      </c>
      <c r="AI74">
        <v>82813573</v>
      </c>
      <c r="AJ74">
        <v>77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</row>
    <row r="75" spans="1:44" x14ac:dyDescent="0.2">
      <c r="A75">
        <f>ROW(Source!A50)</f>
        <v>50</v>
      </c>
      <c r="B75">
        <v>82813574</v>
      </c>
      <c r="C75">
        <v>82813567</v>
      </c>
      <c r="D75">
        <v>81034712</v>
      </c>
      <c r="E75">
        <v>1</v>
      </c>
      <c r="F75">
        <v>1</v>
      </c>
      <c r="G75">
        <v>1</v>
      </c>
      <c r="H75">
        <v>3</v>
      </c>
      <c r="I75" t="s">
        <v>293</v>
      </c>
      <c r="J75" t="s">
        <v>294</v>
      </c>
      <c r="K75" t="s">
        <v>295</v>
      </c>
      <c r="L75">
        <v>1339</v>
      </c>
      <c r="N75">
        <v>1007</v>
      </c>
      <c r="O75" t="s">
        <v>296</v>
      </c>
      <c r="P75" t="s">
        <v>296</v>
      </c>
      <c r="Q75">
        <v>1</v>
      </c>
      <c r="X75">
        <v>0.32</v>
      </c>
      <c r="Y75">
        <v>340.41</v>
      </c>
      <c r="Z75">
        <v>0</v>
      </c>
      <c r="AA75">
        <v>0</v>
      </c>
      <c r="AB75">
        <v>0</v>
      </c>
      <c r="AC75">
        <v>0</v>
      </c>
      <c r="AD75">
        <v>1</v>
      </c>
      <c r="AE75">
        <v>0</v>
      </c>
      <c r="AF75" t="s">
        <v>3</v>
      </c>
      <c r="AG75">
        <v>0.32</v>
      </c>
      <c r="AH75">
        <v>2</v>
      </c>
      <c r="AI75">
        <v>82813574</v>
      </c>
      <c r="AJ75">
        <v>78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</row>
    <row r="76" spans="1:44" x14ac:dyDescent="0.2">
      <c r="A76">
        <f>ROW(Source!A50)</f>
        <v>50</v>
      </c>
      <c r="B76">
        <v>82813575</v>
      </c>
      <c r="C76">
        <v>82813567</v>
      </c>
      <c r="D76">
        <v>81034728</v>
      </c>
      <c r="E76">
        <v>1</v>
      </c>
      <c r="F76">
        <v>1</v>
      </c>
      <c r="G76">
        <v>1</v>
      </c>
      <c r="H76">
        <v>3</v>
      </c>
      <c r="I76" t="s">
        <v>297</v>
      </c>
      <c r="J76" t="s">
        <v>298</v>
      </c>
      <c r="K76" t="s">
        <v>299</v>
      </c>
      <c r="L76">
        <v>1339</v>
      </c>
      <c r="N76">
        <v>1007</v>
      </c>
      <c r="O76" t="s">
        <v>296</v>
      </c>
      <c r="P76" t="s">
        <v>296</v>
      </c>
      <c r="Q76">
        <v>1</v>
      </c>
      <c r="X76">
        <v>0.35</v>
      </c>
      <c r="Y76">
        <v>114.64</v>
      </c>
      <c r="Z76">
        <v>0</v>
      </c>
      <c r="AA76">
        <v>0</v>
      </c>
      <c r="AB76">
        <v>0</v>
      </c>
      <c r="AC76">
        <v>0</v>
      </c>
      <c r="AD76">
        <v>1</v>
      </c>
      <c r="AE76">
        <v>0</v>
      </c>
      <c r="AF76" t="s">
        <v>3</v>
      </c>
      <c r="AG76">
        <v>0.35</v>
      </c>
      <c r="AH76">
        <v>2</v>
      </c>
      <c r="AI76">
        <v>82813575</v>
      </c>
      <c r="AJ76">
        <v>79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</row>
    <row r="77" spans="1:44" x14ac:dyDescent="0.2">
      <c r="A77">
        <f>ROW(Source!A50)</f>
        <v>50</v>
      </c>
      <c r="B77">
        <v>82813576</v>
      </c>
      <c r="C77">
        <v>82813567</v>
      </c>
      <c r="D77">
        <v>81036692</v>
      </c>
      <c r="E77">
        <v>1</v>
      </c>
      <c r="F77">
        <v>1</v>
      </c>
      <c r="G77">
        <v>1</v>
      </c>
      <c r="H77">
        <v>3</v>
      </c>
      <c r="I77" t="s">
        <v>339</v>
      </c>
      <c r="J77" t="s">
        <v>340</v>
      </c>
      <c r="K77" t="s">
        <v>341</v>
      </c>
      <c r="L77">
        <v>1339</v>
      </c>
      <c r="N77">
        <v>1007</v>
      </c>
      <c r="O77" t="s">
        <v>296</v>
      </c>
      <c r="P77" t="s">
        <v>296</v>
      </c>
      <c r="Q77">
        <v>1</v>
      </c>
      <c r="X77">
        <v>2.75</v>
      </c>
      <c r="Y77">
        <v>35.71</v>
      </c>
      <c r="Z77">
        <v>0</v>
      </c>
      <c r="AA77">
        <v>0</v>
      </c>
      <c r="AB77">
        <v>0</v>
      </c>
      <c r="AC77">
        <v>0</v>
      </c>
      <c r="AD77">
        <v>1</v>
      </c>
      <c r="AE77">
        <v>0</v>
      </c>
      <c r="AF77" t="s">
        <v>3</v>
      </c>
      <c r="AG77">
        <v>2.75</v>
      </c>
      <c r="AH77">
        <v>2</v>
      </c>
      <c r="AI77">
        <v>82813576</v>
      </c>
      <c r="AJ77">
        <v>80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</row>
    <row r="78" spans="1:44" x14ac:dyDescent="0.2">
      <c r="A78">
        <f>ROW(Source!A50)</f>
        <v>50</v>
      </c>
      <c r="B78">
        <v>82813577</v>
      </c>
      <c r="C78">
        <v>82813567</v>
      </c>
      <c r="D78">
        <v>81037319</v>
      </c>
      <c r="E78">
        <v>1</v>
      </c>
      <c r="F78">
        <v>1</v>
      </c>
      <c r="G78">
        <v>1</v>
      </c>
      <c r="H78">
        <v>3</v>
      </c>
      <c r="I78" t="s">
        <v>351</v>
      </c>
      <c r="J78" t="s">
        <v>352</v>
      </c>
      <c r="K78" t="s">
        <v>353</v>
      </c>
      <c r="L78">
        <v>1348</v>
      </c>
      <c r="N78">
        <v>1009</v>
      </c>
      <c r="O78" t="s">
        <v>59</v>
      </c>
      <c r="P78" t="s">
        <v>59</v>
      </c>
      <c r="Q78">
        <v>1000</v>
      </c>
      <c r="X78">
        <v>2.0000000000000001E-4</v>
      </c>
      <c r="Y78">
        <v>97282.880000000005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0</v>
      </c>
      <c r="AF78" t="s">
        <v>3</v>
      </c>
      <c r="AG78">
        <v>2.0000000000000001E-4</v>
      </c>
      <c r="AH78">
        <v>2</v>
      </c>
      <c r="AI78">
        <v>82813577</v>
      </c>
      <c r="AJ78">
        <v>81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</row>
    <row r="79" spans="1:44" x14ac:dyDescent="0.2">
      <c r="A79">
        <f>ROW(Source!A50)</f>
        <v>50</v>
      </c>
      <c r="B79">
        <v>82813578</v>
      </c>
      <c r="C79">
        <v>82813567</v>
      </c>
      <c r="D79">
        <v>81040064</v>
      </c>
      <c r="E79">
        <v>1</v>
      </c>
      <c r="F79">
        <v>1</v>
      </c>
      <c r="G79">
        <v>1</v>
      </c>
      <c r="H79">
        <v>3</v>
      </c>
      <c r="I79" t="s">
        <v>354</v>
      </c>
      <c r="J79" t="s">
        <v>355</v>
      </c>
      <c r="K79" t="s">
        <v>356</v>
      </c>
      <c r="L79">
        <v>1346</v>
      </c>
      <c r="N79">
        <v>1009</v>
      </c>
      <c r="O79" t="s">
        <v>93</v>
      </c>
      <c r="P79" t="s">
        <v>93</v>
      </c>
      <c r="Q79">
        <v>1</v>
      </c>
      <c r="X79">
        <v>9.9000000000000008E-3</v>
      </c>
      <c r="Y79">
        <v>59.41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 t="s">
        <v>3</v>
      </c>
      <c r="AG79">
        <v>9.9000000000000008E-3</v>
      </c>
      <c r="AH79">
        <v>2</v>
      </c>
      <c r="AI79">
        <v>82813578</v>
      </c>
      <c r="AJ79">
        <v>82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</row>
    <row r="80" spans="1:44" x14ac:dyDescent="0.2">
      <c r="A80">
        <f>ROW(Source!A50)</f>
        <v>50</v>
      </c>
      <c r="B80">
        <v>82813579</v>
      </c>
      <c r="C80">
        <v>82813567</v>
      </c>
      <c r="D80">
        <v>81040652</v>
      </c>
      <c r="E80">
        <v>1</v>
      </c>
      <c r="F80">
        <v>1</v>
      </c>
      <c r="G80">
        <v>1</v>
      </c>
      <c r="H80">
        <v>3</v>
      </c>
      <c r="I80" t="s">
        <v>365</v>
      </c>
      <c r="J80" t="s">
        <v>366</v>
      </c>
      <c r="K80" t="s">
        <v>367</v>
      </c>
      <c r="L80">
        <v>1339</v>
      </c>
      <c r="N80">
        <v>1007</v>
      </c>
      <c r="O80" t="s">
        <v>296</v>
      </c>
      <c r="P80" t="s">
        <v>296</v>
      </c>
      <c r="Q80">
        <v>1</v>
      </c>
      <c r="X80">
        <v>8.0000000000000002E-3</v>
      </c>
      <c r="Y80">
        <v>4033.62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0</v>
      </c>
      <c r="AF80" t="s">
        <v>3</v>
      </c>
      <c r="AG80">
        <v>8.0000000000000002E-3</v>
      </c>
      <c r="AH80">
        <v>2</v>
      </c>
      <c r="AI80">
        <v>82813579</v>
      </c>
      <c r="AJ80">
        <v>83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</row>
    <row r="81" spans="1:44" x14ac:dyDescent="0.2">
      <c r="A81">
        <f>ROW(Source!A50)</f>
        <v>50</v>
      </c>
      <c r="B81">
        <v>82813580</v>
      </c>
      <c r="C81">
        <v>82813567</v>
      </c>
      <c r="D81">
        <v>80965317</v>
      </c>
      <c r="E81">
        <v>118</v>
      </c>
      <c r="F81">
        <v>1</v>
      </c>
      <c r="G81">
        <v>1</v>
      </c>
      <c r="H81">
        <v>3</v>
      </c>
      <c r="I81" t="s">
        <v>91</v>
      </c>
      <c r="J81" t="s">
        <v>3</v>
      </c>
      <c r="K81" t="s">
        <v>92</v>
      </c>
      <c r="L81">
        <v>1346</v>
      </c>
      <c r="N81">
        <v>1009</v>
      </c>
      <c r="O81" t="s">
        <v>93</v>
      </c>
      <c r="P81" t="s">
        <v>93</v>
      </c>
      <c r="Q81">
        <v>1</v>
      </c>
      <c r="X81">
        <v>0</v>
      </c>
      <c r="Y81">
        <v>0</v>
      </c>
      <c r="Z81">
        <v>0</v>
      </c>
      <c r="AA81">
        <v>0</v>
      </c>
      <c r="AB81">
        <v>0</v>
      </c>
      <c r="AC81">
        <v>1</v>
      </c>
      <c r="AD81">
        <v>0</v>
      </c>
      <c r="AE81">
        <v>0</v>
      </c>
      <c r="AF81" t="s">
        <v>3</v>
      </c>
      <c r="AG81">
        <v>0</v>
      </c>
      <c r="AH81">
        <v>2</v>
      </c>
      <c r="AI81">
        <v>82813580</v>
      </c>
      <c r="AJ81">
        <v>84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</row>
    <row r="82" spans="1:44" x14ac:dyDescent="0.2">
      <c r="A82">
        <f>ROW(Source!A50)</f>
        <v>50</v>
      </c>
      <c r="B82">
        <v>82813581</v>
      </c>
      <c r="C82">
        <v>82813567</v>
      </c>
      <c r="D82">
        <v>80965540</v>
      </c>
      <c r="E82">
        <v>118</v>
      </c>
      <c r="F82">
        <v>1</v>
      </c>
      <c r="G82">
        <v>1</v>
      </c>
      <c r="H82">
        <v>3</v>
      </c>
      <c r="I82" t="s">
        <v>117</v>
      </c>
      <c r="J82" t="s">
        <v>3</v>
      </c>
      <c r="K82" t="s">
        <v>90</v>
      </c>
      <c r="L82">
        <v>1301</v>
      </c>
      <c r="N82">
        <v>1003</v>
      </c>
      <c r="O82" t="s">
        <v>72</v>
      </c>
      <c r="P82" t="s">
        <v>72</v>
      </c>
      <c r="Q82">
        <v>1</v>
      </c>
      <c r="X82">
        <v>100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 t="s">
        <v>3</v>
      </c>
      <c r="AG82">
        <v>100</v>
      </c>
      <c r="AH82">
        <v>2</v>
      </c>
      <c r="AI82">
        <v>82813581</v>
      </c>
      <c r="AJ82">
        <v>85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</row>
    <row r="83" spans="1:44" x14ac:dyDescent="0.2">
      <c r="A83">
        <f>ROW(Source!A53)</f>
        <v>53</v>
      </c>
      <c r="B83">
        <v>82813657</v>
      </c>
      <c r="C83">
        <v>82813644</v>
      </c>
      <c r="D83">
        <v>80960080</v>
      </c>
      <c r="E83">
        <v>118</v>
      </c>
      <c r="F83">
        <v>1</v>
      </c>
      <c r="G83">
        <v>1</v>
      </c>
      <c r="H83">
        <v>1</v>
      </c>
      <c r="I83" t="s">
        <v>368</v>
      </c>
      <c r="J83" t="s">
        <v>3</v>
      </c>
      <c r="K83" t="s">
        <v>369</v>
      </c>
      <c r="L83">
        <v>1369</v>
      </c>
      <c r="N83">
        <v>1013</v>
      </c>
      <c r="O83" t="s">
        <v>370</v>
      </c>
      <c r="P83" t="s">
        <v>370</v>
      </c>
      <c r="Q83">
        <v>1</v>
      </c>
      <c r="X83">
        <v>0.02</v>
      </c>
      <c r="Y83">
        <v>0</v>
      </c>
      <c r="Z83">
        <v>0</v>
      </c>
      <c r="AA83">
        <v>0</v>
      </c>
      <c r="AB83">
        <v>545.58000000000004</v>
      </c>
      <c r="AC83">
        <v>0</v>
      </c>
      <c r="AD83">
        <v>1</v>
      </c>
      <c r="AE83">
        <v>1</v>
      </c>
      <c r="AF83" t="s">
        <v>3</v>
      </c>
      <c r="AG83">
        <v>0.02</v>
      </c>
      <c r="AH83">
        <v>2</v>
      </c>
      <c r="AI83">
        <v>82813657</v>
      </c>
      <c r="AJ83">
        <v>86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</row>
    <row r="84" spans="1:44" x14ac:dyDescent="0.2">
      <c r="A84">
        <f>ROW(Source!A53)</f>
        <v>53</v>
      </c>
      <c r="B84">
        <v>82813658</v>
      </c>
      <c r="C84">
        <v>82813644</v>
      </c>
      <c r="D84">
        <v>80960084</v>
      </c>
      <c r="E84">
        <v>118</v>
      </c>
      <c r="F84">
        <v>1</v>
      </c>
      <c r="G84">
        <v>1</v>
      </c>
      <c r="H84">
        <v>1</v>
      </c>
      <c r="I84" t="s">
        <v>371</v>
      </c>
      <c r="J84" t="s">
        <v>3</v>
      </c>
      <c r="K84" t="s">
        <v>372</v>
      </c>
      <c r="L84">
        <v>1369</v>
      </c>
      <c r="N84">
        <v>1013</v>
      </c>
      <c r="O84" t="s">
        <v>370</v>
      </c>
      <c r="P84" t="s">
        <v>370</v>
      </c>
      <c r="Q84">
        <v>1</v>
      </c>
      <c r="X84">
        <v>6.18</v>
      </c>
      <c r="Y84">
        <v>0</v>
      </c>
      <c r="Z84">
        <v>0</v>
      </c>
      <c r="AA84">
        <v>0</v>
      </c>
      <c r="AB84">
        <v>649.24</v>
      </c>
      <c r="AC84">
        <v>0</v>
      </c>
      <c r="AD84">
        <v>1</v>
      </c>
      <c r="AE84">
        <v>1</v>
      </c>
      <c r="AF84" t="s">
        <v>3</v>
      </c>
      <c r="AG84">
        <v>6.18</v>
      </c>
      <c r="AH84">
        <v>2</v>
      </c>
      <c r="AI84">
        <v>82813658</v>
      </c>
      <c r="AJ84">
        <v>87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</row>
    <row r="85" spans="1:44" x14ac:dyDescent="0.2">
      <c r="A85">
        <f>ROW(Source!A53)</f>
        <v>53</v>
      </c>
      <c r="B85">
        <v>82813659</v>
      </c>
      <c r="C85">
        <v>82813644</v>
      </c>
      <c r="D85">
        <v>80960086</v>
      </c>
      <c r="E85">
        <v>118</v>
      </c>
      <c r="F85">
        <v>1</v>
      </c>
      <c r="G85">
        <v>1</v>
      </c>
      <c r="H85">
        <v>1</v>
      </c>
      <c r="I85" t="s">
        <v>373</v>
      </c>
      <c r="J85" t="s">
        <v>3</v>
      </c>
      <c r="K85" t="s">
        <v>374</v>
      </c>
      <c r="L85">
        <v>1369</v>
      </c>
      <c r="N85">
        <v>1013</v>
      </c>
      <c r="O85" t="s">
        <v>370</v>
      </c>
      <c r="P85" t="s">
        <v>370</v>
      </c>
      <c r="Q85">
        <v>1</v>
      </c>
      <c r="X85">
        <v>1.44</v>
      </c>
      <c r="Y85">
        <v>0</v>
      </c>
      <c r="Z85">
        <v>0</v>
      </c>
      <c r="AA85">
        <v>0</v>
      </c>
      <c r="AB85">
        <v>731.08</v>
      </c>
      <c r="AC85">
        <v>0</v>
      </c>
      <c r="AD85">
        <v>1</v>
      </c>
      <c r="AE85">
        <v>1</v>
      </c>
      <c r="AF85" t="s">
        <v>3</v>
      </c>
      <c r="AG85">
        <v>1.44</v>
      </c>
      <c r="AH85">
        <v>2</v>
      </c>
      <c r="AI85">
        <v>82813659</v>
      </c>
      <c r="AJ85">
        <v>88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</row>
    <row r="86" spans="1:44" x14ac:dyDescent="0.2">
      <c r="A86">
        <f>ROW(Source!A53)</f>
        <v>53</v>
      </c>
      <c r="B86">
        <v>82813660</v>
      </c>
      <c r="C86">
        <v>82813644</v>
      </c>
      <c r="D86">
        <v>80960088</v>
      </c>
      <c r="E86">
        <v>118</v>
      </c>
      <c r="F86">
        <v>1</v>
      </c>
      <c r="G86">
        <v>1</v>
      </c>
      <c r="H86">
        <v>1</v>
      </c>
      <c r="I86" t="s">
        <v>375</v>
      </c>
      <c r="J86" t="s">
        <v>3</v>
      </c>
      <c r="K86" t="s">
        <v>376</v>
      </c>
      <c r="L86">
        <v>1369</v>
      </c>
      <c r="N86">
        <v>1013</v>
      </c>
      <c r="O86" t="s">
        <v>370</v>
      </c>
      <c r="P86" t="s">
        <v>370</v>
      </c>
      <c r="Q86">
        <v>1</v>
      </c>
      <c r="X86">
        <v>7.58</v>
      </c>
      <c r="Y86">
        <v>0</v>
      </c>
      <c r="Z86">
        <v>0</v>
      </c>
      <c r="AA86">
        <v>0</v>
      </c>
      <c r="AB86">
        <v>840.19</v>
      </c>
      <c r="AC86">
        <v>0</v>
      </c>
      <c r="AD86">
        <v>1</v>
      </c>
      <c r="AE86">
        <v>1</v>
      </c>
      <c r="AF86" t="s">
        <v>3</v>
      </c>
      <c r="AG86">
        <v>7.58</v>
      </c>
      <c r="AH86">
        <v>2</v>
      </c>
      <c r="AI86">
        <v>82813660</v>
      </c>
      <c r="AJ86">
        <v>89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</row>
    <row r="87" spans="1:44" x14ac:dyDescent="0.2">
      <c r="A87">
        <f>ROW(Source!A53)</f>
        <v>53</v>
      </c>
      <c r="B87">
        <v>82813661</v>
      </c>
      <c r="C87">
        <v>82813644</v>
      </c>
      <c r="D87">
        <v>80960127</v>
      </c>
      <c r="E87">
        <v>118</v>
      </c>
      <c r="F87">
        <v>1</v>
      </c>
      <c r="G87">
        <v>1</v>
      </c>
      <c r="H87">
        <v>1</v>
      </c>
      <c r="I87" t="s">
        <v>302</v>
      </c>
      <c r="J87" t="s">
        <v>3</v>
      </c>
      <c r="K87" t="s">
        <v>303</v>
      </c>
      <c r="L87">
        <v>1191</v>
      </c>
      <c r="N87">
        <v>1013</v>
      </c>
      <c r="O87" t="s">
        <v>288</v>
      </c>
      <c r="P87" t="s">
        <v>288</v>
      </c>
      <c r="Q87">
        <v>1</v>
      </c>
      <c r="X87">
        <v>7.37</v>
      </c>
      <c r="Y87">
        <v>0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2</v>
      </c>
      <c r="AF87" t="s">
        <v>3</v>
      </c>
      <c r="AG87">
        <v>7.37</v>
      </c>
      <c r="AH87">
        <v>2</v>
      </c>
      <c r="AI87">
        <v>82813661</v>
      </c>
      <c r="AJ87">
        <v>90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</row>
    <row r="88" spans="1:44" x14ac:dyDescent="0.2">
      <c r="A88">
        <f>ROW(Source!A53)</f>
        <v>53</v>
      </c>
      <c r="B88">
        <v>82813662</v>
      </c>
      <c r="C88">
        <v>82813644</v>
      </c>
      <c r="D88">
        <v>81087487</v>
      </c>
      <c r="E88">
        <v>1</v>
      </c>
      <c r="F88">
        <v>1</v>
      </c>
      <c r="G88">
        <v>1</v>
      </c>
      <c r="H88">
        <v>2</v>
      </c>
      <c r="I88" t="s">
        <v>308</v>
      </c>
      <c r="J88" t="s">
        <v>309</v>
      </c>
      <c r="K88" t="s">
        <v>310</v>
      </c>
      <c r="L88">
        <v>1368</v>
      </c>
      <c r="N88">
        <v>1011</v>
      </c>
      <c r="O88" t="s">
        <v>292</v>
      </c>
      <c r="P88" t="s">
        <v>292</v>
      </c>
      <c r="Q88">
        <v>1</v>
      </c>
      <c r="X88">
        <v>0.01</v>
      </c>
      <c r="Y88">
        <v>0</v>
      </c>
      <c r="Z88">
        <v>544.91999999999996</v>
      </c>
      <c r="AA88">
        <v>731.08</v>
      </c>
      <c r="AB88">
        <v>0</v>
      </c>
      <c r="AC88">
        <v>0</v>
      </c>
      <c r="AD88">
        <v>1</v>
      </c>
      <c r="AE88">
        <v>0</v>
      </c>
      <c r="AF88" t="s">
        <v>3</v>
      </c>
      <c r="AG88">
        <v>0.01</v>
      </c>
      <c r="AH88">
        <v>2</v>
      </c>
      <c r="AI88">
        <v>82813662</v>
      </c>
      <c r="AJ88">
        <v>91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</row>
    <row r="89" spans="1:44" x14ac:dyDescent="0.2">
      <c r="A89">
        <f>ROW(Source!A53)</f>
        <v>53</v>
      </c>
      <c r="B89">
        <v>82813663</v>
      </c>
      <c r="C89">
        <v>82813644</v>
      </c>
      <c r="D89">
        <v>81087641</v>
      </c>
      <c r="E89">
        <v>1</v>
      </c>
      <c r="F89">
        <v>1</v>
      </c>
      <c r="G89">
        <v>1</v>
      </c>
      <c r="H89">
        <v>2</v>
      </c>
      <c r="I89" t="s">
        <v>377</v>
      </c>
      <c r="J89" t="s">
        <v>378</v>
      </c>
      <c r="K89" t="s">
        <v>379</v>
      </c>
      <c r="L89">
        <v>1368</v>
      </c>
      <c r="N89">
        <v>1011</v>
      </c>
      <c r="O89" t="s">
        <v>292</v>
      </c>
      <c r="P89" t="s">
        <v>292</v>
      </c>
      <c r="Q89">
        <v>1</v>
      </c>
      <c r="X89">
        <v>7.36</v>
      </c>
      <c r="Y89">
        <v>0</v>
      </c>
      <c r="Z89">
        <v>1069.08</v>
      </c>
      <c r="AA89">
        <v>840.19</v>
      </c>
      <c r="AB89">
        <v>0</v>
      </c>
      <c r="AC89">
        <v>0</v>
      </c>
      <c r="AD89">
        <v>1</v>
      </c>
      <c r="AE89">
        <v>0</v>
      </c>
      <c r="AF89" t="s">
        <v>3</v>
      </c>
      <c r="AG89">
        <v>7.36</v>
      </c>
      <c r="AH89">
        <v>2</v>
      </c>
      <c r="AI89">
        <v>82813663</v>
      </c>
      <c r="AJ89">
        <v>92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</row>
    <row r="90" spans="1:44" x14ac:dyDescent="0.2">
      <c r="A90">
        <f>ROW(Source!A53)</f>
        <v>53</v>
      </c>
      <c r="B90">
        <v>82813664</v>
      </c>
      <c r="C90">
        <v>82813644</v>
      </c>
      <c r="D90">
        <v>81036704</v>
      </c>
      <c r="E90">
        <v>1</v>
      </c>
      <c r="F90">
        <v>1</v>
      </c>
      <c r="G90">
        <v>1</v>
      </c>
      <c r="H90">
        <v>3</v>
      </c>
      <c r="I90" t="s">
        <v>330</v>
      </c>
      <c r="J90" t="s">
        <v>331</v>
      </c>
      <c r="K90" t="s">
        <v>332</v>
      </c>
      <c r="L90">
        <v>1383</v>
      </c>
      <c r="N90">
        <v>1013</v>
      </c>
      <c r="O90" t="s">
        <v>333</v>
      </c>
      <c r="P90" t="s">
        <v>333</v>
      </c>
      <c r="Q90">
        <v>1</v>
      </c>
      <c r="X90">
        <v>3.4319999999999999</v>
      </c>
      <c r="Y90">
        <v>6.92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0</v>
      </c>
      <c r="AF90" t="s">
        <v>3</v>
      </c>
      <c r="AG90">
        <v>3.4319999999999999</v>
      </c>
      <c r="AH90">
        <v>2</v>
      </c>
      <c r="AI90">
        <v>82813664</v>
      </c>
      <c r="AJ90">
        <v>93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</row>
    <row r="91" spans="1:44" x14ac:dyDescent="0.2">
      <c r="A91">
        <f>ROW(Source!A53)</f>
        <v>53</v>
      </c>
      <c r="B91">
        <v>82813665</v>
      </c>
      <c r="C91">
        <v>82813644</v>
      </c>
      <c r="D91">
        <v>81037387</v>
      </c>
      <c r="E91">
        <v>1</v>
      </c>
      <c r="F91">
        <v>1</v>
      </c>
      <c r="G91">
        <v>1</v>
      </c>
      <c r="H91">
        <v>3</v>
      </c>
      <c r="I91" t="s">
        <v>381</v>
      </c>
      <c r="J91" t="s">
        <v>382</v>
      </c>
      <c r="K91" t="s">
        <v>383</v>
      </c>
      <c r="L91">
        <v>1346</v>
      </c>
      <c r="N91">
        <v>1009</v>
      </c>
      <c r="O91" t="s">
        <v>93</v>
      </c>
      <c r="P91" t="s">
        <v>93</v>
      </c>
      <c r="Q91">
        <v>1</v>
      </c>
      <c r="X91">
        <v>2.2000000000000002</v>
      </c>
      <c r="Y91">
        <v>187.01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0</v>
      </c>
      <c r="AF91" t="s">
        <v>3</v>
      </c>
      <c r="AG91">
        <v>2.2000000000000002</v>
      </c>
      <c r="AH91">
        <v>2</v>
      </c>
      <c r="AI91">
        <v>82813665</v>
      </c>
      <c r="AJ91">
        <v>94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</row>
    <row r="92" spans="1:44" x14ac:dyDescent="0.2">
      <c r="A92">
        <f>ROW(Source!A53)</f>
        <v>53</v>
      </c>
      <c r="B92">
        <v>82813666</v>
      </c>
      <c r="C92">
        <v>82813644</v>
      </c>
      <c r="D92">
        <v>81038698</v>
      </c>
      <c r="E92">
        <v>1</v>
      </c>
      <c r="F92">
        <v>1</v>
      </c>
      <c r="G92">
        <v>1</v>
      </c>
      <c r="H92">
        <v>3</v>
      </c>
      <c r="I92" t="s">
        <v>384</v>
      </c>
      <c r="J92" t="s">
        <v>385</v>
      </c>
      <c r="K92" t="s">
        <v>386</v>
      </c>
      <c r="L92">
        <v>1371</v>
      </c>
      <c r="N92">
        <v>1013</v>
      </c>
      <c r="O92" t="s">
        <v>30</v>
      </c>
      <c r="P92" t="s">
        <v>30</v>
      </c>
      <c r="Q92">
        <v>1</v>
      </c>
      <c r="X92">
        <v>0.24</v>
      </c>
      <c r="Y92">
        <v>101.12</v>
      </c>
      <c r="Z92">
        <v>0</v>
      </c>
      <c r="AA92">
        <v>0</v>
      </c>
      <c r="AB92">
        <v>0</v>
      </c>
      <c r="AC92">
        <v>0</v>
      </c>
      <c r="AD92">
        <v>1</v>
      </c>
      <c r="AE92">
        <v>0</v>
      </c>
      <c r="AF92" t="s">
        <v>3</v>
      </c>
      <c r="AG92">
        <v>0.24</v>
      </c>
      <c r="AH92">
        <v>2</v>
      </c>
      <c r="AI92">
        <v>82813666</v>
      </c>
      <c r="AJ92">
        <v>95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</row>
    <row r="93" spans="1:44" x14ac:dyDescent="0.2">
      <c r="A93">
        <f>ROW(Source!A53)</f>
        <v>53</v>
      </c>
      <c r="B93">
        <v>82813667</v>
      </c>
      <c r="C93">
        <v>82813644</v>
      </c>
      <c r="D93">
        <v>80965632</v>
      </c>
      <c r="E93">
        <v>118</v>
      </c>
      <c r="F93">
        <v>1</v>
      </c>
      <c r="G93">
        <v>1</v>
      </c>
      <c r="H93">
        <v>3</v>
      </c>
      <c r="I93" t="s">
        <v>126</v>
      </c>
      <c r="J93" t="s">
        <v>3</v>
      </c>
      <c r="K93" t="s">
        <v>127</v>
      </c>
      <c r="L93">
        <v>1371</v>
      </c>
      <c r="N93">
        <v>1013</v>
      </c>
      <c r="O93" t="s">
        <v>30</v>
      </c>
      <c r="P93" t="s">
        <v>30</v>
      </c>
      <c r="Q93">
        <v>1</v>
      </c>
      <c r="X93">
        <v>10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 t="s">
        <v>3</v>
      </c>
      <c r="AG93">
        <v>10</v>
      </c>
      <c r="AH93">
        <v>2</v>
      </c>
      <c r="AI93">
        <v>82813667</v>
      </c>
      <c r="AJ93">
        <v>96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</row>
    <row r="94" spans="1:44" x14ac:dyDescent="0.2">
      <c r="A94">
        <f>ROW(Source!A55)</f>
        <v>55</v>
      </c>
      <c r="B94">
        <v>82813682</v>
      </c>
      <c r="C94">
        <v>82813681</v>
      </c>
      <c r="D94">
        <v>80959938</v>
      </c>
      <c r="E94">
        <v>118</v>
      </c>
      <c r="F94">
        <v>1</v>
      </c>
      <c r="G94">
        <v>1</v>
      </c>
      <c r="H94">
        <v>1</v>
      </c>
      <c r="I94" t="s">
        <v>387</v>
      </c>
      <c r="J94" t="s">
        <v>3</v>
      </c>
      <c r="K94" t="s">
        <v>388</v>
      </c>
      <c r="L94">
        <v>1191</v>
      </c>
      <c r="N94">
        <v>1013</v>
      </c>
      <c r="O94" t="s">
        <v>288</v>
      </c>
      <c r="P94" t="s">
        <v>288</v>
      </c>
      <c r="Q94">
        <v>1</v>
      </c>
      <c r="X94">
        <v>1.47</v>
      </c>
      <c r="Y94">
        <v>0</v>
      </c>
      <c r="Z94">
        <v>0</v>
      </c>
      <c r="AA94">
        <v>0</v>
      </c>
      <c r="AB94">
        <v>690.16</v>
      </c>
      <c r="AC94">
        <v>0</v>
      </c>
      <c r="AD94">
        <v>1</v>
      </c>
      <c r="AE94">
        <v>1</v>
      </c>
      <c r="AF94" t="s">
        <v>33</v>
      </c>
      <c r="AG94">
        <v>2.2821750000000001</v>
      </c>
      <c r="AH94">
        <v>2</v>
      </c>
      <c r="AI94">
        <v>82813682</v>
      </c>
      <c r="AJ94">
        <v>97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</row>
    <row r="95" spans="1:44" x14ac:dyDescent="0.2">
      <c r="A95">
        <f>ROW(Source!A55)</f>
        <v>55</v>
      </c>
      <c r="B95">
        <v>82813683</v>
      </c>
      <c r="C95">
        <v>82813681</v>
      </c>
      <c r="D95">
        <v>80960127</v>
      </c>
      <c r="E95">
        <v>118</v>
      </c>
      <c r="F95">
        <v>1</v>
      </c>
      <c r="G95">
        <v>1</v>
      </c>
      <c r="H95">
        <v>1</v>
      </c>
      <c r="I95" t="s">
        <v>302</v>
      </c>
      <c r="J95" t="s">
        <v>3</v>
      </c>
      <c r="K95" t="s">
        <v>303</v>
      </c>
      <c r="L95">
        <v>1191</v>
      </c>
      <c r="N95">
        <v>1013</v>
      </c>
      <c r="O95" t="s">
        <v>288</v>
      </c>
      <c r="P95" t="s">
        <v>288</v>
      </c>
      <c r="Q95">
        <v>1</v>
      </c>
      <c r="X95">
        <v>0.02</v>
      </c>
      <c r="Y95">
        <v>0</v>
      </c>
      <c r="Z95">
        <v>0</v>
      </c>
      <c r="AA95">
        <v>0</v>
      </c>
      <c r="AB95">
        <v>0</v>
      </c>
      <c r="AC95">
        <v>0</v>
      </c>
      <c r="AD95">
        <v>1</v>
      </c>
      <c r="AE95">
        <v>2</v>
      </c>
      <c r="AF95" t="s">
        <v>32</v>
      </c>
      <c r="AG95">
        <v>3.3750000000000002E-2</v>
      </c>
      <c r="AH95">
        <v>2</v>
      </c>
      <c r="AI95">
        <v>82813683</v>
      </c>
      <c r="AJ95">
        <v>98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</row>
    <row r="96" spans="1:44" x14ac:dyDescent="0.2">
      <c r="A96">
        <f>ROW(Source!A55)</f>
        <v>55</v>
      </c>
      <c r="B96">
        <v>82813684</v>
      </c>
      <c r="C96">
        <v>82813681</v>
      </c>
      <c r="D96">
        <v>81087487</v>
      </c>
      <c r="E96">
        <v>1</v>
      </c>
      <c r="F96">
        <v>1</v>
      </c>
      <c r="G96">
        <v>1</v>
      </c>
      <c r="H96">
        <v>2</v>
      </c>
      <c r="I96" t="s">
        <v>308</v>
      </c>
      <c r="J96" t="s">
        <v>309</v>
      </c>
      <c r="K96" t="s">
        <v>310</v>
      </c>
      <c r="L96">
        <v>1368</v>
      </c>
      <c r="N96">
        <v>1011</v>
      </c>
      <c r="O96" t="s">
        <v>292</v>
      </c>
      <c r="P96" t="s">
        <v>292</v>
      </c>
      <c r="Q96">
        <v>1</v>
      </c>
      <c r="X96">
        <v>0.02</v>
      </c>
      <c r="Y96">
        <v>0</v>
      </c>
      <c r="Z96">
        <v>544.91999999999996</v>
      </c>
      <c r="AA96">
        <v>731.08</v>
      </c>
      <c r="AB96">
        <v>0</v>
      </c>
      <c r="AC96">
        <v>0</v>
      </c>
      <c r="AD96">
        <v>1</v>
      </c>
      <c r="AE96">
        <v>0</v>
      </c>
      <c r="AF96" t="s">
        <v>32</v>
      </c>
      <c r="AG96">
        <v>3.3750000000000002E-2</v>
      </c>
      <c r="AH96">
        <v>2</v>
      </c>
      <c r="AI96">
        <v>82813684</v>
      </c>
      <c r="AJ96">
        <v>99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</row>
    <row r="97" spans="1:44" x14ac:dyDescent="0.2">
      <c r="A97">
        <f>ROW(Source!A55)</f>
        <v>55</v>
      </c>
      <c r="B97">
        <v>82813685</v>
      </c>
      <c r="C97">
        <v>82813681</v>
      </c>
      <c r="D97">
        <v>81087684</v>
      </c>
      <c r="E97">
        <v>1</v>
      </c>
      <c r="F97">
        <v>1</v>
      </c>
      <c r="G97">
        <v>1</v>
      </c>
      <c r="H97">
        <v>2</v>
      </c>
      <c r="I97" t="s">
        <v>312</v>
      </c>
      <c r="J97" t="s">
        <v>313</v>
      </c>
      <c r="K97" t="s">
        <v>314</v>
      </c>
      <c r="L97">
        <v>1368</v>
      </c>
      <c r="N97">
        <v>1011</v>
      </c>
      <c r="O97" t="s">
        <v>292</v>
      </c>
      <c r="P97" t="s">
        <v>292</v>
      </c>
      <c r="Q97">
        <v>1</v>
      </c>
      <c r="X97">
        <v>0.35</v>
      </c>
      <c r="Y97">
        <v>0</v>
      </c>
      <c r="Z97">
        <v>32.24</v>
      </c>
      <c r="AA97">
        <v>0</v>
      </c>
      <c r="AB97">
        <v>0</v>
      </c>
      <c r="AC97">
        <v>0</v>
      </c>
      <c r="AD97">
        <v>1</v>
      </c>
      <c r="AE97">
        <v>0</v>
      </c>
      <c r="AF97" t="s">
        <v>32</v>
      </c>
      <c r="AG97">
        <v>0.59062499999999996</v>
      </c>
      <c r="AH97">
        <v>2</v>
      </c>
      <c r="AI97">
        <v>82813685</v>
      </c>
      <c r="AJ97">
        <v>100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</row>
    <row r="98" spans="1:44" x14ac:dyDescent="0.2">
      <c r="A98">
        <f>ROW(Source!A55)</f>
        <v>55</v>
      </c>
      <c r="B98">
        <v>82813686</v>
      </c>
      <c r="C98">
        <v>82813681</v>
      </c>
      <c r="D98">
        <v>81034499</v>
      </c>
      <c r="E98">
        <v>1</v>
      </c>
      <c r="F98">
        <v>1</v>
      </c>
      <c r="G98">
        <v>1</v>
      </c>
      <c r="H98">
        <v>3</v>
      </c>
      <c r="I98" t="s">
        <v>315</v>
      </c>
      <c r="J98" t="s">
        <v>316</v>
      </c>
      <c r="K98" t="s">
        <v>317</v>
      </c>
      <c r="L98">
        <v>1407</v>
      </c>
      <c r="N98">
        <v>1013</v>
      </c>
      <c r="O98" t="s">
        <v>318</v>
      </c>
      <c r="P98" t="s">
        <v>318</v>
      </c>
      <c r="Q98">
        <v>1</v>
      </c>
      <c r="X98">
        <v>2E-3</v>
      </c>
      <c r="Y98">
        <v>7023.63</v>
      </c>
      <c r="Z98">
        <v>0</v>
      </c>
      <c r="AA98">
        <v>0</v>
      </c>
      <c r="AB98">
        <v>0</v>
      </c>
      <c r="AC98">
        <v>0</v>
      </c>
      <c r="AD98">
        <v>1</v>
      </c>
      <c r="AE98">
        <v>0</v>
      </c>
      <c r="AF98" t="s">
        <v>3</v>
      </c>
      <c r="AG98">
        <v>2E-3</v>
      </c>
      <c r="AH98">
        <v>2</v>
      </c>
      <c r="AI98">
        <v>82813686</v>
      </c>
      <c r="AJ98">
        <v>101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</row>
    <row r="99" spans="1:44" x14ac:dyDescent="0.2">
      <c r="A99">
        <f>ROW(Source!A55)</f>
        <v>55</v>
      </c>
      <c r="B99">
        <v>82813687</v>
      </c>
      <c r="C99">
        <v>82813681</v>
      </c>
      <c r="D99">
        <v>81037446</v>
      </c>
      <c r="E99">
        <v>1</v>
      </c>
      <c r="F99">
        <v>1</v>
      </c>
      <c r="G99">
        <v>1</v>
      </c>
      <c r="H99">
        <v>3</v>
      </c>
      <c r="I99" t="s">
        <v>319</v>
      </c>
      <c r="J99" t="s">
        <v>320</v>
      </c>
      <c r="K99" t="s">
        <v>321</v>
      </c>
      <c r="L99">
        <v>1346</v>
      </c>
      <c r="N99">
        <v>1009</v>
      </c>
      <c r="O99" t="s">
        <v>93</v>
      </c>
      <c r="P99" t="s">
        <v>93</v>
      </c>
      <c r="Q99">
        <v>1</v>
      </c>
      <c r="X99">
        <v>0.14000000000000001</v>
      </c>
      <c r="Y99">
        <v>155.63</v>
      </c>
      <c r="Z99">
        <v>0</v>
      </c>
      <c r="AA99">
        <v>0</v>
      </c>
      <c r="AB99">
        <v>0</v>
      </c>
      <c r="AC99">
        <v>0</v>
      </c>
      <c r="AD99">
        <v>1</v>
      </c>
      <c r="AE99">
        <v>0</v>
      </c>
      <c r="AF99" t="s">
        <v>3</v>
      </c>
      <c r="AG99">
        <v>0.14000000000000001</v>
      </c>
      <c r="AH99">
        <v>2</v>
      </c>
      <c r="AI99">
        <v>82813687</v>
      </c>
      <c r="AJ99">
        <v>102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</row>
    <row r="100" spans="1:44" x14ac:dyDescent="0.2">
      <c r="A100">
        <f>ROW(Source!A55)</f>
        <v>55</v>
      </c>
      <c r="B100">
        <v>82813688</v>
      </c>
      <c r="C100">
        <v>82813681</v>
      </c>
      <c r="D100">
        <v>81038182</v>
      </c>
      <c r="E100">
        <v>1</v>
      </c>
      <c r="F100">
        <v>1</v>
      </c>
      <c r="G100">
        <v>1</v>
      </c>
      <c r="H100">
        <v>3</v>
      </c>
      <c r="I100" t="s">
        <v>322</v>
      </c>
      <c r="J100" t="s">
        <v>323</v>
      </c>
      <c r="K100" t="s">
        <v>324</v>
      </c>
      <c r="L100">
        <v>1348</v>
      </c>
      <c r="N100">
        <v>1009</v>
      </c>
      <c r="O100" t="s">
        <v>59</v>
      </c>
      <c r="P100" t="s">
        <v>59</v>
      </c>
      <c r="Q100">
        <v>1000</v>
      </c>
      <c r="X100">
        <v>1.1000000000000001E-3</v>
      </c>
      <c r="Y100">
        <v>145801.49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 t="s">
        <v>3</v>
      </c>
      <c r="AG100">
        <v>1.1000000000000001E-3</v>
      </c>
      <c r="AH100">
        <v>2</v>
      </c>
      <c r="AI100">
        <v>82813688</v>
      </c>
      <c r="AJ100">
        <v>103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</row>
    <row r="101" spans="1:44" x14ac:dyDescent="0.2">
      <c r="A101">
        <f>ROW(Source!A55)</f>
        <v>55</v>
      </c>
      <c r="B101">
        <v>82813689</v>
      </c>
      <c r="C101">
        <v>82813681</v>
      </c>
      <c r="D101">
        <v>80964454</v>
      </c>
      <c r="E101">
        <v>118</v>
      </c>
      <c r="F101">
        <v>1</v>
      </c>
      <c r="G101">
        <v>1</v>
      </c>
      <c r="H101">
        <v>3</v>
      </c>
      <c r="I101" t="s">
        <v>44</v>
      </c>
      <c r="J101" t="s">
        <v>3</v>
      </c>
      <c r="K101" t="s">
        <v>45</v>
      </c>
      <c r="L101">
        <v>1371</v>
      </c>
      <c r="N101">
        <v>1013</v>
      </c>
      <c r="O101" t="s">
        <v>30</v>
      </c>
      <c r="P101" t="s">
        <v>30</v>
      </c>
      <c r="Q101">
        <v>1</v>
      </c>
      <c r="X101">
        <v>1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 t="s">
        <v>3</v>
      </c>
      <c r="AG101">
        <v>1</v>
      </c>
      <c r="AH101">
        <v>2</v>
      </c>
      <c r="AI101">
        <v>82813689</v>
      </c>
      <c r="AJ101">
        <v>104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</row>
    <row r="102" spans="1:44" x14ac:dyDescent="0.2">
      <c r="A102">
        <f>ROW(Source!A55)</f>
        <v>55</v>
      </c>
      <c r="B102">
        <v>82813690</v>
      </c>
      <c r="C102">
        <v>82813681</v>
      </c>
      <c r="D102">
        <v>80965601</v>
      </c>
      <c r="E102">
        <v>118</v>
      </c>
      <c r="F102">
        <v>1</v>
      </c>
      <c r="G102">
        <v>1</v>
      </c>
      <c r="H102">
        <v>3</v>
      </c>
      <c r="I102" t="s">
        <v>47</v>
      </c>
      <c r="J102" t="s">
        <v>3</v>
      </c>
      <c r="K102" t="s">
        <v>48</v>
      </c>
      <c r="L102">
        <v>1371</v>
      </c>
      <c r="N102">
        <v>1013</v>
      </c>
      <c r="O102" t="s">
        <v>30</v>
      </c>
      <c r="P102" t="s">
        <v>30</v>
      </c>
      <c r="Q102">
        <v>1</v>
      </c>
      <c r="X102">
        <v>2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 t="s">
        <v>3</v>
      </c>
      <c r="AG102">
        <v>2</v>
      </c>
      <c r="AH102">
        <v>2</v>
      </c>
      <c r="AI102">
        <v>82813690</v>
      </c>
      <c r="AJ102">
        <v>106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</row>
    <row r="103" spans="1:44" x14ac:dyDescent="0.2">
      <c r="A103">
        <f>ROW(Source!A60)</f>
        <v>60</v>
      </c>
      <c r="B103">
        <v>82813585</v>
      </c>
      <c r="C103">
        <v>82813584</v>
      </c>
      <c r="D103">
        <v>80959956</v>
      </c>
      <c r="E103">
        <v>118</v>
      </c>
      <c r="F103">
        <v>1</v>
      </c>
      <c r="G103">
        <v>1</v>
      </c>
      <c r="H103">
        <v>1</v>
      </c>
      <c r="I103" t="s">
        <v>389</v>
      </c>
      <c r="J103" t="s">
        <v>3</v>
      </c>
      <c r="K103" t="s">
        <v>390</v>
      </c>
      <c r="L103">
        <v>1191</v>
      </c>
      <c r="N103">
        <v>1013</v>
      </c>
      <c r="O103" t="s">
        <v>288</v>
      </c>
      <c r="P103" t="s">
        <v>288</v>
      </c>
      <c r="Q103">
        <v>1</v>
      </c>
      <c r="X103">
        <v>2.2000000000000002</v>
      </c>
      <c r="Y103">
        <v>0</v>
      </c>
      <c r="Z103">
        <v>0</v>
      </c>
      <c r="AA103">
        <v>0</v>
      </c>
      <c r="AB103">
        <v>752.9</v>
      </c>
      <c r="AC103">
        <v>0</v>
      </c>
      <c r="AD103">
        <v>1</v>
      </c>
      <c r="AE103">
        <v>1</v>
      </c>
      <c r="AF103" t="s">
        <v>33</v>
      </c>
      <c r="AG103">
        <v>3.4155000000000006</v>
      </c>
      <c r="AH103">
        <v>2</v>
      </c>
      <c r="AI103">
        <v>82813585</v>
      </c>
      <c r="AJ103">
        <v>107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</row>
    <row r="104" spans="1:44" x14ac:dyDescent="0.2">
      <c r="A104">
        <f>ROW(Source!A60)</f>
        <v>60</v>
      </c>
      <c r="B104">
        <v>82813586</v>
      </c>
      <c r="C104">
        <v>82813584</v>
      </c>
      <c r="D104">
        <v>80960127</v>
      </c>
      <c r="E104">
        <v>118</v>
      </c>
      <c r="F104">
        <v>1</v>
      </c>
      <c r="G104">
        <v>1</v>
      </c>
      <c r="H104">
        <v>1</v>
      </c>
      <c r="I104" t="s">
        <v>302</v>
      </c>
      <c r="J104" t="s">
        <v>3</v>
      </c>
      <c r="K104" t="s">
        <v>303</v>
      </c>
      <c r="L104">
        <v>1191</v>
      </c>
      <c r="N104">
        <v>1013</v>
      </c>
      <c r="O104" t="s">
        <v>288</v>
      </c>
      <c r="P104" t="s">
        <v>288</v>
      </c>
      <c r="Q104">
        <v>1</v>
      </c>
      <c r="X104">
        <v>0.25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2</v>
      </c>
      <c r="AF104" t="s">
        <v>32</v>
      </c>
      <c r="AG104">
        <v>0.421875</v>
      </c>
      <c r="AH104">
        <v>2</v>
      </c>
      <c r="AI104">
        <v>82813586</v>
      </c>
      <c r="AJ104">
        <v>108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</row>
    <row r="105" spans="1:44" x14ac:dyDescent="0.2">
      <c r="A105">
        <f>ROW(Source!A60)</f>
        <v>60</v>
      </c>
      <c r="B105">
        <v>82813587</v>
      </c>
      <c r="C105">
        <v>82813584</v>
      </c>
      <c r="D105">
        <v>81087487</v>
      </c>
      <c r="E105">
        <v>1</v>
      </c>
      <c r="F105">
        <v>1</v>
      </c>
      <c r="G105">
        <v>1</v>
      </c>
      <c r="H105">
        <v>2</v>
      </c>
      <c r="I105" t="s">
        <v>308</v>
      </c>
      <c r="J105" t="s">
        <v>309</v>
      </c>
      <c r="K105" t="s">
        <v>310</v>
      </c>
      <c r="L105">
        <v>1368</v>
      </c>
      <c r="N105">
        <v>1011</v>
      </c>
      <c r="O105" t="s">
        <v>292</v>
      </c>
      <c r="P105" t="s">
        <v>292</v>
      </c>
      <c r="Q105">
        <v>1</v>
      </c>
      <c r="X105">
        <v>0.25</v>
      </c>
      <c r="Y105">
        <v>0</v>
      </c>
      <c r="Z105">
        <v>544.91999999999996</v>
      </c>
      <c r="AA105">
        <v>731.08</v>
      </c>
      <c r="AB105">
        <v>0</v>
      </c>
      <c r="AC105">
        <v>0</v>
      </c>
      <c r="AD105">
        <v>1</v>
      </c>
      <c r="AE105">
        <v>0</v>
      </c>
      <c r="AF105" t="s">
        <v>32</v>
      </c>
      <c r="AG105">
        <v>0.421875</v>
      </c>
      <c r="AH105">
        <v>2</v>
      </c>
      <c r="AI105">
        <v>82813587</v>
      </c>
      <c r="AJ105">
        <v>109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</row>
    <row r="106" spans="1:44" x14ac:dyDescent="0.2">
      <c r="A106">
        <f>ROW(Source!A60)</f>
        <v>60</v>
      </c>
      <c r="B106">
        <v>82813588</v>
      </c>
      <c r="C106">
        <v>82813584</v>
      </c>
      <c r="D106">
        <v>81088244</v>
      </c>
      <c r="E106">
        <v>1</v>
      </c>
      <c r="F106">
        <v>1</v>
      </c>
      <c r="G106">
        <v>1</v>
      </c>
      <c r="H106">
        <v>2</v>
      </c>
      <c r="I106" t="s">
        <v>391</v>
      </c>
      <c r="J106" t="s">
        <v>392</v>
      </c>
      <c r="K106" t="s">
        <v>393</v>
      </c>
      <c r="L106">
        <v>1368</v>
      </c>
      <c r="N106">
        <v>1011</v>
      </c>
      <c r="O106" t="s">
        <v>292</v>
      </c>
      <c r="P106" t="s">
        <v>292</v>
      </c>
      <c r="Q106">
        <v>1</v>
      </c>
      <c r="X106">
        <v>0.39</v>
      </c>
      <c r="Y106">
        <v>0</v>
      </c>
      <c r="Z106">
        <v>21.39</v>
      </c>
      <c r="AA106">
        <v>0</v>
      </c>
      <c r="AB106">
        <v>0</v>
      </c>
      <c r="AC106">
        <v>0</v>
      </c>
      <c r="AD106">
        <v>1</v>
      </c>
      <c r="AE106">
        <v>0</v>
      </c>
      <c r="AF106" t="s">
        <v>32</v>
      </c>
      <c r="AG106">
        <v>0.65812500000000007</v>
      </c>
      <c r="AH106">
        <v>2</v>
      </c>
      <c r="AI106">
        <v>82813588</v>
      </c>
      <c r="AJ106">
        <v>110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</row>
    <row r="107" spans="1:44" x14ac:dyDescent="0.2">
      <c r="A107">
        <f>ROW(Source!A60)</f>
        <v>60</v>
      </c>
      <c r="B107">
        <v>82813589</v>
      </c>
      <c r="C107">
        <v>82813584</v>
      </c>
      <c r="D107">
        <v>81036929</v>
      </c>
      <c r="E107">
        <v>1</v>
      </c>
      <c r="F107">
        <v>1</v>
      </c>
      <c r="G107">
        <v>1</v>
      </c>
      <c r="H107">
        <v>3</v>
      </c>
      <c r="I107" t="s">
        <v>394</v>
      </c>
      <c r="J107" t="s">
        <v>395</v>
      </c>
      <c r="K107" t="s">
        <v>396</v>
      </c>
      <c r="L107">
        <v>1301</v>
      </c>
      <c r="N107">
        <v>1003</v>
      </c>
      <c r="O107" t="s">
        <v>72</v>
      </c>
      <c r="P107" t="s">
        <v>72</v>
      </c>
      <c r="Q107">
        <v>1</v>
      </c>
      <c r="X107">
        <v>15</v>
      </c>
      <c r="Y107">
        <v>40.94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0</v>
      </c>
      <c r="AF107" t="s">
        <v>3</v>
      </c>
      <c r="AG107">
        <v>15</v>
      </c>
      <c r="AH107">
        <v>2</v>
      </c>
      <c r="AI107">
        <v>82813589</v>
      </c>
      <c r="AJ107">
        <v>111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</row>
    <row r="108" spans="1:44" x14ac:dyDescent="0.2">
      <c r="A108">
        <f>ROW(Source!A60)</f>
        <v>60</v>
      </c>
      <c r="B108">
        <v>82813590</v>
      </c>
      <c r="C108">
        <v>82813584</v>
      </c>
      <c r="D108">
        <v>81046846</v>
      </c>
      <c r="E108">
        <v>1</v>
      </c>
      <c r="F108">
        <v>1</v>
      </c>
      <c r="G108">
        <v>1</v>
      </c>
      <c r="H108">
        <v>3</v>
      </c>
      <c r="I108" t="s">
        <v>397</v>
      </c>
      <c r="J108" t="s">
        <v>398</v>
      </c>
      <c r="K108" t="s">
        <v>399</v>
      </c>
      <c r="L108">
        <v>1346</v>
      </c>
      <c r="N108">
        <v>1009</v>
      </c>
      <c r="O108" t="s">
        <v>93</v>
      </c>
      <c r="P108" t="s">
        <v>93</v>
      </c>
      <c r="Q108">
        <v>1</v>
      </c>
      <c r="X108">
        <v>3.3000000000000002E-2</v>
      </c>
      <c r="Y108">
        <v>329.28</v>
      </c>
      <c r="Z108">
        <v>0</v>
      </c>
      <c r="AA108">
        <v>0</v>
      </c>
      <c r="AB108">
        <v>0</v>
      </c>
      <c r="AC108">
        <v>0</v>
      </c>
      <c r="AD108">
        <v>1</v>
      </c>
      <c r="AE108">
        <v>0</v>
      </c>
      <c r="AF108" t="s">
        <v>3</v>
      </c>
      <c r="AG108">
        <v>3.3000000000000002E-2</v>
      </c>
      <c r="AH108">
        <v>2</v>
      </c>
      <c r="AI108">
        <v>82813590</v>
      </c>
      <c r="AJ108">
        <v>112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</row>
    <row r="109" spans="1:44" x14ac:dyDescent="0.2">
      <c r="A109">
        <f>ROW(Source!A60)</f>
        <v>60</v>
      </c>
      <c r="B109">
        <v>82813591</v>
      </c>
      <c r="C109">
        <v>82813584</v>
      </c>
      <c r="D109">
        <v>81049457</v>
      </c>
      <c r="E109">
        <v>1</v>
      </c>
      <c r="F109">
        <v>1</v>
      </c>
      <c r="G109">
        <v>1</v>
      </c>
      <c r="H109">
        <v>3</v>
      </c>
      <c r="I109" t="s">
        <v>400</v>
      </c>
      <c r="J109" t="s">
        <v>401</v>
      </c>
      <c r="K109" t="s">
        <v>402</v>
      </c>
      <c r="L109">
        <v>1425</v>
      </c>
      <c r="N109">
        <v>1013</v>
      </c>
      <c r="O109" t="s">
        <v>109</v>
      </c>
      <c r="P109" t="s">
        <v>109</v>
      </c>
      <c r="Q109">
        <v>1</v>
      </c>
      <c r="X109">
        <v>0.3</v>
      </c>
      <c r="Y109">
        <v>237.35</v>
      </c>
      <c r="Z109">
        <v>0</v>
      </c>
      <c r="AA109">
        <v>0</v>
      </c>
      <c r="AB109">
        <v>0</v>
      </c>
      <c r="AC109">
        <v>0</v>
      </c>
      <c r="AD109">
        <v>1</v>
      </c>
      <c r="AE109">
        <v>0</v>
      </c>
      <c r="AF109" t="s">
        <v>3</v>
      </c>
      <c r="AG109">
        <v>0.3</v>
      </c>
      <c r="AH109">
        <v>2</v>
      </c>
      <c r="AI109">
        <v>82813591</v>
      </c>
      <c r="AJ109">
        <v>113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</row>
    <row r="110" spans="1:44" x14ac:dyDescent="0.2">
      <c r="A110">
        <f>ROW(Source!A60)</f>
        <v>60</v>
      </c>
      <c r="B110">
        <v>82813592</v>
      </c>
      <c r="C110">
        <v>82813584</v>
      </c>
      <c r="D110">
        <v>80963710</v>
      </c>
      <c r="E110">
        <v>118</v>
      </c>
      <c r="F110">
        <v>1</v>
      </c>
      <c r="G110">
        <v>1</v>
      </c>
      <c r="H110">
        <v>3</v>
      </c>
      <c r="I110" t="s">
        <v>410</v>
      </c>
      <c r="J110" t="s">
        <v>3</v>
      </c>
      <c r="K110" t="s">
        <v>411</v>
      </c>
      <c r="L110">
        <v>1301</v>
      </c>
      <c r="N110">
        <v>1003</v>
      </c>
      <c r="O110" t="s">
        <v>72</v>
      </c>
      <c r="P110" t="s">
        <v>72</v>
      </c>
      <c r="Q110">
        <v>1</v>
      </c>
      <c r="X110">
        <v>11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 t="s">
        <v>3</v>
      </c>
      <c r="AG110">
        <v>11</v>
      </c>
      <c r="AH110">
        <v>3</v>
      </c>
      <c r="AI110">
        <v>-1</v>
      </c>
      <c r="AJ110" t="s">
        <v>3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</row>
    <row r="111" spans="1:44" x14ac:dyDescent="0.2">
      <c r="A111">
        <f>ROW(Source!A60)</f>
        <v>60</v>
      </c>
      <c r="B111">
        <v>82813593</v>
      </c>
      <c r="C111">
        <v>82813584</v>
      </c>
      <c r="D111">
        <v>81055237</v>
      </c>
      <c r="E111">
        <v>1</v>
      </c>
      <c r="F111">
        <v>1</v>
      </c>
      <c r="G111">
        <v>1</v>
      </c>
      <c r="H111">
        <v>3</v>
      </c>
      <c r="I111" t="s">
        <v>403</v>
      </c>
      <c r="J111" t="s">
        <v>404</v>
      </c>
      <c r="K111" t="s">
        <v>405</v>
      </c>
      <c r="L111">
        <v>1296</v>
      </c>
      <c r="N111">
        <v>1002</v>
      </c>
      <c r="O111" t="s">
        <v>406</v>
      </c>
      <c r="P111" t="s">
        <v>406</v>
      </c>
      <c r="Q111">
        <v>1</v>
      </c>
      <c r="X111">
        <v>0.14299999999999999</v>
      </c>
      <c r="Y111">
        <v>402.95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 t="s">
        <v>3</v>
      </c>
      <c r="AG111">
        <v>0.14299999999999999</v>
      </c>
      <c r="AH111">
        <v>2</v>
      </c>
      <c r="AI111">
        <v>82813593</v>
      </c>
      <c r="AJ111">
        <v>115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</row>
    <row r="112" spans="1:44" x14ac:dyDescent="0.2">
      <c r="A112">
        <f>ROW(Source!A60)</f>
        <v>60</v>
      </c>
      <c r="B112">
        <v>82813594</v>
      </c>
      <c r="C112">
        <v>82813584</v>
      </c>
      <c r="D112">
        <v>81055612</v>
      </c>
      <c r="E112">
        <v>1</v>
      </c>
      <c r="F112">
        <v>1</v>
      </c>
      <c r="G112">
        <v>1</v>
      </c>
      <c r="H112">
        <v>3</v>
      </c>
      <c r="I112" t="s">
        <v>412</v>
      </c>
      <c r="J112" t="s">
        <v>413</v>
      </c>
      <c r="K112" t="s">
        <v>414</v>
      </c>
      <c r="L112">
        <v>1296</v>
      </c>
      <c r="N112">
        <v>1002</v>
      </c>
      <c r="O112" t="s">
        <v>406</v>
      </c>
      <c r="P112" t="s">
        <v>406</v>
      </c>
      <c r="Q112">
        <v>1</v>
      </c>
      <c r="X112">
        <v>0</v>
      </c>
      <c r="Y112">
        <v>1116.3599999999999</v>
      </c>
      <c r="Z112">
        <v>0</v>
      </c>
      <c r="AA112">
        <v>0</v>
      </c>
      <c r="AB112">
        <v>0</v>
      </c>
      <c r="AC112">
        <v>1</v>
      </c>
      <c r="AD112">
        <v>0</v>
      </c>
      <c r="AE112">
        <v>0</v>
      </c>
      <c r="AF112" t="s">
        <v>3</v>
      </c>
      <c r="AG112">
        <v>0</v>
      </c>
      <c r="AH112">
        <v>3</v>
      </c>
      <c r="AI112">
        <v>-1</v>
      </c>
      <c r="AJ112" t="s">
        <v>3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</row>
    <row r="113" spans="1:44" x14ac:dyDescent="0.2">
      <c r="A113">
        <f>ROW(Source!A60)</f>
        <v>60</v>
      </c>
      <c r="B113">
        <v>82813595</v>
      </c>
      <c r="C113">
        <v>82813584</v>
      </c>
      <c r="D113">
        <v>81056077</v>
      </c>
      <c r="E113">
        <v>1</v>
      </c>
      <c r="F113">
        <v>1</v>
      </c>
      <c r="G113">
        <v>1</v>
      </c>
      <c r="H113">
        <v>3</v>
      </c>
      <c r="I113" t="s">
        <v>407</v>
      </c>
      <c r="J113" t="s">
        <v>408</v>
      </c>
      <c r="K113" t="s">
        <v>409</v>
      </c>
      <c r="L113">
        <v>1296</v>
      </c>
      <c r="N113">
        <v>1002</v>
      </c>
      <c r="O113" t="s">
        <v>406</v>
      </c>
      <c r="P113" t="s">
        <v>406</v>
      </c>
      <c r="Q113">
        <v>1</v>
      </c>
      <c r="X113">
        <v>0.02</v>
      </c>
      <c r="Y113">
        <v>830.95</v>
      </c>
      <c r="Z113">
        <v>0</v>
      </c>
      <c r="AA113">
        <v>0</v>
      </c>
      <c r="AB113">
        <v>0</v>
      </c>
      <c r="AC113">
        <v>0</v>
      </c>
      <c r="AD113">
        <v>1</v>
      </c>
      <c r="AE113">
        <v>0</v>
      </c>
      <c r="AF113" t="s">
        <v>3</v>
      </c>
      <c r="AG113">
        <v>0.02</v>
      </c>
      <c r="AH113">
        <v>2</v>
      </c>
      <c r="AI113">
        <v>82813595</v>
      </c>
      <c r="AJ113">
        <v>116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21" x14ac:dyDescent="0.2">
      <c r="A1">
        <v>24</v>
      </c>
      <c r="B1">
        <v>1</v>
      </c>
      <c r="C1" t="s">
        <v>3</v>
      </c>
      <c r="D1" t="s">
        <v>3</v>
      </c>
      <c r="E1" t="s">
        <v>415</v>
      </c>
      <c r="F1" t="s">
        <v>415</v>
      </c>
      <c r="G1" t="s">
        <v>415</v>
      </c>
      <c r="H1" t="s">
        <v>3</v>
      </c>
      <c r="I1" t="s">
        <v>415</v>
      </c>
      <c r="J1" t="s">
        <v>415</v>
      </c>
      <c r="K1" t="s">
        <v>3</v>
      </c>
      <c r="L1" t="s">
        <v>3</v>
      </c>
      <c r="M1" t="s">
        <v>3</v>
      </c>
      <c r="N1" t="s">
        <v>3</v>
      </c>
      <c r="O1" t="s">
        <v>415</v>
      </c>
      <c r="P1" t="s">
        <v>3</v>
      </c>
      <c r="Q1" t="s">
        <v>3</v>
      </c>
      <c r="R1" t="s">
        <v>3</v>
      </c>
      <c r="S1" t="s">
        <v>416</v>
      </c>
      <c r="T1" t="s">
        <v>424</v>
      </c>
      <c r="U1" t="s">
        <v>417</v>
      </c>
    </row>
    <row r="2" spans="1:21" x14ac:dyDescent="0.2">
      <c r="A2">
        <v>25</v>
      </c>
      <c r="B2">
        <v>1</v>
      </c>
      <c r="C2" t="s">
        <v>3</v>
      </c>
      <c r="D2" t="s">
        <v>3</v>
      </c>
      <c r="E2" t="s">
        <v>415</v>
      </c>
      <c r="F2" t="s">
        <v>415</v>
      </c>
      <c r="G2" t="s">
        <v>415</v>
      </c>
      <c r="H2" t="s">
        <v>3</v>
      </c>
      <c r="I2" t="s">
        <v>415</v>
      </c>
      <c r="J2" t="s">
        <v>415</v>
      </c>
      <c r="K2" t="s">
        <v>3</v>
      </c>
      <c r="L2" t="s">
        <v>3</v>
      </c>
      <c r="M2" t="s">
        <v>3</v>
      </c>
      <c r="N2" t="s">
        <v>3</v>
      </c>
      <c r="O2" t="s">
        <v>415</v>
      </c>
      <c r="P2" t="s">
        <v>3</v>
      </c>
      <c r="Q2" t="s">
        <v>3</v>
      </c>
      <c r="R2" t="s">
        <v>3</v>
      </c>
      <c r="S2" t="s">
        <v>418</v>
      </c>
      <c r="T2" t="s">
        <v>424</v>
      </c>
      <c r="U2" t="s">
        <v>417</v>
      </c>
    </row>
    <row r="3" spans="1:21" x14ac:dyDescent="0.2">
      <c r="A3">
        <v>25</v>
      </c>
      <c r="B3">
        <v>1</v>
      </c>
      <c r="C3" t="s">
        <v>3</v>
      </c>
      <c r="D3" t="s">
        <v>3</v>
      </c>
      <c r="E3" t="s">
        <v>419</v>
      </c>
      <c r="F3" t="s">
        <v>419</v>
      </c>
      <c r="G3" t="s">
        <v>420</v>
      </c>
      <c r="H3" t="s">
        <v>3</v>
      </c>
      <c r="I3" t="s">
        <v>420</v>
      </c>
      <c r="J3" t="s">
        <v>419</v>
      </c>
      <c r="K3" t="s">
        <v>3</v>
      </c>
      <c r="L3" t="s">
        <v>34</v>
      </c>
      <c r="M3" t="s">
        <v>35</v>
      </c>
      <c r="N3" t="s">
        <v>3</v>
      </c>
      <c r="O3" t="s">
        <v>419</v>
      </c>
      <c r="P3" t="s">
        <v>3</v>
      </c>
      <c r="Q3" t="s">
        <v>3</v>
      </c>
      <c r="R3" t="s">
        <v>3</v>
      </c>
      <c r="S3" t="s">
        <v>421</v>
      </c>
      <c r="T3" t="s">
        <v>426</v>
      </c>
      <c r="U3" t="s">
        <v>422</v>
      </c>
    </row>
    <row r="4" spans="1:21" x14ac:dyDescent="0.2">
      <c r="A4">
        <v>38</v>
      </c>
      <c r="B4">
        <v>1</v>
      </c>
      <c r="C4" t="s">
        <v>3</v>
      </c>
      <c r="D4" t="s">
        <v>3</v>
      </c>
      <c r="E4" t="s">
        <v>415</v>
      </c>
      <c r="F4" t="s">
        <v>415</v>
      </c>
      <c r="G4" t="s">
        <v>415</v>
      </c>
      <c r="H4" t="s">
        <v>3</v>
      </c>
      <c r="I4" t="s">
        <v>415</v>
      </c>
      <c r="J4" t="s">
        <v>415</v>
      </c>
      <c r="K4" t="s">
        <v>3</v>
      </c>
      <c r="L4" t="s">
        <v>3</v>
      </c>
      <c r="M4" t="s">
        <v>3</v>
      </c>
      <c r="N4" t="s">
        <v>3</v>
      </c>
      <c r="O4" t="s">
        <v>415</v>
      </c>
      <c r="P4" t="s">
        <v>3</v>
      </c>
      <c r="Q4" t="s">
        <v>3</v>
      </c>
      <c r="R4" t="s">
        <v>3</v>
      </c>
      <c r="S4" t="s">
        <v>416</v>
      </c>
      <c r="T4" t="s">
        <v>424</v>
      </c>
      <c r="U4" t="s">
        <v>417</v>
      </c>
    </row>
    <row r="5" spans="1:21" x14ac:dyDescent="0.2">
      <c r="A5">
        <v>44</v>
      </c>
      <c r="B5">
        <v>1</v>
      </c>
      <c r="C5" t="s">
        <v>3</v>
      </c>
      <c r="D5" t="s">
        <v>3</v>
      </c>
      <c r="E5" t="s">
        <v>415</v>
      </c>
      <c r="F5" t="s">
        <v>415</v>
      </c>
      <c r="G5" t="s">
        <v>415</v>
      </c>
      <c r="H5" t="s">
        <v>3</v>
      </c>
      <c r="I5" t="s">
        <v>415</v>
      </c>
      <c r="J5" t="s">
        <v>415</v>
      </c>
      <c r="K5" t="s">
        <v>3</v>
      </c>
      <c r="L5" t="s">
        <v>3</v>
      </c>
      <c r="M5" t="s">
        <v>3</v>
      </c>
      <c r="N5" t="s">
        <v>3</v>
      </c>
      <c r="O5" t="s">
        <v>415</v>
      </c>
      <c r="P5" t="s">
        <v>3</v>
      </c>
      <c r="Q5" t="s">
        <v>3</v>
      </c>
      <c r="R5" t="s">
        <v>3</v>
      </c>
      <c r="S5" t="s">
        <v>418</v>
      </c>
      <c r="T5" t="s">
        <v>424</v>
      </c>
      <c r="U5" t="s">
        <v>417</v>
      </c>
    </row>
    <row r="6" spans="1:21" x14ac:dyDescent="0.2">
      <c r="A6">
        <v>44</v>
      </c>
      <c r="B6">
        <v>1</v>
      </c>
      <c r="C6" t="s">
        <v>3</v>
      </c>
      <c r="D6" t="s">
        <v>3</v>
      </c>
      <c r="E6" t="s">
        <v>419</v>
      </c>
      <c r="F6" t="s">
        <v>419</v>
      </c>
      <c r="G6" t="s">
        <v>420</v>
      </c>
      <c r="H6" t="s">
        <v>3</v>
      </c>
      <c r="I6" t="s">
        <v>420</v>
      </c>
      <c r="J6" t="s">
        <v>419</v>
      </c>
      <c r="K6" t="s">
        <v>3</v>
      </c>
      <c r="L6" t="s">
        <v>34</v>
      </c>
      <c r="M6" t="s">
        <v>35</v>
      </c>
      <c r="N6" t="s">
        <v>3</v>
      </c>
      <c r="O6" t="s">
        <v>419</v>
      </c>
      <c r="P6" t="s">
        <v>3</v>
      </c>
      <c r="Q6" t="s">
        <v>3</v>
      </c>
      <c r="R6" t="s">
        <v>3</v>
      </c>
      <c r="S6" t="s">
        <v>421</v>
      </c>
      <c r="T6" t="s">
        <v>426</v>
      </c>
      <c r="U6" t="s">
        <v>422</v>
      </c>
    </row>
    <row r="7" spans="1:21" x14ac:dyDescent="0.2">
      <c r="A7">
        <v>55</v>
      </c>
      <c r="B7">
        <v>1</v>
      </c>
      <c r="C7" t="s">
        <v>3</v>
      </c>
      <c r="D7" t="s">
        <v>3</v>
      </c>
      <c r="E7" t="s">
        <v>415</v>
      </c>
      <c r="F7" t="s">
        <v>415</v>
      </c>
      <c r="G7" t="s">
        <v>415</v>
      </c>
      <c r="H7" t="s">
        <v>3</v>
      </c>
      <c r="I7" t="s">
        <v>415</v>
      </c>
      <c r="J7" t="s">
        <v>415</v>
      </c>
      <c r="K7" t="s">
        <v>3</v>
      </c>
      <c r="L7" t="s">
        <v>3</v>
      </c>
      <c r="M7" t="s">
        <v>3</v>
      </c>
      <c r="N7" t="s">
        <v>3</v>
      </c>
      <c r="O7" t="s">
        <v>415</v>
      </c>
      <c r="P7" t="s">
        <v>3</v>
      </c>
      <c r="Q7" t="s">
        <v>3</v>
      </c>
      <c r="R7" t="s">
        <v>3</v>
      </c>
      <c r="S7" t="s">
        <v>418</v>
      </c>
      <c r="T7" t="s">
        <v>424</v>
      </c>
      <c r="U7" t="s">
        <v>417</v>
      </c>
    </row>
    <row r="8" spans="1:21" x14ac:dyDescent="0.2">
      <c r="A8">
        <v>55</v>
      </c>
      <c r="B8">
        <v>1</v>
      </c>
      <c r="C8" t="s">
        <v>3</v>
      </c>
      <c r="D8" t="s">
        <v>3</v>
      </c>
      <c r="E8" t="s">
        <v>419</v>
      </c>
      <c r="F8" t="s">
        <v>419</v>
      </c>
      <c r="G8" t="s">
        <v>420</v>
      </c>
      <c r="H8" t="s">
        <v>3</v>
      </c>
      <c r="I8" t="s">
        <v>420</v>
      </c>
      <c r="J8" t="s">
        <v>419</v>
      </c>
      <c r="K8" t="s">
        <v>3</v>
      </c>
      <c r="L8" t="s">
        <v>34</v>
      </c>
      <c r="M8" t="s">
        <v>35</v>
      </c>
      <c r="N8" t="s">
        <v>3</v>
      </c>
      <c r="O8" t="s">
        <v>419</v>
      </c>
      <c r="P8" t="s">
        <v>3</v>
      </c>
      <c r="Q8" t="s">
        <v>3</v>
      </c>
      <c r="R8" t="s">
        <v>3</v>
      </c>
      <c r="S8" t="s">
        <v>421</v>
      </c>
      <c r="T8" t="s">
        <v>426</v>
      </c>
      <c r="U8" t="s">
        <v>422</v>
      </c>
    </row>
    <row r="9" spans="1:21" x14ac:dyDescent="0.2">
      <c r="A9">
        <v>60</v>
      </c>
      <c r="B9">
        <v>1</v>
      </c>
      <c r="C9" t="s">
        <v>3</v>
      </c>
      <c r="D9" t="s">
        <v>3</v>
      </c>
      <c r="E9" t="s">
        <v>415</v>
      </c>
      <c r="F9" t="s">
        <v>415</v>
      </c>
      <c r="G9" t="s">
        <v>415</v>
      </c>
      <c r="H9" t="s">
        <v>3</v>
      </c>
      <c r="I9" t="s">
        <v>415</v>
      </c>
      <c r="J9" t="s">
        <v>415</v>
      </c>
      <c r="K9" t="s">
        <v>3</v>
      </c>
      <c r="L9" t="s">
        <v>3</v>
      </c>
      <c r="M9" t="s">
        <v>3</v>
      </c>
      <c r="N9" t="s">
        <v>3</v>
      </c>
      <c r="O9" t="s">
        <v>415</v>
      </c>
      <c r="P9" t="s">
        <v>3</v>
      </c>
      <c r="Q9" t="s">
        <v>3</v>
      </c>
      <c r="R9" t="s">
        <v>3</v>
      </c>
      <c r="S9" t="s">
        <v>418</v>
      </c>
      <c r="T9" t="s">
        <v>424</v>
      </c>
      <c r="U9" t="s">
        <v>417</v>
      </c>
    </row>
    <row r="10" spans="1:21" x14ac:dyDescent="0.2">
      <c r="A10">
        <v>60</v>
      </c>
      <c r="B10">
        <v>1</v>
      </c>
      <c r="C10" t="s">
        <v>3</v>
      </c>
      <c r="D10" t="s">
        <v>3</v>
      </c>
      <c r="E10" t="s">
        <v>419</v>
      </c>
      <c r="F10" t="s">
        <v>419</v>
      </c>
      <c r="G10" t="s">
        <v>420</v>
      </c>
      <c r="H10" t="s">
        <v>3</v>
      </c>
      <c r="I10" t="s">
        <v>420</v>
      </c>
      <c r="J10" t="s">
        <v>419</v>
      </c>
      <c r="K10" t="s">
        <v>3</v>
      </c>
      <c r="L10" t="s">
        <v>34</v>
      </c>
      <c r="M10" t="s">
        <v>35</v>
      </c>
      <c r="N10" t="s">
        <v>3</v>
      </c>
      <c r="O10" t="s">
        <v>419</v>
      </c>
      <c r="P10" t="s">
        <v>3</v>
      </c>
      <c r="Q10" t="s">
        <v>3</v>
      </c>
      <c r="R10" t="s">
        <v>3</v>
      </c>
      <c r="S10" t="s">
        <v>421</v>
      </c>
      <c r="T10" t="s">
        <v>426</v>
      </c>
      <c r="U10" t="s">
        <v>422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2"/>
  <sheetViews>
    <sheetView workbookViewId="0"/>
  </sheetViews>
  <sheetFormatPr defaultColWidth="9.140625" defaultRowHeight="12.75" x14ac:dyDescent="0.2"/>
  <cols>
    <col min="1" max="256" width="9.140625" customWidth="1"/>
  </cols>
  <sheetData>
    <row r="1" spans="1:103" x14ac:dyDescent="0.2">
      <c r="A1">
        <v>0</v>
      </c>
      <c r="B1" t="s">
        <v>0</v>
      </c>
      <c r="D1" t="s">
        <v>1</v>
      </c>
      <c r="F1">
        <v>0</v>
      </c>
      <c r="G1">
        <v>0</v>
      </c>
      <c r="H1">
        <v>0</v>
      </c>
      <c r="I1" t="s">
        <v>2</v>
      </c>
      <c r="J1" t="s">
        <v>3</v>
      </c>
      <c r="K1">
        <v>1</v>
      </c>
      <c r="L1">
        <v>67728</v>
      </c>
      <c r="M1">
        <v>10</v>
      </c>
      <c r="N1">
        <v>12</v>
      </c>
      <c r="O1">
        <v>1</v>
      </c>
      <c r="P1">
        <v>0</v>
      </c>
      <c r="Q1">
        <v>5</v>
      </c>
    </row>
    <row r="12" spans="1:103" x14ac:dyDescent="0.2">
      <c r="F12" t="str">
        <f>Source!F12</f>
        <v>Новый объект</v>
      </c>
      <c r="G12" t="str">
        <f>Source!G12</f>
        <v>Аварийный ремонт труб ЦО в ХК</v>
      </c>
      <c r="AB12" t="s">
        <v>3</v>
      </c>
      <c r="AC12" t="s">
        <v>3</v>
      </c>
      <c r="AD12" t="s">
        <v>3</v>
      </c>
      <c r="AE12" t="s">
        <v>3</v>
      </c>
      <c r="AF12" t="s">
        <v>3</v>
      </c>
      <c r="AG12" t="s">
        <v>3</v>
      </c>
      <c r="AH12" t="s">
        <v>3</v>
      </c>
      <c r="AI12" t="s">
        <v>3</v>
      </c>
      <c r="AJ12">
        <v>0</v>
      </c>
      <c r="AK12" t="s">
        <v>3</v>
      </c>
      <c r="AL12" t="s">
        <v>3</v>
      </c>
      <c r="AM12" t="s">
        <v>3</v>
      </c>
      <c r="CY12">
        <v>0</v>
      </c>
    </row>
  </sheetData>
  <printOptions gridLines="1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1</vt:lpstr>
      <vt:lpstr>Ведомость объемов работ</vt:lpstr>
      <vt:lpstr>Source</vt:lpstr>
      <vt:lpstr>SourceObSm</vt:lpstr>
      <vt:lpstr>SmtRes</vt:lpstr>
      <vt:lpstr>EtalonRes</vt:lpstr>
      <vt:lpstr>SrcPoprs</vt:lpstr>
      <vt:lpstr>SrcKA</vt:lpstr>
      <vt:lpstr>'1'!Заголовки_для_печати</vt:lpstr>
      <vt:lpstr>'Ведомость объемов работ'!Заголовки_для_печати</vt:lpstr>
      <vt:lpstr>'1'!Область_печати</vt:lpstr>
      <vt:lpstr>'Ведомость объемов работ'!Область_печати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smeta</cp:lastModifiedBy>
  <dcterms:created xsi:type="dcterms:W3CDTF">2026-08-17T09:07:32Z</dcterms:created>
  <dcterms:modified xsi:type="dcterms:W3CDTF">2026-08-17T09:08:01Z</dcterms:modified>
</cp:coreProperties>
</file>