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gnicpm\fs\HOME\Хозяйственная часть\Отдел капитального и текущего ремонта\Яценко\Рабочий стол\НМИЦ\2026 ремонт помещений КА\ПОГОРЕЛОВ\РЕМОНТ ЛИФТА\"/>
    </mc:Choice>
  </mc:AlternateContent>
  <xr:revisionPtr revIDLastSave="0" documentId="13_ncr:1_{B24B7C8E-AA3E-4C07-9BAE-DB02C14F23CC}" xr6:coauthVersionLast="36" xr6:coauthVersionMax="36" xr10:uidLastSave="{00000000-0000-0000-0000-000000000000}"/>
  <bookViews>
    <workbookView xWindow="32760" yWindow="32760" windowWidth="32760" windowHeight="32760" xr2:uid="{00000000-000D-0000-FFFF-FFFF00000000}"/>
  </bookViews>
  <sheets>
    <sheet name="Смета по ФСНБ 421+557прРИМ" sheetId="7" r:id="rId1"/>
    <sheet name="Ведомость объемов работ" sheetId="8" r:id="rId2"/>
    <sheet name="Source" sheetId="1" state="hidden" r:id="rId3"/>
    <sheet name="SourceObSm" sheetId="2" state="hidden" r:id="rId4"/>
    <sheet name="SmtRes" sheetId="3" state="hidden" r:id="rId5"/>
    <sheet name="EtalonRes" sheetId="4" state="hidden" r:id="rId6"/>
    <sheet name="SrcPoprs" sheetId="5" state="hidden" r:id="rId7"/>
    <sheet name="SrcKA" sheetId="6" state="hidden" r:id="rId8"/>
  </sheets>
  <definedNames>
    <definedName name="_xlnm.Print_Titles" localSheetId="1">'Ведомость объемов работ'!$17:$17</definedName>
    <definedName name="_xlnm.Print_Titles" localSheetId="0">'Смета по ФСНБ 421+557прРИМ'!$51:$51</definedName>
    <definedName name="_xlnm.Print_Area" localSheetId="1">'Ведомость объемов работ'!$A$1:$H$27</definedName>
    <definedName name="_xlnm.Print_Area" localSheetId="0">'Смета по ФСНБ 421+557прРИМ'!$A$1:$L$188</definedName>
  </definedNames>
  <calcPr calcId="191029" iterate="1"/>
</workbook>
</file>

<file path=xl/calcChain.xml><?xml version="1.0" encoding="utf-8"?>
<calcChain xmlns="http://schemas.openxmlformats.org/spreadsheetml/2006/main">
  <c r="L180" i="7" l="1"/>
  <c r="L179" i="7"/>
  <c r="D25" i="8" l="1"/>
  <c r="D23" i="8"/>
  <c r="G20" i="8"/>
  <c r="F20" i="8"/>
  <c r="E20" i="8"/>
  <c r="C20" i="8"/>
  <c r="B20" i="8"/>
  <c r="G19" i="8"/>
  <c r="F19" i="8"/>
  <c r="E19" i="8"/>
  <c r="C19" i="8"/>
  <c r="B19" i="8"/>
  <c r="AF18" i="8"/>
  <c r="AE13" i="8"/>
  <c r="B13" i="8"/>
  <c r="B12" i="8"/>
  <c r="A1" i="8"/>
  <c r="H186" i="7"/>
  <c r="H183" i="7"/>
  <c r="C186" i="7"/>
  <c r="C183" i="7"/>
  <c r="K42" i="7"/>
  <c r="K41" i="7"/>
  <c r="C44" i="7"/>
  <c r="C43" i="7"/>
  <c r="C42" i="7"/>
  <c r="C41" i="7"/>
  <c r="L178" i="7"/>
  <c r="C178" i="7"/>
  <c r="L177" i="7"/>
  <c r="C177" i="7"/>
  <c r="G175" i="7"/>
  <c r="G174" i="7"/>
  <c r="L172" i="7"/>
  <c r="L169" i="7"/>
  <c r="L162" i="7"/>
  <c r="L161" i="7"/>
  <c r="L157" i="7"/>
  <c r="L145" i="7"/>
  <c r="L144" i="7"/>
  <c r="L143" i="7"/>
  <c r="L142" i="7"/>
  <c r="L141" i="7"/>
  <c r="L140" i="7"/>
  <c r="L138" i="7" s="1"/>
  <c r="L137" i="7"/>
  <c r="L132" i="7" s="1"/>
  <c r="L136" i="7"/>
  <c r="L134" i="7"/>
  <c r="L131" i="7"/>
  <c r="L126" i="7"/>
  <c r="L125" i="7"/>
  <c r="L124" i="7"/>
  <c r="L119" i="7"/>
  <c r="L111" i="7"/>
  <c r="L110" i="7"/>
  <c r="L106" i="7"/>
  <c r="L105" i="7"/>
  <c r="L94" i="7"/>
  <c r="L93" i="7"/>
  <c r="L92" i="7"/>
  <c r="L91" i="7"/>
  <c r="L90" i="7"/>
  <c r="L89" i="7"/>
  <c r="L87" i="7" s="1"/>
  <c r="L81" i="7"/>
  <c r="L86" i="7"/>
  <c r="L85" i="7"/>
  <c r="L83" i="7"/>
  <c r="L80" i="7"/>
  <c r="AW72" i="7"/>
  <c r="AT72" i="7"/>
  <c r="AO72" i="7"/>
  <c r="BA72" i="7"/>
  <c r="AZ72" i="7"/>
  <c r="AE72" i="7"/>
  <c r="AD72" i="7"/>
  <c r="G71" i="7"/>
  <c r="E71" i="7"/>
  <c r="G70" i="7"/>
  <c r="E70" i="7"/>
  <c r="BA68" i="7"/>
  <c r="AZ68" i="7"/>
  <c r="AE68" i="7"/>
  <c r="AD68" i="7"/>
  <c r="L68" i="7"/>
  <c r="AW68" i="7" s="1"/>
  <c r="J68" i="7"/>
  <c r="E68" i="7"/>
  <c r="G68" i="7"/>
  <c r="D68" i="7"/>
  <c r="B68" i="7"/>
  <c r="BA67" i="7"/>
  <c r="AZ67" i="7"/>
  <c r="AE67" i="7"/>
  <c r="AD67" i="7"/>
  <c r="L67" i="7"/>
  <c r="BK67" i="7" s="1"/>
  <c r="J67" i="7"/>
  <c r="E67" i="7"/>
  <c r="G67" i="7"/>
  <c r="D67" i="7"/>
  <c r="B67" i="7"/>
  <c r="BA66" i="7"/>
  <c r="L71" i="7" s="1"/>
  <c r="AZ66" i="7"/>
  <c r="L70" i="7" s="1"/>
  <c r="AE66" i="7"/>
  <c r="AD66" i="7"/>
  <c r="L66" i="7"/>
  <c r="AW66" i="7" s="1"/>
  <c r="E66" i="7"/>
  <c r="G66" i="7"/>
  <c r="D66" i="7"/>
  <c r="C66" i="7"/>
  <c r="B66" i="7"/>
  <c r="L63" i="7"/>
  <c r="L65" i="7" s="1"/>
  <c r="L64" i="7"/>
  <c r="J64" i="7"/>
  <c r="G64" i="7"/>
  <c r="G63" i="7"/>
  <c r="E62" i="7"/>
  <c r="G62" i="7"/>
  <c r="D62" i="7"/>
  <c r="C62" i="7"/>
  <c r="AW61" i="7"/>
  <c r="AT61" i="7"/>
  <c r="L156" i="7" s="1"/>
  <c r="AO61" i="7"/>
  <c r="L103" i="7" s="1"/>
  <c r="L101" i="7" s="1"/>
  <c r="BA61" i="7"/>
  <c r="AZ61" i="7"/>
  <c r="AE61" i="7"/>
  <c r="AD61" i="7"/>
  <c r="G60" i="7"/>
  <c r="E60" i="7"/>
  <c r="G59" i="7"/>
  <c r="E59" i="7"/>
  <c r="BA57" i="7"/>
  <c r="AZ57" i="7"/>
  <c r="AE57" i="7"/>
  <c r="AD57" i="7"/>
  <c r="L57" i="7"/>
  <c r="AW57" i="7" s="1"/>
  <c r="E57" i="7"/>
  <c r="G57" i="7"/>
  <c r="D57" i="7"/>
  <c r="C57" i="7"/>
  <c r="B57" i="7"/>
  <c r="BA56" i="7"/>
  <c r="AZ56" i="7"/>
  <c r="L59" i="7" s="1"/>
  <c r="AE56" i="7"/>
  <c r="AD56" i="7"/>
  <c r="L56" i="7"/>
  <c r="AY56" i="7" s="1"/>
  <c r="J56" i="7"/>
  <c r="E56" i="7"/>
  <c r="G56" i="7"/>
  <c r="D56" i="7"/>
  <c r="B56" i="7"/>
  <c r="L54" i="7"/>
  <c r="L53" i="7" s="1"/>
  <c r="J54" i="7"/>
  <c r="G54" i="7"/>
  <c r="G53" i="7"/>
  <c r="E52" i="7"/>
  <c r="G52" i="7"/>
  <c r="D52" i="7"/>
  <c r="C52" i="7"/>
  <c r="CN27" i="7"/>
  <c r="A27" i="7"/>
  <c r="A25" i="7"/>
  <c r="CN22" i="7"/>
  <c r="A22" i="7"/>
  <c r="F16" i="7"/>
  <c r="F14" i="7"/>
  <c r="CO6" i="7"/>
  <c r="F6" i="7"/>
  <c r="CO4" i="7"/>
  <c r="F4" i="7"/>
  <c r="A1" i="7"/>
  <c r="L109" i="7" l="1"/>
  <c r="L107" i="7" s="1"/>
  <c r="AN66" i="7"/>
  <c r="AN67" i="7"/>
  <c r="AN68" i="7"/>
  <c r="AW67" i="7"/>
  <c r="AY68" i="7"/>
  <c r="L78" i="7"/>
  <c r="L76" i="7" s="1"/>
  <c r="L113" i="7"/>
  <c r="L114" i="7"/>
  <c r="AN57" i="7"/>
  <c r="L60" i="7"/>
  <c r="K61" i="7" s="1"/>
  <c r="I61" i="7" s="1"/>
  <c r="C38" i="7"/>
  <c r="AR61" i="7"/>
  <c r="L55" i="7"/>
  <c r="L129" i="7"/>
  <c r="BK68" i="7"/>
  <c r="AN56" i="7"/>
  <c r="AR72" i="7"/>
  <c r="L69" i="7" s="1"/>
  <c r="AW56" i="7"/>
  <c r="BK56" i="7"/>
  <c r="K40" i="7"/>
  <c r="AN72" i="7"/>
  <c r="K72" i="7"/>
  <c r="I72" i="7" s="1"/>
  <c r="L164" i="7"/>
  <c r="L165" i="7"/>
  <c r="AY67" i="7"/>
  <c r="L173" i="7" s="1"/>
  <c r="L154" i="7"/>
  <c r="L152" i="7" s="1"/>
  <c r="A1" i="4"/>
  <c r="A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1" i="3"/>
  <c r="Y1" i="3"/>
  <c r="CY1" i="3"/>
  <c r="CZ1" i="3"/>
  <c r="DA1" i="3"/>
  <c r="DB1" i="3"/>
  <c r="DC1" i="3"/>
  <c r="A2" i="3"/>
  <c r="Y2" i="3"/>
  <c r="CX2" i="3" s="1"/>
  <c r="CY2" i="3"/>
  <c r="CZ2" i="3"/>
  <c r="DA2" i="3"/>
  <c r="DB2" i="3"/>
  <c r="DC2" i="3"/>
  <c r="A3" i="3"/>
  <c r="Y3" i="3"/>
  <c r="CV3" i="3" s="1"/>
  <c r="U26" i="1" s="1"/>
  <c r="CY3" i="3"/>
  <c r="CZ3" i="3"/>
  <c r="DA3" i="3"/>
  <c r="DB3" i="3"/>
  <c r="DC3" i="3"/>
  <c r="A4" i="3"/>
  <c r="Y4" i="3"/>
  <c r="CX4" i="3" s="1"/>
  <c r="CY4" i="3"/>
  <c r="CZ4" i="3"/>
  <c r="DA4" i="3"/>
  <c r="DB4" i="3"/>
  <c r="DC4" i="3"/>
  <c r="A5" i="3"/>
  <c r="Y5" i="3"/>
  <c r="CX5" i="3" s="1"/>
  <c r="CY5" i="3"/>
  <c r="CZ5" i="3"/>
  <c r="DB5" i="3" s="1"/>
  <c r="DA5" i="3"/>
  <c r="DC5" i="3"/>
  <c r="A6" i="3"/>
  <c r="Y6" i="3"/>
  <c r="CV6" i="3"/>
  <c r="U29" i="1" s="1"/>
  <c r="CY6" i="3"/>
  <c r="CZ6" i="3"/>
  <c r="DB6" i="3" s="1"/>
  <c r="DA6" i="3"/>
  <c r="DC6" i="3"/>
  <c r="A7" i="3"/>
  <c r="Y7" i="3"/>
  <c r="CX7" i="3" s="1"/>
  <c r="CY7" i="3"/>
  <c r="CZ7" i="3"/>
  <c r="DB7" i="3" s="1"/>
  <c r="DA7" i="3"/>
  <c r="DC7" i="3"/>
  <c r="A8" i="3"/>
  <c r="Y8" i="3"/>
  <c r="CY8" i="3"/>
  <c r="CZ8" i="3"/>
  <c r="DA8" i="3"/>
  <c r="DB8" i="3"/>
  <c r="DC8" i="3"/>
  <c r="A9" i="3"/>
  <c r="Y9" i="3"/>
  <c r="CV9" i="3" s="1"/>
  <c r="U32" i="1" s="1"/>
  <c r="CY9" i="3"/>
  <c r="CZ9" i="3"/>
  <c r="DB9" i="3" s="1"/>
  <c r="DA9" i="3"/>
  <c r="DC9" i="3"/>
  <c r="A10" i="3"/>
  <c r="Y10" i="3"/>
  <c r="CY10" i="3"/>
  <c r="CZ10" i="3"/>
  <c r="DB10" i="3" s="1"/>
  <c r="DA10" i="3"/>
  <c r="DC10" i="3"/>
  <c r="A11" i="3"/>
  <c r="Y11" i="3"/>
  <c r="CY11" i="3"/>
  <c r="CZ11" i="3"/>
  <c r="DA11" i="3"/>
  <c r="DB11" i="3"/>
  <c r="DC11" i="3"/>
  <c r="A12" i="3"/>
  <c r="Y12" i="3"/>
  <c r="CV12" i="3" s="1"/>
  <c r="U35" i="1" s="1"/>
  <c r="CY12" i="3"/>
  <c r="CZ12" i="3"/>
  <c r="DB12" i="3" s="1"/>
  <c r="DA12" i="3"/>
  <c r="DC12" i="3"/>
  <c r="A13" i="3"/>
  <c r="Y13" i="3"/>
  <c r="CX13" i="3"/>
  <c r="CY13" i="3"/>
  <c r="CZ13" i="3"/>
  <c r="DA13" i="3"/>
  <c r="DB13" i="3"/>
  <c r="DC13" i="3"/>
  <c r="A14" i="3"/>
  <c r="Y14" i="3"/>
  <c r="CY14" i="3"/>
  <c r="CZ14" i="3"/>
  <c r="DB14" i="3" s="1"/>
  <c r="DA14" i="3"/>
  <c r="DC14" i="3"/>
  <c r="A15" i="3"/>
  <c r="Y15" i="3"/>
  <c r="CY15" i="3"/>
  <c r="CZ15" i="3"/>
  <c r="DA15" i="3"/>
  <c r="DB15" i="3"/>
  <c r="DC15" i="3"/>
  <c r="A16" i="3"/>
  <c r="Y16" i="3"/>
  <c r="CW16" i="3" s="1"/>
  <c r="CY16" i="3"/>
  <c r="CZ16" i="3"/>
  <c r="DB16" i="3" s="1"/>
  <c r="DA16" i="3"/>
  <c r="DC16" i="3"/>
  <c r="A17" i="3"/>
  <c r="Y17" i="3"/>
  <c r="CY17" i="3"/>
  <c r="CZ17" i="3"/>
  <c r="DB17" i="3" s="1"/>
  <c r="DA17" i="3"/>
  <c r="DC17" i="3"/>
  <c r="A18" i="3"/>
  <c r="Y18" i="3"/>
  <c r="CY18" i="3"/>
  <c r="CZ18" i="3"/>
  <c r="DA18" i="3"/>
  <c r="DB18" i="3"/>
  <c r="DC18" i="3"/>
  <c r="A19" i="3"/>
  <c r="Y19" i="3"/>
  <c r="CX19" i="3" s="1"/>
  <c r="CY19" i="3"/>
  <c r="CZ19" i="3"/>
  <c r="DA19" i="3"/>
  <c r="DB19" i="3"/>
  <c r="DC19" i="3"/>
  <c r="A20" i="3"/>
  <c r="Y20" i="3"/>
  <c r="CX20" i="3" s="1"/>
  <c r="CY20" i="3"/>
  <c r="CZ20" i="3"/>
  <c r="DB20" i="3" s="1"/>
  <c r="DA20" i="3"/>
  <c r="DC20" i="3"/>
  <c r="A21" i="3"/>
  <c r="Y21" i="3"/>
  <c r="CX21" i="3" s="1"/>
  <c r="CY21" i="3"/>
  <c r="CZ21" i="3"/>
  <c r="DB21" i="3" s="1"/>
  <c r="DA21" i="3"/>
  <c r="DC21" i="3"/>
  <c r="A22" i="3"/>
  <c r="Y22" i="3"/>
  <c r="CX22" i="3"/>
  <c r="CY22" i="3"/>
  <c r="CZ22" i="3"/>
  <c r="DA22" i="3"/>
  <c r="DB22" i="3"/>
  <c r="DC22" i="3"/>
  <c r="A23" i="3"/>
  <c r="Y23" i="3"/>
  <c r="CX23" i="3" s="1"/>
  <c r="CY23" i="3"/>
  <c r="CZ23" i="3"/>
  <c r="DB23" i="3" s="1"/>
  <c r="DA23" i="3"/>
  <c r="DC23" i="3"/>
  <c r="A24" i="3"/>
  <c r="Y24" i="3"/>
  <c r="CX24" i="3" s="1"/>
  <c r="CY24" i="3"/>
  <c r="CZ24" i="3"/>
  <c r="DB24" i="3" s="1"/>
  <c r="DA24" i="3"/>
  <c r="DC24" i="3"/>
  <c r="A25" i="3"/>
  <c r="Y25" i="3"/>
  <c r="CY25" i="3"/>
  <c r="CZ25" i="3"/>
  <c r="DA25" i="3"/>
  <c r="DB25" i="3"/>
  <c r="DC25" i="3"/>
  <c r="A26" i="3"/>
  <c r="Y26" i="3"/>
  <c r="CY26" i="3"/>
  <c r="CZ26" i="3"/>
  <c r="DA26" i="3"/>
  <c r="DB26" i="3"/>
  <c r="DC26" i="3"/>
  <c r="A27" i="3"/>
  <c r="Y27" i="3"/>
  <c r="CX27" i="3" s="1"/>
  <c r="CY27" i="3"/>
  <c r="CZ27" i="3"/>
  <c r="DB27" i="3" s="1"/>
  <c r="DA27" i="3"/>
  <c r="DC27" i="3"/>
  <c r="DG27" i="3"/>
  <c r="A28" i="3"/>
  <c r="Y28" i="3"/>
  <c r="CY28" i="3"/>
  <c r="CZ28" i="3"/>
  <c r="DB28" i="3" s="1"/>
  <c r="DA28" i="3"/>
  <c r="DC28" i="3"/>
  <c r="A29" i="3"/>
  <c r="Y29" i="3"/>
  <c r="CY29" i="3"/>
  <c r="CZ29" i="3"/>
  <c r="DB29" i="3" s="1"/>
  <c r="DA29" i="3"/>
  <c r="DC29" i="3"/>
  <c r="A30" i="3"/>
  <c r="Y30" i="3"/>
  <c r="CX30" i="3" s="1"/>
  <c r="CY30" i="3"/>
  <c r="CZ30" i="3"/>
  <c r="DA30" i="3"/>
  <c r="DB30" i="3"/>
  <c r="DC30" i="3"/>
  <c r="A31" i="3"/>
  <c r="Y31" i="3"/>
  <c r="CX31" i="3" s="1"/>
  <c r="CY31" i="3"/>
  <c r="CZ31" i="3"/>
  <c r="DA31" i="3"/>
  <c r="DB31" i="3"/>
  <c r="DC31" i="3"/>
  <c r="A32" i="3"/>
  <c r="Y32" i="3"/>
  <c r="CX32" i="3" s="1"/>
  <c r="CY32" i="3"/>
  <c r="CZ32" i="3"/>
  <c r="DB32" i="3" s="1"/>
  <c r="DA32" i="3"/>
  <c r="DC32" i="3"/>
  <c r="A33" i="3"/>
  <c r="Y33" i="3"/>
  <c r="CV33" i="3"/>
  <c r="U39" i="1" s="1"/>
  <c r="CY33" i="3"/>
  <c r="CZ33" i="3"/>
  <c r="DB33" i="3" s="1"/>
  <c r="DA33" i="3"/>
  <c r="DC33" i="3"/>
  <c r="A34" i="3"/>
  <c r="Y34" i="3"/>
  <c r="CX34" i="3" s="1"/>
  <c r="CY34" i="3"/>
  <c r="CZ34" i="3"/>
  <c r="DB34" i="3" s="1"/>
  <c r="DA34" i="3"/>
  <c r="DC34" i="3"/>
  <c r="A35" i="3"/>
  <c r="Y35" i="3"/>
  <c r="CY35" i="3"/>
  <c r="CZ35" i="3"/>
  <c r="DA35" i="3"/>
  <c r="DB35" i="3"/>
  <c r="DC35" i="3"/>
  <c r="A36" i="3"/>
  <c r="Y36" i="3"/>
  <c r="CY36" i="3"/>
  <c r="CZ36" i="3"/>
  <c r="DA36" i="3"/>
  <c r="DB36" i="3"/>
  <c r="DC36" i="3"/>
  <c r="A37" i="3"/>
  <c r="Y37" i="3"/>
  <c r="CV37" i="3" s="1"/>
  <c r="U43" i="1" s="1"/>
  <c r="CY37" i="3"/>
  <c r="CZ37" i="3"/>
  <c r="DB37" i="3" s="1"/>
  <c r="DA37" i="3"/>
  <c r="DC37" i="3"/>
  <c r="A38" i="3"/>
  <c r="Y38" i="3"/>
  <c r="CX38" i="3" s="1"/>
  <c r="CY38" i="3"/>
  <c r="CZ38" i="3"/>
  <c r="DA38" i="3"/>
  <c r="DB38" i="3"/>
  <c r="DC38" i="3"/>
  <c r="A39" i="3"/>
  <c r="Y39" i="3"/>
  <c r="CX39" i="3" s="1"/>
  <c r="CY39" i="3"/>
  <c r="CZ39" i="3"/>
  <c r="DA39" i="3"/>
  <c r="DB39" i="3"/>
  <c r="DC39" i="3"/>
  <c r="A40" i="3"/>
  <c r="Y40" i="3"/>
  <c r="CX40" i="3" s="1"/>
  <c r="CY40" i="3"/>
  <c r="CZ40" i="3"/>
  <c r="DB40" i="3" s="1"/>
  <c r="DA40" i="3"/>
  <c r="DC40" i="3"/>
  <c r="A41" i="3"/>
  <c r="Y41" i="3"/>
  <c r="CU41" i="3"/>
  <c r="CV41" i="3"/>
  <c r="U47" i="1" s="1"/>
  <c r="CX41" i="3"/>
  <c r="DF41" i="3" s="1"/>
  <c r="P47" i="1" s="1"/>
  <c r="CY41" i="3"/>
  <c r="CZ41" i="3"/>
  <c r="DB41" i="3" s="1"/>
  <c r="DA41" i="3"/>
  <c r="DC41" i="3"/>
  <c r="A42" i="3"/>
  <c r="Y42" i="3"/>
  <c r="CX42" i="3" s="1"/>
  <c r="CY42" i="3"/>
  <c r="CZ42" i="3"/>
  <c r="DB42" i="3" s="1"/>
  <c r="DA42" i="3"/>
  <c r="DC42" i="3"/>
  <c r="A43" i="3"/>
  <c r="Y43" i="3"/>
  <c r="CX43" i="3" s="1"/>
  <c r="CU43" i="3"/>
  <c r="CV43" i="3"/>
  <c r="CY43" i="3"/>
  <c r="CZ43" i="3"/>
  <c r="DB43" i="3" s="1"/>
  <c r="DA43" i="3"/>
  <c r="DC43" i="3"/>
  <c r="A44" i="3"/>
  <c r="Y44" i="3"/>
  <c r="CX44" i="3"/>
  <c r="DH44" i="3" s="1"/>
  <c r="CY44" i="3"/>
  <c r="CZ44" i="3"/>
  <c r="DB44" i="3" s="1"/>
  <c r="DA44" i="3"/>
  <c r="DC44" i="3"/>
  <c r="DF44" i="3"/>
  <c r="DJ44" i="3" s="1"/>
  <c r="DG44" i="3"/>
  <c r="DI44" i="3"/>
  <c r="D12" i="1"/>
  <c r="E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D18" i="1"/>
  <c r="DE18" i="1"/>
  <c r="DF18" i="1"/>
  <c r="DG18" i="1"/>
  <c r="DH18" i="1"/>
  <c r="DI18" i="1"/>
  <c r="DJ18" i="1"/>
  <c r="DK18" i="1"/>
  <c r="DL18" i="1"/>
  <c r="DM18" i="1"/>
  <c r="DN18" i="1"/>
  <c r="DO18" i="1"/>
  <c r="DP18" i="1"/>
  <c r="DQ18" i="1"/>
  <c r="DR18" i="1"/>
  <c r="DS18" i="1"/>
  <c r="DT18" i="1"/>
  <c r="DU18" i="1"/>
  <c r="DV18" i="1"/>
  <c r="DW18" i="1"/>
  <c r="DX18" i="1"/>
  <c r="DY18" i="1"/>
  <c r="DZ18" i="1"/>
  <c r="EA18" i="1"/>
  <c r="EB18" i="1"/>
  <c r="EC18" i="1"/>
  <c r="ED18" i="1"/>
  <c r="EE18" i="1"/>
  <c r="EF18" i="1"/>
  <c r="EG18" i="1"/>
  <c r="EH18" i="1"/>
  <c r="EI18" i="1"/>
  <c r="EJ18" i="1"/>
  <c r="EK18" i="1"/>
  <c r="EL18" i="1"/>
  <c r="EM18" i="1"/>
  <c r="EN18" i="1"/>
  <c r="EO18" i="1"/>
  <c r="EP18" i="1"/>
  <c r="EQ18" i="1"/>
  <c r="ER18" i="1"/>
  <c r="ES18" i="1"/>
  <c r="ET18" i="1"/>
  <c r="EU18" i="1"/>
  <c r="EV18" i="1"/>
  <c r="EW18" i="1"/>
  <c r="EX18" i="1"/>
  <c r="EY18" i="1"/>
  <c r="EZ18" i="1"/>
  <c r="FA18" i="1"/>
  <c r="FB18" i="1"/>
  <c r="FC18" i="1"/>
  <c r="FD18" i="1"/>
  <c r="FE18" i="1"/>
  <c r="FF18" i="1"/>
  <c r="FG18" i="1"/>
  <c r="FH18" i="1"/>
  <c r="FI18" i="1"/>
  <c r="FJ18" i="1"/>
  <c r="FK18" i="1"/>
  <c r="FL18" i="1"/>
  <c r="FM18" i="1"/>
  <c r="FN18" i="1"/>
  <c r="FO18" i="1"/>
  <c r="FP18" i="1"/>
  <c r="FQ18" i="1"/>
  <c r="FR18" i="1"/>
  <c r="FS18" i="1"/>
  <c r="FT18" i="1"/>
  <c r="FU18" i="1"/>
  <c r="FV18" i="1"/>
  <c r="FW18" i="1"/>
  <c r="FX18" i="1"/>
  <c r="FY18" i="1"/>
  <c r="FZ18" i="1"/>
  <c r="GA18" i="1"/>
  <c r="GB18" i="1"/>
  <c r="GC18" i="1"/>
  <c r="GD18" i="1"/>
  <c r="GE18" i="1"/>
  <c r="GF18" i="1"/>
  <c r="GG18" i="1"/>
  <c r="GH18" i="1"/>
  <c r="GI18" i="1"/>
  <c r="GJ18" i="1"/>
  <c r="GK18" i="1"/>
  <c r="GL18" i="1"/>
  <c r="GM18" i="1"/>
  <c r="GN18" i="1"/>
  <c r="GO18" i="1"/>
  <c r="GP18" i="1"/>
  <c r="GQ18" i="1"/>
  <c r="GR18" i="1"/>
  <c r="GS18" i="1"/>
  <c r="GT18" i="1"/>
  <c r="GU18" i="1"/>
  <c r="GV18" i="1"/>
  <c r="GW18" i="1"/>
  <c r="GX18" i="1"/>
  <c r="D20" i="1"/>
  <c r="E22" i="1"/>
  <c r="Z22" i="1"/>
  <c r="AA22" i="1"/>
  <c r="AM22" i="1"/>
  <c r="AN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EF22" i="1"/>
  <c r="EG22" i="1"/>
  <c r="EH22" i="1"/>
  <c r="EI22" i="1"/>
  <c r="EJ22" i="1"/>
  <c r="EK22" i="1"/>
  <c r="EL22" i="1"/>
  <c r="EM22" i="1"/>
  <c r="EN22" i="1"/>
  <c r="EO22" i="1"/>
  <c r="EP22" i="1"/>
  <c r="EQ22" i="1"/>
  <c r="ER22" i="1"/>
  <c r="ES22" i="1"/>
  <c r="ET22" i="1"/>
  <c r="EU22" i="1"/>
  <c r="EV22" i="1"/>
  <c r="EW22" i="1"/>
  <c r="EX22" i="1"/>
  <c r="EY22" i="1"/>
  <c r="EZ22" i="1"/>
  <c r="FA22" i="1"/>
  <c r="FB22" i="1"/>
  <c r="FC22" i="1"/>
  <c r="FD22" i="1"/>
  <c r="FE22" i="1"/>
  <c r="FF22" i="1"/>
  <c r="FG22" i="1"/>
  <c r="FH22" i="1"/>
  <c r="FI22" i="1"/>
  <c r="FJ22" i="1"/>
  <c r="FK22" i="1"/>
  <c r="FL22" i="1"/>
  <c r="FM22" i="1"/>
  <c r="FN22" i="1"/>
  <c r="FO22" i="1"/>
  <c r="FP22" i="1"/>
  <c r="FQ22" i="1"/>
  <c r="FR22" i="1"/>
  <c r="FS22" i="1"/>
  <c r="FT22" i="1"/>
  <c r="FU22" i="1"/>
  <c r="FV22" i="1"/>
  <c r="FW22" i="1"/>
  <c r="FX22" i="1"/>
  <c r="FY22" i="1"/>
  <c r="FZ22" i="1"/>
  <c r="GA22" i="1"/>
  <c r="GB22" i="1"/>
  <c r="GC22" i="1"/>
  <c r="GD22" i="1"/>
  <c r="GE22" i="1"/>
  <c r="GF22" i="1"/>
  <c r="GG22" i="1"/>
  <c r="GH22" i="1"/>
  <c r="GI22" i="1"/>
  <c r="GJ22" i="1"/>
  <c r="GK22" i="1"/>
  <c r="GL22" i="1"/>
  <c r="GM22" i="1"/>
  <c r="GN22" i="1"/>
  <c r="GO22" i="1"/>
  <c r="GP22" i="1"/>
  <c r="GQ22" i="1"/>
  <c r="GR22" i="1"/>
  <c r="GS22" i="1"/>
  <c r="GT22" i="1"/>
  <c r="GU22" i="1"/>
  <c r="GV22" i="1"/>
  <c r="GW22" i="1"/>
  <c r="GX22" i="1"/>
  <c r="C24" i="1"/>
  <c r="D24" i="1"/>
  <c r="I24" i="1"/>
  <c r="CU1" i="3" s="1"/>
  <c r="K24" i="1"/>
  <c r="V24" i="1"/>
  <c r="AC24" i="1"/>
  <c r="AD24" i="1"/>
  <c r="AE24" i="1"/>
  <c r="AF24" i="1"/>
  <c r="AG24" i="1"/>
  <c r="AH24" i="1"/>
  <c r="AI24" i="1"/>
  <c r="AJ24" i="1"/>
  <c r="CQ24" i="1"/>
  <c r="CR24" i="1"/>
  <c r="CS24" i="1"/>
  <c r="CT24" i="1"/>
  <c r="CU24" i="1"/>
  <c r="T24" i="1" s="1"/>
  <c r="CV24" i="1"/>
  <c r="CW24" i="1"/>
  <c r="CX24" i="1"/>
  <c r="W24" i="1" s="1"/>
  <c r="GL24" i="1"/>
  <c r="GN24" i="1"/>
  <c r="GP24" i="1"/>
  <c r="GV24" i="1"/>
  <c r="GX24" i="1"/>
  <c r="HC24" i="1"/>
  <c r="I25" i="1"/>
  <c r="P25" i="1" s="1"/>
  <c r="O25" i="1" s="1"/>
  <c r="T25" i="1"/>
  <c r="U25" i="1"/>
  <c r="V25" i="1"/>
  <c r="X25" i="1"/>
  <c r="Y25" i="1"/>
  <c r="AC25" i="1"/>
  <c r="AB25" i="1" s="1"/>
  <c r="AD25" i="1"/>
  <c r="AE25" i="1"/>
  <c r="AF25" i="1"/>
  <c r="AG25" i="1"/>
  <c r="AH25" i="1"/>
  <c r="AI25" i="1"/>
  <c r="AJ25" i="1"/>
  <c r="CP25" i="1"/>
  <c r="CQ25" i="1"/>
  <c r="CR25" i="1"/>
  <c r="Q25" i="1" s="1"/>
  <c r="CS25" i="1"/>
  <c r="R25" i="1" s="1"/>
  <c r="CT25" i="1"/>
  <c r="S25" i="1" s="1"/>
  <c r="CU25" i="1"/>
  <c r="CV25" i="1"/>
  <c r="CW25" i="1"/>
  <c r="CX25" i="1"/>
  <c r="W25" i="1" s="1"/>
  <c r="CY25" i="1"/>
  <c r="CZ25" i="1"/>
  <c r="GL25" i="1"/>
  <c r="GN25" i="1"/>
  <c r="GP25" i="1"/>
  <c r="GV25" i="1"/>
  <c r="GX25" i="1"/>
  <c r="HC25" i="1"/>
  <c r="C26" i="1"/>
  <c r="D26" i="1"/>
  <c r="I26" i="1"/>
  <c r="CU3" i="3" s="1"/>
  <c r="P28" i="1" s="1"/>
  <c r="O28" i="1" s="1"/>
  <c r="GM28" i="1" s="1"/>
  <c r="GO28" i="1" s="1"/>
  <c r="K26" i="1"/>
  <c r="V26" i="1"/>
  <c r="AC26" i="1"/>
  <c r="AE26" i="1"/>
  <c r="AD26" i="1" s="1"/>
  <c r="AF26" i="1"/>
  <c r="AG26" i="1"/>
  <c r="CU26" i="1" s="1"/>
  <c r="T26" i="1" s="1"/>
  <c r="AH26" i="1"/>
  <c r="AI26" i="1"/>
  <c r="AJ26" i="1"/>
  <c r="CQ26" i="1"/>
  <c r="CR26" i="1"/>
  <c r="CS26" i="1"/>
  <c r="CT26" i="1"/>
  <c r="CV26" i="1"/>
  <c r="CW26" i="1"/>
  <c r="CX26" i="1"/>
  <c r="W26" i="1" s="1"/>
  <c r="GL26" i="1"/>
  <c r="GN26" i="1"/>
  <c r="GP26" i="1"/>
  <c r="GV26" i="1"/>
  <c r="HC26" i="1"/>
  <c r="GX26" i="1" s="1"/>
  <c r="I27" i="1"/>
  <c r="P27" i="1" s="1"/>
  <c r="Y27" i="1"/>
  <c r="AB27" i="1"/>
  <c r="AC27" i="1"/>
  <c r="AD27" i="1"/>
  <c r="AE27" i="1"/>
  <c r="AF27" i="1"/>
  <c r="AG27" i="1"/>
  <c r="AH27" i="1"/>
  <c r="AI27" i="1"/>
  <c r="CW27" i="1" s="1"/>
  <c r="V27" i="1" s="1"/>
  <c r="AJ27" i="1"/>
  <c r="CX27" i="1" s="1"/>
  <c r="W27" i="1" s="1"/>
  <c r="CQ27" i="1"/>
  <c r="CR27" i="1"/>
  <c r="Q27" i="1" s="1"/>
  <c r="CS27" i="1"/>
  <c r="R27" i="1" s="1"/>
  <c r="CT27" i="1"/>
  <c r="S27" i="1" s="1"/>
  <c r="CU27" i="1"/>
  <c r="T27" i="1" s="1"/>
  <c r="CV27" i="1"/>
  <c r="CY27" i="1"/>
  <c r="X27" i="1" s="1"/>
  <c r="CZ27" i="1"/>
  <c r="GL27" i="1"/>
  <c r="GN27" i="1"/>
  <c r="GO27" i="1"/>
  <c r="GP27" i="1"/>
  <c r="GV27" i="1"/>
  <c r="HC27" i="1" s="1"/>
  <c r="GX27" i="1" s="1"/>
  <c r="I28" i="1"/>
  <c r="Q28" i="1"/>
  <c r="S28" i="1"/>
  <c r="T28" i="1"/>
  <c r="V28" i="1"/>
  <c r="AC28" i="1"/>
  <c r="AB28" i="1" s="1"/>
  <c r="AE28" i="1"/>
  <c r="AD28" i="1" s="1"/>
  <c r="AF28" i="1"/>
  <c r="AG28" i="1"/>
  <c r="AH28" i="1"/>
  <c r="AI28" i="1"/>
  <c r="AJ28" i="1"/>
  <c r="CP28" i="1"/>
  <c r="CQ28" i="1"/>
  <c r="CR28" i="1"/>
  <c r="CS28" i="1"/>
  <c r="R28" i="1" s="1"/>
  <c r="CT28" i="1"/>
  <c r="CU28" i="1"/>
  <c r="CV28" i="1"/>
  <c r="U28" i="1" s="1"/>
  <c r="CW28" i="1"/>
  <c r="CX28" i="1"/>
  <c r="W28" i="1" s="1"/>
  <c r="AJ52" i="1" s="1"/>
  <c r="CY28" i="1"/>
  <c r="X28" i="1" s="1"/>
  <c r="CZ28" i="1"/>
  <c r="Y28" i="1" s="1"/>
  <c r="GL28" i="1"/>
  <c r="GN28" i="1"/>
  <c r="GP28" i="1"/>
  <c r="GV28" i="1"/>
  <c r="HC28" i="1"/>
  <c r="GX28" i="1" s="1"/>
  <c r="C29" i="1"/>
  <c r="D29" i="1"/>
  <c r="I29" i="1"/>
  <c r="CX6" i="3" s="1"/>
  <c r="K29" i="1"/>
  <c r="V29" i="1"/>
  <c r="AC29" i="1"/>
  <c r="AD29" i="1"/>
  <c r="AE29" i="1"/>
  <c r="AF29" i="1"/>
  <c r="AG29" i="1"/>
  <c r="AH29" i="1"/>
  <c r="AI29" i="1"/>
  <c r="AJ29" i="1"/>
  <c r="CX29" i="1" s="1"/>
  <c r="W29" i="1" s="1"/>
  <c r="CQ29" i="1"/>
  <c r="CR29" i="1"/>
  <c r="CS29" i="1"/>
  <c r="CT29" i="1"/>
  <c r="CU29" i="1"/>
  <c r="T29" i="1" s="1"/>
  <c r="CV29" i="1"/>
  <c r="CW29" i="1"/>
  <c r="GL29" i="1"/>
  <c r="GN29" i="1"/>
  <c r="GP29" i="1"/>
  <c r="GV29" i="1"/>
  <c r="HC29" i="1" s="1"/>
  <c r="GX29" i="1" s="1"/>
  <c r="I30" i="1"/>
  <c r="Q30" i="1"/>
  <c r="R30" i="1"/>
  <c r="T30" i="1"/>
  <c r="U30" i="1"/>
  <c r="W30" i="1"/>
  <c r="AC30" i="1"/>
  <c r="AB30" i="1" s="1"/>
  <c r="AD30" i="1"/>
  <c r="AE30" i="1"/>
  <c r="AF30" i="1"/>
  <c r="AG30" i="1"/>
  <c r="AH30" i="1"/>
  <c r="AI30" i="1"/>
  <c r="AJ30" i="1"/>
  <c r="CP30" i="1"/>
  <c r="CQ30" i="1"/>
  <c r="CR30" i="1"/>
  <c r="CS30" i="1"/>
  <c r="CT30" i="1"/>
  <c r="S30" i="1" s="1"/>
  <c r="CU30" i="1"/>
  <c r="CV30" i="1"/>
  <c r="CW30" i="1"/>
  <c r="V30" i="1" s="1"/>
  <c r="CX30" i="1"/>
  <c r="CY30" i="1"/>
  <c r="X30" i="1" s="1"/>
  <c r="CZ30" i="1"/>
  <c r="Y30" i="1" s="1"/>
  <c r="GL30" i="1"/>
  <c r="GN30" i="1"/>
  <c r="GP30" i="1"/>
  <c r="GV30" i="1"/>
  <c r="GX30" i="1"/>
  <c r="HC30" i="1"/>
  <c r="X31" i="1"/>
  <c r="Y31" i="1"/>
  <c r="AC31" i="1"/>
  <c r="AD31" i="1"/>
  <c r="AB31" i="1" s="1"/>
  <c r="AE31" i="1"/>
  <c r="AF31" i="1"/>
  <c r="AG31" i="1"/>
  <c r="AH31" i="1"/>
  <c r="AI31" i="1"/>
  <c r="AJ31" i="1"/>
  <c r="CQ31" i="1"/>
  <c r="CR31" i="1"/>
  <c r="CS31" i="1"/>
  <c r="CT31" i="1"/>
  <c r="CU31" i="1"/>
  <c r="CV31" i="1"/>
  <c r="CW31" i="1"/>
  <c r="CX31" i="1"/>
  <c r="CY31" i="1"/>
  <c r="CZ31" i="1"/>
  <c r="GL31" i="1"/>
  <c r="GN31" i="1"/>
  <c r="GO31" i="1"/>
  <c r="GP31" i="1"/>
  <c r="GV31" i="1"/>
  <c r="HC31" i="1" s="1"/>
  <c r="C32" i="1"/>
  <c r="D32" i="1"/>
  <c r="I32" i="1"/>
  <c r="CU9" i="3" s="1"/>
  <c r="P33" i="1" s="1"/>
  <c r="O33" i="1" s="1"/>
  <c r="GM33" i="1" s="1"/>
  <c r="GO33" i="1" s="1"/>
  <c r="K32" i="1"/>
  <c r="V32" i="1"/>
  <c r="AC32" i="1"/>
  <c r="AE32" i="1"/>
  <c r="AD32" i="1" s="1"/>
  <c r="AF32" i="1"/>
  <c r="AG32" i="1"/>
  <c r="CU32" i="1" s="1"/>
  <c r="T32" i="1" s="1"/>
  <c r="AH32" i="1"/>
  <c r="AI32" i="1"/>
  <c r="AJ32" i="1"/>
  <c r="CQ32" i="1"/>
  <c r="CR32" i="1"/>
  <c r="CS32" i="1"/>
  <c r="CT32" i="1"/>
  <c r="CV32" i="1"/>
  <c r="CW32" i="1"/>
  <c r="CX32" i="1"/>
  <c r="W32" i="1" s="1"/>
  <c r="GL32" i="1"/>
  <c r="GN32" i="1"/>
  <c r="GP32" i="1"/>
  <c r="GV32" i="1"/>
  <c r="HC32" i="1"/>
  <c r="GX32" i="1" s="1"/>
  <c r="I33" i="1"/>
  <c r="R33" i="1"/>
  <c r="W33" i="1"/>
  <c r="X33" i="1"/>
  <c r="Y33" i="1"/>
  <c r="AC33" i="1"/>
  <c r="AB33" i="1" s="1"/>
  <c r="AD33" i="1"/>
  <c r="AE33" i="1"/>
  <c r="AF33" i="1"/>
  <c r="AG33" i="1"/>
  <c r="AH33" i="1"/>
  <c r="AI33" i="1"/>
  <c r="AJ33" i="1"/>
  <c r="CP33" i="1"/>
  <c r="CQ33" i="1"/>
  <c r="CR33" i="1"/>
  <c r="Q33" i="1" s="1"/>
  <c r="CS33" i="1"/>
  <c r="CT33" i="1"/>
  <c r="S33" i="1" s="1"/>
  <c r="CU33" i="1"/>
  <c r="T33" i="1" s="1"/>
  <c r="CV33" i="1"/>
  <c r="U33" i="1" s="1"/>
  <c r="CW33" i="1"/>
  <c r="V33" i="1" s="1"/>
  <c r="CX33" i="1"/>
  <c r="CY33" i="1"/>
  <c r="CZ33" i="1"/>
  <c r="GL33" i="1"/>
  <c r="GN33" i="1"/>
  <c r="GP33" i="1"/>
  <c r="GV33" i="1"/>
  <c r="GX33" i="1"/>
  <c r="HC33" i="1"/>
  <c r="I34" i="1"/>
  <c r="HG34" i="1" s="1"/>
  <c r="S34" i="1"/>
  <c r="W34" i="1"/>
  <c r="AC34" i="1"/>
  <c r="AE34" i="1"/>
  <c r="AD34" i="1" s="1"/>
  <c r="AB34" i="1" s="1"/>
  <c r="AF34" i="1"/>
  <c r="AG34" i="1"/>
  <c r="CU34" i="1" s="1"/>
  <c r="T34" i="1" s="1"/>
  <c r="AH34" i="1"/>
  <c r="CV34" i="1" s="1"/>
  <c r="U34" i="1" s="1"/>
  <c r="AI34" i="1"/>
  <c r="CW34" i="1" s="1"/>
  <c r="V34" i="1" s="1"/>
  <c r="AJ34" i="1"/>
  <c r="CP34" i="1"/>
  <c r="O34" i="1" s="1"/>
  <c r="CQ34" i="1"/>
  <c r="P34" i="1" s="1"/>
  <c r="CR34" i="1"/>
  <c r="Q34" i="1" s="1"/>
  <c r="CS34" i="1"/>
  <c r="R34" i="1" s="1"/>
  <c r="CZ34" i="1" s="1"/>
  <c r="Y34" i="1" s="1"/>
  <c r="CT34" i="1"/>
  <c r="CX34" i="1"/>
  <c r="GL34" i="1"/>
  <c r="GN34" i="1"/>
  <c r="GP34" i="1"/>
  <c r="GV34" i="1"/>
  <c r="HC34" i="1" s="1"/>
  <c r="GX34" i="1" s="1"/>
  <c r="C35" i="1"/>
  <c r="D35" i="1"/>
  <c r="I35" i="1"/>
  <c r="CW15" i="3" s="1"/>
  <c r="K35" i="1"/>
  <c r="W35" i="1"/>
  <c r="AC35" i="1"/>
  <c r="AE35" i="1"/>
  <c r="AD35" i="1" s="1"/>
  <c r="AF35" i="1"/>
  <c r="AG35" i="1"/>
  <c r="AH35" i="1"/>
  <c r="AI35" i="1"/>
  <c r="AJ35" i="1"/>
  <c r="CQ35" i="1"/>
  <c r="CR35" i="1"/>
  <c r="CS35" i="1"/>
  <c r="CT35" i="1"/>
  <c r="CU35" i="1"/>
  <c r="T35" i="1" s="1"/>
  <c r="CV35" i="1"/>
  <c r="CW35" i="1"/>
  <c r="CX35" i="1"/>
  <c r="GL35" i="1"/>
  <c r="GN35" i="1"/>
  <c r="GP35" i="1"/>
  <c r="GV35" i="1"/>
  <c r="HC35" i="1" s="1"/>
  <c r="GX35" i="1" s="1"/>
  <c r="I36" i="1"/>
  <c r="W36" i="1"/>
  <c r="X36" i="1"/>
  <c r="AC36" i="1"/>
  <c r="AE36" i="1"/>
  <c r="AD36" i="1" s="1"/>
  <c r="AB36" i="1" s="1"/>
  <c r="AF36" i="1"/>
  <c r="AG36" i="1"/>
  <c r="AH36" i="1"/>
  <c r="AI36" i="1"/>
  <c r="AJ36" i="1"/>
  <c r="CP36" i="1"/>
  <c r="CQ36" i="1"/>
  <c r="CR36" i="1"/>
  <c r="Q36" i="1" s="1"/>
  <c r="CS36" i="1"/>
  <c r="R36" i="1" s="1"/>
  <c r="CT36" i="1"/>
  <c r="CU36" i="1"/>
  <c r="CV36" i="1"/>
  <c r="CW36" i="1"/>
  <c r="V36" i="1" s="1"/>
  <c r="CX36" i="1"/>
  <c r="CY36" i="1"/>
  <c r="CZ36" i="1"/>
  <c r="Y36" i="1" s="1"/>
  <c r="GL36" i="1"/>
  <c r="GN36" i="1"/>
  <c r="GP36" i="1"/>
  <c r="GV36" i="1"/>
  <c r="HC36" i="1"/>
  <c r="GX36" i="1" s="1"/>
  <c r="AC37" i="1"/>
  <c r="AB37" i="1" s="1"/>
  <c r="AE37" i="1"/>
  <c r="AD37" i="1" s="1"/>
  <c r="AF37" i="1"/>
  <c r="AG37" i="1"/>
  <c r="CU37" i="1" s="1"/>
  <c r="AH37" i="1"/>
  <c r="CV37" i="1" s="1"/>
  <c r="AI37" i="1"/>
  <c r="CW37" i="1" s="1"/>
  <c r="AJ37" i="1"/>
  <c r="CQ37" i="1"/>
  <c r="CR37" i="1"/>
  <c r="CS37" i="1"/>
  <c r="CT37" i="1"/>
  <c r="CX37" i="1"/>
  <c r="GL37" i="1"/>
  <c r="GN37" i="1"/>
  <c r="GP37" i="1"/>
  <c r="GV37" i="1"/>
  <c r="HC37" i="1"/>
  <c r="I38" i="1"/>
  <c r="AB38" i="1"/>
  <c r="AC38" i="1"/>
  <c r="AE38" i="1"/>
  <c r="AD38" i="1" s="1"/>
  <c r="AF38" i="1"/>
  <c r="AG38" i="1"/>
  <c r="AH38" i="1"/>
  <c r="AI38" i="1"/>
  <c r="AJ38" i="1"/>
  <c r="CX38" i="1" s="1"/>
  <c r="CQ38" i="1"/>
  <c r="CR38" i="1"/>
  <c r="CS38" i="1"/>
  <c r="R38" i="1" s="1"/>
  <c r="CT38" i="1"/>
  <c r="S38" i="1" s="1"/>
  <c r="CU38" i="1"/>
  <c r="CV38" i="1"/>
  <c r="U38" i="1" s="1"/>
  <c r="CW38" i="1"/>
  <c r="GL38" i="1"/>
  <c r="GN38" i="1"/>
  <c r="GP38" i="1"/>
  <c r="GV38" i="1"/>
  <c r="HC38" i="1" s="1"/>
  <c r="GX38" i="1" s="1"/>
  <c r="C39" i="1"/>
  <c r="D39" i="1"/>
  <c r="I39" i="1"/>
  <c r="CX33" i="3" s="1"/>
  <c r="K39" i="1"/>
  <c r="V39" i="1"/>
  <c r="AC39" i="1"/>
  <c r="AD39" i="1"/>
  <c r="AE39" i="1"/>
  <c r="AF39" i="1"/>
  <c r="AG39" i="1"/>
  <c r="CU39" i="1" s="1"/>
  <c r="T39" i="1" s="1"/>
  <c r="AH39" i="1"/>
  <c r="AI39" i="1"/>
  <c r="AJ39" i="1"/>
  <c r="CQ39" i="1"/>
  <c r="CR39" i="1"/>
  <c r="CS39" i="1"/>
  <c r="CT39" i="1"/>
  <c r="CV39" i="1"/>
  <c r="CW39" i="1"/>
  <c r="CX39" i="1"/>
  <c r="W39" i="1" s="1"/>
  <c r="GL39" i="1"/>
  <c r="GN39" i="1"/>
  <c r="GP39" i="1"/>
  <c r="GV39" i="1"/>
  <c r="HC39" i="1" s="1"/>
  <c r="GX39" i="1" s="1"/>
  <c r="I40" i="1"/>
  <c r="X40" i="1"/>
  <c r="AB40" i="1"/>
  <c r="AC40" i="1"/>
  <c r="AE40" i="1"/>
  <c r="AD40" i="1" s="1"/>
  <c r="AF40" i="1"/>
  <c r="AG40" i="1"/>
  <c r="AH40" i="1"/>
  <c r="AI40" i="1"/>
  <c r="AJ40" i="1"/>
  <c r="CP40" i="1"/>
  <c r="CQ40" i="1"/>
  <c r="CR40" i="1"/>
  <c r="CS40" i="1"/>
  <c r="R40" i="1" s="1"/>
  <c r="CT40" i="1"/>
  <c r="S40" i="1" s="1"/>
  <c r="CU40" i="1"/>
  <c r="T40" i="1" s="1"/>
  <c r="CV40" i="1"/>
  <c r="U40" i="1" s="1"/>
  <c r="CW40" i="1"/>
  <c r="CX40" i="1"/>
  <c r="CY40" i="1"/>
  <c r="CZ40" i="1"/>
  <c r="Y40" i="1" s="1"/>
  <c r="GL40" i="1"/>
  <c r="GN40" i="1"/>
  <c r="GP40" i="1"/>
  <c r="GV40" i="1"/>
  <c r="HC40" i="1"/>
  <c r="GX40" i="1" s="1"/>
  <c r="I41" i="1"/>
  <c r="S41" i="1" s="1"/>
  <c r="V41" i="1"/>
  <c r="W41" i="1"/>
  <c r="Y41" i="1"/>
  <c r="AC41" i="1"/>
  <c r="AE41" i="1"/>
  <c r="AD41" i="1" s="1"/>
  <c r="AB41" i="1" s="1"/>
  <c r="AF41" i="1"/>
  <c r="AG41" i="1"/>
  <c r="CU41" i="1" s="1"/>
  <c r="T41" i="1" s="1"/>
  <c r="AH41" i="1"/>
  <c r="CV41" i="1" s="1"/>
  <c r="U41" i="1" s="1"/>
  <c r="AI41" i="1"/>
  <c r="AJ41" i="1"/>
  <c r="CX41" i="1" s="1"/>
  <c r="CP41" i="1"/>
  <c r="O41" i="1" s="1"/>
  <c r="GM41" i="1" s="1"/>
  <c r="CQ41" i="1"/>
  <c r="P41" i="1" s="1"/>
  <c r="FR41" i="1" s="1"/>
  <c r="CR41" i="1"/>
  <c r="Q41" i="1" s="1"/>
  <c r="CS41" i="1"/>
  <c r="R41" i="1" s="1"/>
  <c r="CT41" i="1"/>
  <c r="CW41" i="1"/>
  <c r="CY41" i="1"/>
  <c r="X41" i="1" s="1"/>
  <c r="CZ41" i="1"/>
  <c r="GL41" i="1"/>
  <c r="GN41" i="1"/>
  <c r="GO41" i="1"/>
  <c r="GP41" i="1"/>
  <c r="GV41" i="1"/>
  <c r="HC41" i="1"/>
  <c r="GX41" i="1" s="1"/>
  <c r="HH41" i="1"/>
  <c r="I42" i="1"/>
  <c r="P42" i="1"/>
  <c r="Q42" i="1"/>
  <c r="S42" i="1"/>
  <c r="X42" i="1"/>
  <c r="Y42" i="1"/>
  <c r="AC42" i="1"/>
  <c r="AE42" i="1"/>
  <c r="AD42" i="1" s="1"/>
  <c r="AB42" i="1" s="1"/>
  <c r="AF42" i="1"/>
  <c r="AG42" i="1"/>
  <c r="AH42" i="1"/>
  <c r="AI42" i="1"/>
  <c r="AJ42" i="1"/>
  <c r="CQ42" i="1"/>
  <c r="CR42" i="1"/>
  <c r="CS42" i="1"/>
  <c r="R42" i="1" s="1"/>
  <c r="CT42" i="1"/>
  <c r="CU42" i="1"/>
  <c r="T42" i="1" s="1"/>
  <c r="CV42" i="1"/>
  <c r="U42" i="1" s="1"/>
  <c r="CW42" i="1"/>
  <c r="V42" i="1" s="1"/>
  <c r="CX42" i="1"/>
  <c r="W42" i="1" s="1"/>
  <c r="CY42" i="1"/>
  <c r="CZ42" i="1"/>
  <c r="GL42" i="1"/>
  <c r="GN42" i="1"/>
  <c r="GO42" i="1"/>
  <c r="GP42" i="1"/>
  <c r="GV42" i="1"/>
  <c r="HC42" i="1" s="1"/>
  <c r="GX42" i="1"/>
  <c r="HH42" i="1"/>
  <c r="C43" i="1"/>
  <c r="D43" i="1"/>
  <c r="I43" i="1"/>
  <c r="CU37" i="3" s="1"/>
  <c r="K43" i="1"/>
  <c r="T43" i="1"/>
  <c r="V43" i="1"/>
  <c r="AC43" i="1"/>
  <c r="AE43" i="1"/>
  <c r="AD43" i="1" s="1"/>
  <c r="AF43" i="1"/>
  <c r="AG43" i="1"/>
  <c r="CU43" i="1" s="1"/>
  <c r="AH43" i="1"/>
  <c r="AI43" i="1"/>
  <c r="AJ43" i="1"/>
  <c r="CQ43" i="1"/>
  <c r="CR43" i="1"/>
  <c r="CS43" i="1"/>
  <c r="CT43" i="1"/>
  <c r="CV43" i="1"/>
  <c r="CW43" i="1"/>
  <c r="CX43" i="1"/>
  <c r="W43" i="1" s="1"/>
  <c r="GL43" i="1"/>
  <c r="GN43" i="1"/>
  <c r="GP43" i="1"/>
  <c r="GV43" i="1"/>
  <c r="HC43" i="1"/>
  <c r="GX43" i="1" s="1"/>
  <c r="I44" i="1"/>
  <c r="P44" i="1"/>
  <c r="O44" i="1" s="1"/>
  <c r="GM44" i="1" s="1"/>
  <c r="GO44" i="1" s="1"/>
  <c r="R44" i="1"/>
  <c r="W44" i="1"/>
  <c r="X44" i="1"/>
  <c r="Y44" i="1"/>
  <c r="AC44" i="1"/>
  <c r="AD44" i="1"/>
  <c r="AE44" i="1"/>
  <c r="AF44" i="1"/>
  <c r="AG44" i="1"/>
  <c r="AH44" i="1"/>
  <c r="AI44" i="1"/>
  <c r="AJ44" i="1"/>
  <c r="CP44" i="1"/>
  <c r="CQ44" i="1"/>
  <c r="CR44" i="1"/>
  <c r="Q44" i="1" s="1"/>
  <c r="CS44" i="1"/>
  <c r="CT44" i="1"/>
  <c r="S44" i="1" s="1"/>
  <c r="CU44" i="1"/>
  <c r="T44" i="1" s="1"/>
  <c r="CV44" i="1"/>
  <c r="U44" i="1" s="1"/>
  <c r="CW44" i="1"/>
  <c r="V44" i="1" s="1"/>
  <c r="CX44" i="1"/>
  <c r="CY44" i="1"/>
  <c r="CZ44" i="1"/>
  <c r="GL44" i="1"/>
  <c r="GN44" i="1"/>
  <c r="GP44" i="1"/>
  <c r="GV44" i="1"/>
  <c r="GX44" i="1"/>
  <c r="HC44" i="1"/>
  <c r="I45" i="1"/>
  <c r="S45" i="1"/>
  <c r="U45" i="1"/>
  <c r="W45" i="1"/>
  <c r="X45" i="1"/>
  <c r="AC45" i="1"/>
  <c r="AE45" i="1"/>
  <c r="AD45" i="1" s="1"/>
  <c r="AB45" i="1" s="1"/>
  <c r="AF45" i="1"/>
  <c r="AG45" i="1"/>
  <c r="CU45" i="1" s="1"/>
  <c r="T45" i="1" s="1"/>
  <c r="AH45" i="1"/>
  <c r="CV45" i="1" s="1"/>
  <c r="AI45" i="1"/>
  <c r="CW45" i="1" s="1"/>
  <c r="V45" i="1" s="1"/>
  <c r="AJ45" i="1"/>
  <c r="CQ45" i="1"/>
  <c r="P45" i="1" s="1"/>
  <c r="FR45" i="1" s="1"/>
  <c r="CR45" i="1"/>
  <c r="Q45" i="1" s="1"/>
  <c r="CS45" i="1"/>
  <c r="R45" i="1" s="1"/>
  <c r="CT45" i="1"/>
  <c r="CX45" i="1"/>
  <c r="CY45" i="1"/>
  <c r="CZ45" i="1"/>
  <c r="Y45" i="1" s="1"/>
  <c r="GL45" i="1"/>
  <c r="GN45" i="1"/>
  <c r="GO45" i="1"/>
  <c r="GP45" i="1"/>
  <c r="GV45" i="1"/>
  <c r="HC45" i="1"/>
  <c r="GX45" i="1" s="1"/>
  <c r="HH45" i="1"/>
  <c r="I46" i="1"/>
  <c r="HH46" i="1" s="1"/>
  <c r="R46" i="1"/>
  <c r="T46" i="1"/>
  <c r="Y46" i="1"/>
  <c r="AB46" i="1"/>
  <c r="AC46" i="1"/>
  <c r="AE46" i="1"/>
  <c r="AD46" i="1" s="1"/>
  <c r="AF46" i="1"/>
  <c r="AG46" i="1"/>
  <c r="AH46" i="1"/>
  <c r="AI46" i="1"/>
  <c r="AJ46" i="1"/>
  <c r="CQ46" i="1"/>
  <c r="P46" i="1" s="1"/>
  <c r="CR46" i="1"/>
  <c r="Q46" i="1" s="1"/>
  <c r="CS46" i="1"/>
  <c r="CT46" i="1"/>
  <c r="S46" i="1" s="1"/>
  <c r="CU46" i="1"/>
  <c r="CV46" i="1"/>
  <c r="U46" i="1" s="1"/>
  <c r="CW46" i="1"/>
  <c r="V46" i="1" s="1"/>
  <c r="CX46" i="1"/>
  <c r="W46" i="1" s="1"/>
  <c r="CY46" i="1"/>
  <c r="X46" i="1" s="1"/>
  <c r="CZ46" i="1"/>
  <c r="GL46" i="1"/>
  <c r="GN46" i="1"/>
  <c r="GO46" i="1"/>
  <c r="GP46" i="1"/>
  <c r="GV46" i="1"/>
  <c r="HC46" i="1"/>
  <c r="GX46" i="1" s="1"/>
  <c r="CJ52" i="1" s="1"/>
  <c r="C47" i="1"/>
  <c r="D47" i="1"/>
  <c r="V47" i="1"/>
  <c r="AC47" i="1"/>
  <c r="AE47" i="1"/>
  <c r="AD47" i="1" s="1"/>
  <c r="AF47" i="1"/>
  <c r="AB47" i="1" s="1"/>
  <c r="AG47" i="1"/>
  <c r="CU47" i="1" s="1"/>
  <c r="T47" i="1" s="1"/>
  <c r="AH47" i="1"/>
  <c r="AI47" i="1"/>
  <c r="AJ47" i="1"/>
  <c r="CX47" i="1" s="1"/>
  <c r="W47" i="1" s="1"/>
  <c r="CQ47" i="1"/>
  <c r="CR47" i="1"/>
  <c r="CS47" i="1"/>
  <c r="CT47" i="1"/>
  <c r="CV47" i="1"/>
  <c r="CW47" i="1"/>
  <c r="GL47" i="1"/>
  <c r="GN47" i="1"/>
  <c r="GP47" i="1"/>
  <c r="GV47" i="1"/>
  <c r="HC47" i="1"/>
  <c r="GX47" i="1" s="1"/>
  <c r="I48" i="1"/>
  <c r="P48" i="1" s="1"/>
  <c r="O48" i="1" s="1"/>
  <c r="GM48" i="1" s="1"/>
  <c r="GO48" i="1" s="1"/>
  <c r="AB48" i="1"/>
  <c r="AC48" i="1"/>
  <c r="AD48" i="1"/>
  <c r="AE48" i="1"/>
  <c r="AF48" i="1"/>
  <c r="AG48" i="1"/>
  <c r="AH48" i="1"/>
  <c r="AI48" i="1"/>
  <c r="AJ48" i="1"/>
  <c r="CP48" i="1"/>
  <c r="CQ48" i="1"/>
  <c r="CR48" i="1"/>
  <c r="CS48" i="1"/>
  <c r="R48" i="1" s="1"/>
  <c r="CT48" i="1"/>
  <c r="CU48" i="1"/>
  <c r="CV48" i="1"/>
  <c r="CW48" i="1"/>
  <c r="V48" i="1" s="1"/>
  <c r="CX48" i="1"/>
  <c r="W48" i="1" s="1"/>
  <c r="CY48" i="1"/>
  <c r="X48" i="1" s="1"/>
  <c r="CZ48" i="1"/>
  <c r="Y48" i="1" s="1"/>
  <c r="GL48" i="1"/>
  <c r="GN48" i="1"/>
  <c r="GP48" i="1"/>
  <c r="GV48" i="1"/>
  <c r="GX48" i="1"/>
  <c r="HC48" i="1"/>
  <c r="C49" i="1"/>
  <c r="D49" i="1"/>
  <c r="U49" i="1"/>
  <c r="V49" i="1"/>
  <c r="W49" i="1"/>
  <c r="AC49" i="1"/>
  <c r="AD49" i="1"/>
  <c r="AB49" i="1" s="1"/>
  <c r="AE49" i="1"/>
  <c r="AF49" i="1"/>
  <c r="AG49" i="1"/>
  <c r="AH49" i="1"/>
  <c r="AI49" i="1"/>
  <c r="AJ49" i="1"/>
  <c r="CX49" i="1" s="1"/>
  <c r="CQ49" i="1"/>
  <c r="CR49" i="1"/>
  <c r="CS49" i="1"/>
  <c r="CT49" i="1"/>
  <c r="CU49" i="1"/>
  <c r="T49" i="1" s="1"/>
  <c r="CV49" i="1"/>
  <c r="CW49" i="1"/>
  <c r="GL49" i="1"/>
  <c r="GN49" i="1"/>
  <c r="GP49" i="1"/>
  <c r="GV49" i="1"/>
  <c r="GX49" i="1"/>
  <c r="HC49" i="1"/>
  <c r="I50" i="1"/>
  <c r="P50" i="1"/>
  <c r="O50" i="1" s="1"/>
  <c r="R50" i="1"/>
  <c r="S50" i="1"/>
  <c r="U50" i="1"/>
  <c r="X50" i="1"/>
  <c r="Y50" i="1"/>
  <c r="AC50" i="1"/>
  <c r="AD50" i="1"/>
  <c r="AE50" i="1"/>
  <c r="AF50" i="1"/>
  <c r="AG50" i="1"/>
  <c r="AH50" i="1"/>
  <c r="AI50" i="1"/>
  <c r="AJ50" i="1"/>
  <c r="CP50" i="1"/>
  <c r="CQ50" i="1"/>
  <c r="CR50" i="1"/>
  <c r="Q50" i="1" s="1"/>
  <c r="CS50" i="1"/>
  <c r="CT50" i="1"/>
  <c r="CU50" i="1"/>
  <c r="T50" i="1" s="1"/>
  <c r="CV50" i="1"/>
  <c r="CW50" i="1"/>
  <c r="V50" i="1" s="1"/>
  <c r="CX50" i="1"/>
  <c r="W50" i="1" s="1"/>
  <c r="CY50" i="1"/>
  <c r="CZ50" i="1"/>
  <c r="GL50" i="1"/>
  <c r="GN50" i="1"/>
  <c r="GP50" i="1"/>
  <c r="GV50" i="1"/>
  <c r="HC50" i="1"/>
  <c r="GX50" i="1" s="1"/>
  <c r="B52" i="1"/>
  <c r="B22" i="1" s="1"/>
  <c r="C52" i="1"/>
  <c r="C22" i="1" s="1"/>
  <c r="D52" i="1"/>
  <c r="D22" i="1" s="1"/>
  <c r="F52" i="1"/>
  <c r="F22" i="1" s="1"/>
  <c r="G52" i="1"/>
  <c r="G22" i="1" s="1"/>
  <c r="AI52" i="1"/>
  <c r="AI22" i="1" s="1"/>
  <c r="BB52" i="1"/>
  <c r="BB22" i="1" s="1"/>
  <c r="BC52" i="1"/>
  <c r="BC22" i="1" s="1"/>
  <c r="BX52" i="1"/>
  <c r="BX22" i="1" s="1"/>
  <c r="CK52" i="1"/>
  <c r="CK22" i="1" s="1"/>
  <c r="CL52" i="1"/>
  <c r="CL22" i="1" s="1"/>
  <c r="CM52" i="1"/>
  <c r="CM22" i="1" s="1"/>
  <c r="F65" i="1"/>
  <c r="B84" i="1"/>
  <c r="B18" i="1" s="1"/>
  <c r="C84" i="1"/>
  <c r="C18" i="1" s="1"/>
  <c r="D84" i="1"/>
  <c r="D18" i="1" s="1"/>
  <c r="F84" i="1"/>
  <c r="F18" i="1" s="1"/>
  <c r="G84" i="1"/>
  <c r="G18" i="1" s="1"/>
  <c r="BB84" i="1"/>
  <c r="BB18" i="1" s="1"/>
  <c r="BC84" i="1"/>
  <c r="BC18" i="1" s="1"/>
  <c r="F97" i="1"/>
  <c r="F12" i="6"/>
  <c r="G12" i="6"/>
  <c r="AN61" i="7" l="1"/>
  <c r="L127" i="7"/>
  <c r="L121" i="7"/>
  <c r="L170" i="7" s="1"/>
  <c r="L100" i="7"/>
  <c r="L98" i="7" s="1"/>
  <c r="L96" i="7" s="1"/>
  <c r="L58" i="7"/>
  <c r="L151" i="7"/>
  <c r="L112" i="7"/>
  <c r="L163" i="7"/>
  <c r="K39" i="7"/>
  <c r="L168" i="7"/>
  <c r="L166" i="7" s="1"/>
  <c r="L118" i="7"/>
  <c r="L116" i="7" s="1"/>
  <c r="L160" i="7"/>
  <c r="L158" i="7" s="1"/>
  <c r="BZ52" i="1"/>
  <c r="AQ52" i="1" s="1"/>
  <c r="CD52" i="1"/>
  <c r="CD22" i="1" s="1"/>
  <c r="BZ22" i="1"/>
  <c r="V52" i="1"/>
  <c r="V22" i="1" s="1"/>
  <c r="AB29" i="1"/>
  <c r="AB35" i="1"/>
  <c r="CB52" i="1"/>
  <c r="AS52" i="1" s="1"/>
  <c r="AB24" i="1"/>
  <c r="AB32" i="1"/>
  <c r="AB26" i="1"/>
  <c r="CJ22" i="1"/>
  <c r="BA52" i="1"/>
  <c r="AJ22" i="1"/>
  <c r="W52" i="1"/>
  <c r="AG52" i="1"/>
  <c r="DF4" i="3"/>
  <c r="DJ4" i="3" s="1"/>
  <c r="DG4" i="3"/>
  <c r="DH4" i="3"/>
  <c r="DI4" i="3"/>
  <c r="BD52" i="1"/>
  <c r="Q48" i="1"/>
  <c r="T38" i="1"/>
  <c r="DF23" i="3"/>
  <c r="DJ23" i="3" s="1"/>
  <c r="DG23" i="3"/>
  <c r="DH23" i="3"/>
  <c r="DI23" i="3"/>
  <c r="AB50" i="1"/>
  <c r="U48" i="1"/>
  <c r="CY38" i="1"/>
  <c r="X38" i="1" s="1"/>
  <c r="CZ38" i="1"/>
  <c r="Y38" i="1" s="1"/>
  <c r="Q38" i="1"/>
  <c r="HG38" i="1"/>
  <c r="V38" i="1"/>
  <c r="DF6" i="3"/>
  <c r="P29" i="1" s="1"/>
  <c r="DG6" i="3"/>
  <c r="Q29" i="1" s="1"/>
  <c r="DH6" i="3"/>
  <c r="R29" i="1" s="1"/>
  <c r="DI6" i="3"/>
  <c r="DF40" i="3"/>
  <c r="DJ40" i="3" s="1"/>
  <c r="DG40" i="3"/>
  <c r="DH40" i="3"/>
  <c r="DI40" i="3"/>
  <c r="CG52" i="1"/>
  <c r="S48" i="1"/>
  <c r="CP45" i="1"/>
  <c r="O45" i="1" s="1"/>
  <c r="GM45" i="1" s="1"/>
  <c r="DF21" i="3"/>
  <c r="DJ21" i="3" s="1"/>
  <c r="DG21" i="3"/>
  <c r="DH21" i="3"/>
  <c r="DI21" i="3"/>
  <c r="CW14" i="3"/>
  <c r="V35" i="1" s="1"/>
  <c r="CX14" i="3"/>
  <c r="DH2" i="3"/>
  <c r="DI2" i="3"/>
  <c r="DF2" i="3"/>
  <c r="DJ2" i="3" s="1"/>
  <c r="DF33" i="3"/>
  <c r="P39" i="1" s="1"/>
  <c r="DG33" i="3"/>
  <c r="Q39" i="1" s="1"/>
  <c r="DH33" i="3"/>
  <c r="R39" i="1" s="1"/>
  <c r="DI33" i="3"/>
  <c r="T37" i="1"/>
  <c r="U31" i="1"/>
  <c r="GM25" i="1"/>
  <c r="GO25" i="1" s="1"/>
  <c r="DH43" i="3"/>
  <c r="R49" i="1" s="1"/>
  <c r="DI43" i="3"/>
  <c r="DF43" i="3"/>
  <c r="P49" i="1" s="1"/>
  <c r="DF38" i="3"/>
  <c r="DJ38" i="3" s="1"/>
  <c r="DG38" i="3"/>
  <c r="DH38" i="3"/>
  <c r="DI38" i="3"/>
  <c r="DF19" i="3"/>
  <c r="DJ19" i="3" s="1"/>
  <c r="DG19" i="3"/>
  <c r="DH19" i="3"/>
  <c r="DI19" i="3"/>
  <c r="DF7" i="3"/>
  <c r="DJ7" i="3" s="1"/>
  <c r="DG7" i="3"/>
  <c r="DH7" i="3"/>
  <c r="DI7" i="3"/>
  <c r="DF30" i="3"/>
  <c r="DJ30" i="3" s="1"/>
  <c r="DG30" i="3"/>
  <c r="DH30" i="3"/>
  <c r="DI30" i="3"/>
  <c r="F100" i="1"/>
  <c r="Q40" i="1"/>
  <c r="V40" i="1"/>
  <c r="W40" i="1"/>
  <c r="P38" i="1"/>
  <c r="CP38" i="1" s="1"/>
  <c r="O38" i="1" s="1"/>
  <c r="DF31" i="3"/>
  <c r="DJ31" i="3" s="1"/>
  <c r="DG31" i="3"/>
  <c r="DH31" i="3"/>
  <c r="DI31" i="3"/>
  <c r="DF5" i="3"/>
  <c r="DJ5" i="3" s="1"/>
  <c r="DG5" i="3"/>
  <c r="DH5" i="3"/>
  <c r="DI5" i="3"/>
  <c r="AO52" i="1"/>
  <c r="F68" i="1"/>
  <c r="W38" i="1"/>
  <c r="AB44" i="1"/>
  <c r="GX31" i="1"/>
  <c r="DF24" i="3"/>
  <c r="DJ24" i="3" s="1"/>
  <c r="DG24" i="3"/>
  <c r="DH24" i="3"/>
  <c r="DI24" i="3"/>
  <c r="FR46" i="1"/>
  <c r="CP46" i="1"/>
  <c r="O46" i="1" s="1"/>
  <c r="GM46" i="1" s="1"/>
  <c r="W37" i="1"/>
  <c r="FR27" i="1"/>
  <c r="CP27" i="1"/>
  <c r="O27" i="1" s="1"/>
  <c r="GM27" i="1" s="1"/>
  <c r="DH27" i="3"/>
  <c r="DI27" i="3"/>
  <c r="DF27" i="3"/>
  <c r="DJ27" i="3" s="1"/>
  <c r="DF22" i="3"/>
  <c r="DJ22" i="3" s="1"/>
  <c r="DG22" i="3"/>
  <c r="DH22" i="3"/>
  <c r="DI22" i="3"/>
  <c r="CY34" i="1"/>
  <c r="X34" i="1" s="1"/>
  <c r="GM34" i="1" s="1"/>
  <c r="GO34" i="1" s="1"/>
  <c r="DG43" i="3"/>
  <c r="Q49" i="1" s="1"/>
  <c r="DF39" i="3"/>
  <c r="DJ39" i="3" s="1"/>
  <c r="DG39" i="3"/>
  <c r="DH39" i="3"/>
  <c r="DI39" i="3"/>
  <c r="DF34" i="3"/>
  <c r="DJ34" i="3" s="1"/>
  <c r="DG34" i="3"/>
  <c r="DH34" i="3"/>
  <c r="DI34" i="3"/>
  <c r="DF20" i="3"/>
  <c r="DJ20" i="3" s="1"/>
  <c r="DG20" i="3"/>
  <c r="DH20" i="3"/>
  <c r="DI20" i="3"/>
  <c r="DG2" i="3"/>
  <c r="T48" i="1"/>
  <c r="AB43" i="1"/>
  <c r="DF32" i="3"/>
  <c r="DJ32" i="3" s="1"/>
  <c r="DG32" i="3"/>
  <c r="DH32" i="3"/>
  <c r="DI32" i="3"/>
  <c r="DF13" i="3"/>
  <c r="DG13" i="3"/>
  <c r="DH13" i="3"/>
  <c r="DI13" i="3"/>
  <c r="DJ13" i="3" s="1"/>
  <c r="F75" i="1"/>
  <c r="GM50" i="1"/>
  <c r="GO50" i="1" s="1"/>
  <c r="FR42" i="1"/>
  <c r="CP42" i="1"/>
  <c r="O42" i="1" s="1"/>
  <c r="GM42" i="1" s="1"/>
  <c r="AB39" i="1"/>
  <c r="DF42" i="3"/>
  <c r="DJ42" i="3" s="1"/>
  <c r="DG42" i="3"/>
  <c r="DH42" i="3"/>
  <c r="DI42" i="3"/>
  <c r="CU33" i="3"/>
  <c r="P40" i="1" s="1"/>
  <c r="O40" i="1" s="1"/>
  <c r="GM40" i="1" s="1"/>
  <c r="GO40" i="1" s="1"/>
  <c r="CX12" i="3"/>
  <c r="CU6" i="3"/>
  <c r="P30" i="1" s="1"/>
  <c r="O30" i="1" s="1"/>
  <c r="GM30" i="1" s="1"/>
  <c r="GO30" i="1" s="1"/>
  <c r="U36" i="1"/>
  <c r="I31" i="1"/>
  <c r="R31" i="1" s="1"/>
  <c r="DI41" i="3"/>
  <c r="T36" i="1"/>
  <c r="DH41" i="3"/>
  <c r="R47" i="1" s="1"/>
  <c r="CU12" i="3"/>
  <c r="P36" i="1" s="1"/>
  <c r="O36" i="1" s="1"/>
  <c r="GM36" i="1" s="1"/>
  <c r="GO36" i="1" s="1"/>
  <c r="S36" i="1"/>
  <c r="U27" i="1"/>
  <c r="AH52" i="1" s="1"/>
  <c r="DG41" i="3"/>
  <c r="Q47" i="1" s="1"/>
  <c r="CX18" i="3"/>
  <c r="CX11" i="3"/>
  <c r="CX3" i="3"/>
  <c r="I37" i="1"/>
  <c r="R37" i="1" s="1"/>
  <c r="CX37" i="3"/>
  <c r="CX29" i="3"/>
  <c r="CX17" i="3"/>
  <c r="CX10" i="3"/>
  <c r="HH27" i="1"/>
  <c r="CX28" i="3"/>
  <c r="CX16" i="3"/>
  <c r="CX9" i="3"/>
  <c r="CX36" i="3"/>
  <c r="CX26" i="3"/>
  <c r="CX15" i="3"/>
  <c r="CX1" i="3"/>
  <c r="CX35" i="3"/>
  <c r="CX25" i="3"/>
  <c r="CX8" i="3"/>
  <c r="CV1" i="3"/>
  <c r="U24" i="1" s="1"/>
  <c r="L149" i="7" l="1"/>
  <c r="L147" i="7"/>
  <c r="AU52" i="1"/>
  <c r="CB22" i="1"/>
  <c r="V84" i="1"/>
  <c r="AQ22" i="1"/>
  <c r="F62" i="1"/>
  <c r="AQ84" i="1"/>
  <c r="AO22" i="1"/>
  <c r="AO84" i="1"/>
  <c r="F56" i="1"/>
  <c r="S39" i="1"/>
  <c r="DJ33" i="3"/>
  <c r="S29" i="1"/>
  <c r="DJ6" i="3"/>
  <c r="AG22" i="1"/>
  <c r="T52" i="1"/>
  <c r="AH22" i="1"/>
  <c r="U52" i="1"/>
  <c r="V31" i="1"/>
  <c r="W22" i="1"/>
  <c r="F76" i="1"/>
  <c r="W84" i="1"/>
  <c r="DG9" i="3"/>
  <c r="Q32" i="1" s="1"/>
  <c r="DH9" i="3"/>
  <c r="R32" i="1" s="1"/>
  <c r="DI9" i="3"/>
  <c r="DF9" i="3"/>
  <c r="P32" i="1" s="1"/>
  <c r="U37" i="1"/>
  <c r="DI26" i="3"/>
  <c r="DF26" i="3"/>
  <c r="DJ26" i="3" s="1"/>
  <c r="DG26" i="3"/>
  <c r="DH26" i="3"/>
  <c r="GX37" i="1"/>
  <c r="AU22" i="1"/>
  <c r="AU84" i="1"/>
  <c r="F71" i="1"/>
  <c r="DI36" i="3"/>
  <c r="DF36" i="3"/>
  <c r="DJ36" i="3" s="1"/>
  <c r="DG36" i="3"/>
  <c r="DH36" i="3"/>
  <c r="DG16" i="3"/>
  <c r="DH16" i="3"/>
  <c r="DI16" i="3"/>
  <c r="DF16" i="3"/>
  <c r="DF10" i="3"/>
  <c r="DJ10" i="3" s="1"/>
  <c r="DG10" i="3"/>
  <c r="DH10" i="3"/>
  <c r="DI10" i="3"/>
  <c r="W31" i="1"/>
  <c r="DF12" i="3"/>
  <c r="DG12" i="3"/>
  <c r="DH12" i="3"/>
  <c r="DI12" i="3"/>
  <c r="DG28" i="3"/>
  <c r="DH28" i="3"/>
  <c r="DI28" i="3"/>
  <c r="DF28" i="3"/>
  <c r="DJ28" i="3" s="1"/>
  <c r="DF8" i="3"/>
  <c r="DJ8" i="3" s="1"/>
  <c r="DG8" i="3"/>
  <c r="DH8" i="3"/>
  <c r="DI8" i="3"/>
  <c r="DF17" i="3"/>
  <c r="DJ17" i="3" s="1"/>
  <c r="DG17" i="3"/>
  <c r="DH17" i="3"/>
  <c r="DI17" i="3"/>
  <c r="V37" i="1"/>
  <c r="DF29" i="3"/>
  <c r="DJ29" i="3" s="1"/>
  <c r="DG29" i="3"/>
  <c r="DH29" i="3"/>
  <c r="DI29" i="3"/>
  <c r="CG22" i="1"/>
  <c r="AX52" i="1"/>
  <c r="BA22" i="1"/>
  <c r="BA84" i="1"/>
  <c r="F72" i="1"/>
  <c r="DF25" i="3"/>
  <c r="DJ25" i="3" s="1"/>
  <c r="DG25" i="3"/>
  <c r="DH25" i="3"/>
  <c r="DI25" i="3"/>
  <c r="DJ41" i="3"/>
  <c r="S47" i="1"/>
  <c r="CP47" i="1" s="1"/>
  <c r="O47" i="1" s="1"/>
  <c r="DF35" i="3"/>
  <c r="DJ35" i="3" s="1"/>
  <c r="DG35" i="3"/>
  <c r="DH35" i="3"/>
  <c r="DI35" i="3"/>
  <c r="DF37" i="3"/>
  <c r="P43" i="1" s="1"/>
  <c r="DG37" i="3"/>
  <c r="Q43" i="1" s="1"/>
  <c r="DH37" i="3"/>
  <c r="R43" i="1" s="1"/>
  <c r="DI37" i="3"/>
  <c r="Q31" i="1"/>
  <c r="S31" i="1"/>
  <c r="HH31" i="1"/>
  <c r="P31" i="1"/>
  <c r="T31" i="1"/>
  <c r="DJ43" i="3"/>
  <c r="S49" i="1"/>
  <c r="DF14" i="3"/>
  <c r="DG14" i="3"/>
  <c r="DJ14" i="3" s="1"/>
  <c r="DH14" i="3"/>
  <c r="DI14" i="3"/>
  <c r="V18" i="1"/>
  <c r="F107" i="1"/>
  <c r="F77" i="1"/>
  <c r="BD84" i="1"/>
  <c r="BD22" i="1"/>
  <c r="DF11" i="3"/>
  <c r="DJ11" i="3" s="1"/>
  <c r="DG11" i="3"/>
  <c r="DH11" i="3"/>
  <c r="DI11" i="3"/>
  <c r="DF18" i="3"/>
  <c r="DJ18" i="3" s="1"/>
  <c r="DG18" i="3"/>
  <c r="DH18" i="3"/>
  <c r="DI18" i="3"/>
  <c r="DI1" i="3"/>
  <c r="DF1" i="3"/>
  <c r="P24" i="1" s="1"/>
  <c r="DG1" i="3"/>
  <c r="Q24" i="1" s="1"/>
  <c r="DH1" i="3"/>
  <c r="R24" i="1" s="1"/>
  <c r="P37" i="1"/>
  <c r="Q37" i="1"/>
  <c r="HG37" i="1"/>
  <c r="S37" i="1"/>
  <c r="GM38" i="1"/>
  <c r="GO38" i="1" s="1"/>
  <c r="DI15" i="3"/>
  <c r="DF15" i="3"/>
  <c r="DG15" i="3"/>
  <c r="DH15" i="3"/>
  <c r="DF3" i="3"/>
  <c r="P26" i="1" s="1"/>
  <c r="DG3" i="3"/>
  <c r="Q26" i="1" s="1"/>
  <c r="DH3" i="3"/>
  <c r="R26" i="1" s="1"/>
  <c r="DI3" i="3"/>
  <c r="BY52" i="1"/>
  <c r="AS22" i="1"/>
  <c r="AS84" i="1"/>
  <c r="F69" i="1"/>
  <c r="E16" i="2" s="1"/>
  <c r="AQ18" i="1" l="1"/>
  <c r="F94" i="1"/>
  <c r="AD52" i="1"/>
  <c r="S35" i="1"/>
  <c r="DJ12" i="3"/>
  <c r="DJ16" i="3"/>
  <c r="U22" i="1"/>
  <c r="F74" i="1"/>
  <c r="U84" i="1"/>
  <c r="R35" i="1"/>
  <c r="AS18" i="1"/>
  <c r="F101" i="1"/>
  <c r="CY37" i="1"/>
  <c r="X37" i="1" s="1"/>
  <c r="CZ37" i="1"/>
  <c r="Y37" i="1" s="1"/>
  <c r="BA18" i="1"/>
  <c r="F104" i="1"/>
  <c r="Q35" i="1"/>
  <c r="T22" i="1"/>
  <c r="T84" i="1"/>
  <c r="F73" i="1"/>
  <c r="CY49" i="1"/>
  <c r="X49" i="1" s="1"/>
  <c r="CZ49" i="1"/>
  <c r="Y49" i="1" s="1"/>
  <c r="P35" i="1"/>
  <c r="CP35" i="1" s="1"/>
  <c r="O35" i="1" s="1"/>
  <c r="BY22" i="1"/>
  <c r="AP52" i="1"/>
  <c r="CI52" i="1"/>
  <c r="AX22" i="1"/>
  <c r="AX84" i="1"/>
  <c r="F59" i="1"/>
  <c r="S26" i="1"/>
  <c r="DJ3" i="3"/>
  <c r="H16" i="2"/>
  <c r="DJ9" i="3"/>
  <c r="S32" i="1"/>
  <c r="CY29" i="1"/>
  <c r="X29" i="1" s="1"/>
  <c r="CZ29" i="1"/>
  <c r="Y29" i="1" s="1"/>
  <c r="AE52" i="1"/>
  <c r="FR31" i="1"/>
  <c r="CP31" i="1"/>
  <c r="O31" i="1" s="1"/>
  <c r="GM31" i="1" s="1"/>
  <c r="CZ47" i="1"/>
  <c r="Y47" i="1" s="1"/>
  <c r="CY47" i="1"/>
  <c r="X47" i="1" s="1"/>
  <c r="GM47" i="1" s="1"/>
  <c r="GO47" i="1" s="1"/>
  <c r="CP49" i="1"/>
  <c r="O49" i="1" s="1"/>
  <c r="AU18" i="1"/>
  <c r="F103" i="1"/>
  <c r="BD18" i="1"/>
  <c r="F109" i="1"/>
  <c r="CY39" i="1"/>
  <c r="X39" i="1" s="1"/>
  <c r="CZ39" i="1"/>
  <c r="Y39" i="1" s="1"/>
  <c r="CP37" i="1"/>
  <c r="O37" i="1" s="1"/>
  <c r="AC52" i="1"/>
  <c r="CP29" i="1"/>
  <c r="O29" i="1" s="1"/>
  <c r="W18" i="1"/>
  <c r="F108" i="1"/>
  <c r="DJ1" i="3"/>
  <c r="S24" i="1"/>
  <c r="CP24" i="1" s="1"/>
  <c r="O24" i="1" s="1"/>
  <c r="AO18" i="1"/>
  <c r="F88" i="1"/>
  <c r="AD22" i="1"/>
  <c r="Q52" i="1"/>
  <c r="DJ15" i="3"/>
  <c r="DJ37" i="3"/>
  <c r="S43" i="1"/>
  <c r="CP43" i="1" s="1"/>
  <c r="O43" i="1" s="1"/>
  <c r="CP39" i="1"/>
  <c r="O39" i="1" s="1"/>
  <c r="CY32" i="1" l="1"/>
  <c r="X32" i="1" s="1"/>
  <c r="CZ32" i="1"/>
  <c r="Y32" i="1" s="1"/>
  <c r="AP22" i="1"/>
  <c r="AP84" i="1"/>
  <c r="F61" i="1"/>
  <c r="G16" i="2" s="1"/>
  <c r="U18" i="1"/>
  <c r="F106" i="1"/>
  <c r="GM49" i="1"/>
  <c r="GO49" i="1" s="1"/>
  <c r="CY26" i="1"/>
  <c r="X26" i="1" s="1"/>
  <c r="AK52" i="1" s="1"/>
  <c r="CZ26" i="1"/>
  <c r="Y26" i="1" s="1"/>
  <c r="AL52" i="1" s="1"/>
  <c r="AF52" i="1"/>
  <c r="T18" i="1"/>
  <c r="F105" i="1"/>
  <c r="CZ43" i="1"/>
  <c r="Y43" i="1" s="1"/>
  <c r="CY43" i="1"/>
  <c r="X43" i="1" s="1"/>
  <c r="GM43" i="1" s="1"/>
  <c r="GO43" i="1" s="1"/>
  <c r="CP32" i="1"/>
  <c r="O32" i="1" s="1"/>
  <c r="GM32" i="1" s="1"/>
  <c r="GO32" i="1" s="1"/>
  <c r="GM29" i="1"/>
  <c r="GO29" i="1" s="1"/>
  <c r="CP26" i="1"/>
  <c r="O26" i="1" s="1"/>
  <c r="AX18" i="1"/>
  <c r="F91" i="1"/>
  <c r="CY24" i="1"/>
  <c r="X24" i="1" s="1"/>
  <c r="CZ24" i="1"/>
  <c r="Y24" i="1" s="1"/>
  <c r="AC22" i="1"/>
  <c r="P52" i="1"/>
  <c r="CE52" i="1"/>
  <c r="CF52" i="1"/>
  <c r="CH52" i="1"/>
  <c r="CY35" i="1"/>
  <c r="X35" i="1" s="1"/>
  <c r="CZ35" i="1"/>
  <c r="Y35" i="1" s="1"/>
  <c r="GM39" i="1"/>
  <c r="GO39" i="1" s="1"/>
  <c r="Q22" i="1"/>
  <c r="F64" i="1"/>
  <c r="Q84" i="1"/>
  <c r="GM37" i="1"/>
  <c r="GO37" i="1" s="1"/>
  <c r="R52" i="1"/>
  <c r="AE22" i="1"/>
  <c r="CI22" i="1"/>
  <c r="AZ52" i="1"/>
  <c r="GM35" i="1" l="1"/>
  <c r="GO35" i="1" s="1"/>
  <c r="GM24" i="1"/>
  <c r="GO24" i="1" s="1"/>
  <c r="AK22" i="1"/>
  <c r="X52" i="1"/>
  <c r="GM26" i="1"/>
  <c r="AB52" i="1"/>
  <c r="AP18" i="1"/>
  <c r="F93" i="1"/>
  <c r="CH22" i="1"/>
  <c r="AY52" i="1"/>
  <c r="Q18" i="1"/>
  <c r="F96" i="1"/>
  <c r="CE22" i="1"/>
  <c r="AV52" i="1"/>
  <c r="AZ22" i="1"/>
  <c r="F63" i="1"/>
  <c r="AZ84" i="1"/>
  <c r="CF22" i="1"/>
  <c r="AW52" i="1"/>
  <c r="P22" i="1"/>
  <c r="P84" i="1"/>
  <c r="F55" i="1"/>
  <c r="R22" i="1"/>
  <c r="F66" i="1"/>
  <c r="R84" i="1"/>
  <c r="S52" i="1"/>
  <c r="AF22" i="1"/>
  <c r="AL22" i="1"/>
  <c r="Y52" i="1"/>
  <c r="S22" i="1" l="1"/>
  <c r="F67" i="1"/>
  <c r="J16" i="2" s="1"/>
  <c r="S84" i="1"/>
  <c r="R18" i="1"/>
  <c r="F98" i="1"/>
  <c r="AW22" i="1"/>
  <c r="F58" i="1"/>
  <c r="AW84" i="1"/>
  <c r="O52" i="1"/>
  <c r="AB22" i="1"/>
  <c r="AV22" i="1"/>
  <c r="F57" i="1"/>
  <c r="AV84" i="1"/>
  <c r="Y22" i="1"/>
  <c r="F79" i="1"/>
  <c r="Y84" i="1"/>
  <c r="GO26" i="1"/>
  <c r="CC52" i="1" s="1"/>
  <c r="CA52" i="1"/>
  <c r="AY22" i="1"/>
  <c r="F60" i="1"/>
  <c r="AY84" i="1"/>
  <c r="AZ18" i="1"/>
  <c r="F95" i="1"/>
  <c r="X22" i="1"/>
  <c r="F78" i="1"/>
  <c r="X84" i="1"/>
  <c r="P18" i="1"/>
  <c r="F87" i="1"/>
  <c r="CA22" i="1" l="1"/>
  <c r="AR52" i="1"/>
  <c r="CC22" i="1"/>
  <c r="AT52" i="1"/>
  <c r="Y18" i="1"/>
  <c r="F111" i="1"/>
  <c r="S18" i="1"/>
  <c r="F99" i="1"/>
  <c r="AW18" i="1"/>
  <c r="F90" i="1"/>
  <c r="X18" i="1"/>
  <c r="F110" i="1"/>
  <c r="AY18" i="1"/>
  <c r="F92" i="1"/>
  <c r="O22" i="1"/>
  <c r="O84" i="1"/>
  <c r="F54" i="1"/>
  <c r="AV18" i="1"/>
  <c r="F89" i="1"/>
  <c r="AT22" i="1" l="1"/>
  <c r="AT84" i="1"/>
  <c r="F70" i="1"/>
  <c r="F16" i="2" s="1"/>
  <c r="I16" i="2" s="1"/>
  <c r="N16" i="2" s="1"/>
  <c r="AR84" i="1"/>
  <c r="F80" i="1"/>
  <c r="AR22" i="1"/>
  <c r="O18" i="1"/>
  <c r="F86" i="1"/>
  <c r="F81" i="1" l="1"/>
  <c r="F82" i="1" s="1"/>
  <c r="AR18" i="1"/>
  <c r="F112" i="1"/>
  <c r="AT18" i="1"/>
  <c r="F102" i="1"/>
  <c r="F113" i="1" l="1"/>
  <c r="F114" i="1" s="1"/>
</calcChain>
</file>

<file path=xl/sharedStrings.xml><?xml version="1.0" encoding="utf-8"?>
<sst xmlns="http://schemas.openxmlformats.org/spreadsheetml/2006/main" count="2710" uniqueCount="398">
  <si>
    <t>Smeta.RU Flash  (495) 974-1589</t>
  </si>
  <si>
    <t>_PS_</t>
  </si>
  <si>
    <t>Smeta.RU Flash</t>
  </si>
  <si>
    <t/>
  </si>
  <si>
    <t>ФГБУ "НМИЦ ТПМ" Минздрава России</t>
  </si>
  <si>
    <t>Новый объект</t>
  </si>
  <si>
    <t>Замена оборудования пассажирского лифта № 59327 по адресу: г. Москва, Петроверигский пер., д.10, стр.3</t>
  </si>
  <si>
    <t>Сметные нормы списания</t>
  </si>
  <si>
    <t>Коды ценников</t>
  </si>
  <si>
    <t>ФСНБ-2022_И18</t>
  </si>
  <si>
    <t>Версия 1.18.0 для ФСНБ-2022 И18</t>
  </si>
  <si>
    <t>ФСНБ-2022 - Изменения И18</t>
  </si>
  <si>
    <t>Поправки для ФСНБ-2022 от 21.05.2026 г И18 (55/пр) Капитальный ремонт жилых и общественных зданий</t>
  </si>
  <si>
    <t>Приказ Минстроя России от 30.12.2021 г. № 1046/пр;  Приказ Минстроя России от 04.08.2020 г. № 421/пр;  Приказ Минстроя России от 21.12.2020 г. № 812/пр;  Приказ Минстроя России от 11.12.2020 г. № 774/пр</t>
  </si>
  <si>
    <t>ГСН</t>
  </si>
  <si>
    <t>Новая локальная смета</t>
  </si>
  <si>
    <t>мр01-01-011-01</t>
  </si>
  <si>
    <t>Замена башмака</t>
  </si>
  <si>
    <t>ШТ</t>
  </si>
  <si>
    <t>ГЭСНмр-2022, мр01-01-011-01, приказ Минстроя России от 18.05.2022 г. № 378/пр</t>
  </si>
  <si>
    <t>Монтажные работы</t>
  </si>
  <si>
    <t>Капитальный ремонт и модернизация оборудования лифтов</t>
  </si>
  <si>
    <t>мрФЕР-01</t>
  </si>
  <si>
    <t>Пр/812-104.1-1</t>
  </si>
  <si>
    <t>Пр/774-104.1</t>
  </si>
  <si>
    <t>421/пр_2020_п.75_пп.б</t>
  </si>
  <si>
    <t>Сметная стоимость вспомогательных ненормируемых материальных ресурсов, не учтенная в сметной норме, 3%</t>
  </si>
  <si>
    <t>%</t>
  </si>
  <si>
    <t>1</t>
  </si>
  <si>
    <t>мр01-03-013-01</t>
  </si>
  <si>
    <t>Ремонт тормозного устройства лифтовой лебедки</t>
  </si>
  <si>
    <t>ГЭСНмр-2022, мр01-03-013-01, приказ Минстроя России от 18.05.2022 г. № 378/пр</t>
  </si>
  <si>
    <t>1,1</t>
  </si>
  <si>
    <t>КП № 29-05 от 29.05.2026 г.</t>
  </si>
  <si>
    <t>Тормозные колодки</t>
  </si>
  <si>
    <t>КОМПЛЕКТ</t>
  </si>
  <si>
    <t>оборудование</t>
  </si>
  <si>
    <t>Оборудование</t>
  </si>
  <si>
    <t>оборудование (03)</t>
  </si>
  <si>
    <t>[22 076,19 / 1,22]</t>
  </si>
  <si>
    <t>0</t>
  </si>
  <si>
    <t>1,2</t>
  </si>
  <si>
    <t>мр01-01-017-01</t>
  </si>
  <si>
    <t>Замена тормозного электромагнита (тормозные колодки)</t>
  </si>
  <si>
    <t>ГЭСНмр-2022, мр01-01-017-01, приказ Минстроя России от 18.05.2022 г. № 378/пр</t>
  </si>
  <si>
    <t>[19 000 / 1,05]</t>
  </si>
  <si>
    <t>мр01-01-002-13</t>
  </si>
  <si>
    <t>Замена тормозного устройства, количество лифтов в подъезде: 1</t>
  </si>
  <si>
    <t>ГЭСНмр-2022 доп.4, мр01-01-002-13, приказ Минстроя России от 27.12.2022 г. № 1133/пр</t>
  </si>
  <si>
    <t>м08-03-530-01</t>
  </si>
  <si>
    <t>Пускатель магнитный общего назначения отдельно стоящий, устанавливаемый на конструкции: на полу, на ток до 40 А</t>
  </si>
  <si>
    <t>ГЭСНм-2022, м08-03-530-01, приказ Минстроя России от 18.05.2022 г. № 378/пр</t>
  </si>
  <si>
    <t>Электротехнические установки: на других объектах</t>
  </si>
  <si>
    <t>мФЕР-08</t>
  </si>
  <si>
    <t>Пр/812-049.3-1</t>
  </si>
  <si>
    <t>Пр/774-049.3</t>
  </si>
  <si>
    <t>421/пр_2020_п.75_пп.а</t>
  </si>
  <si>
    <t>Сметная стоимость вспомогательных ненормируемых материальных ресурсов, не учтенная в сметной норме, 2%</t>
  </si>
  <si>
    <t>Пускатель электромагнитный ПМ12</t>
  </si>
  <si>
    <t>[6 500 / 1,05]</t>
  </si>
  <si>
    <t>Приставка контактная ПКЛ22</t>
  </si>
  <si>
    <t>[1 000 / 1,05]</t>
  </si>
  <si>
    <t>мр01-01-010-09</t>
  </si>
  <si>
    <t>Замена контактора или магнитного пускателя станции (шкафа) управления, количество лифтов в подъезде: 1</t>
  </si>
  <si>
    <t>ГЭСНмр-2022, мр01-01-010-09, приказ Минстроя России от 18.05.2022 г. № 378/пр</t>
  </si>
  <si>
    <t>2</t>
  </si>
  <si>
    <t>мр01-01-010-10</t>
  </si>
  <si>
    <t>Замена контактора или магнитного пускателя станции (шкафа) управления, количество лифтов в подъезде: 2, одиночная работа</t>
  </si>
  <si>
    <t>ГЭСНмр-2022, мр01-01-010-10, приказ Минстроя России от 18.05.2022 г. № 378/пр</t>
  </si>
  <si>
    <t>2,1</t>
  </si>
  <si>
    <t>2,2</t>
  </si>
  <si>
    <t>[7 552,38 / 1,22]</t>
  </si>
  <si>
    <t>2,3</t>
  </si>
  <si>
    <t>[1 161,9 / 1,22]</t>
  </si>
  <si>
    <t>мр01-01-010-11</t>
  </si>
  <si>
    <t>Замена контактора или магнитного пускателя станции (шкафа) управления, количество лифтов в подъезде: 2, парная работа</t>
  </si>
  <si>
    <t>ГЭСНмр-2022, мр01-01-010-11, приказ Минстроя России от 18.05.2022 г. № 378/пр</t>
  </si>
  <si>
    <t>мр01-01-015-01</t>
  </si>
  <si>
    <t>Замена конечного выключателя, путевого, индуктивного или контактного датчиков, работа лифтов: одиночная</t>
  </si>
  <si>
    <t>ГЭСНмр-2022, мр01-01-015-01, приказ Минстроя России от 18.05.2022 г. № 378/пр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</si>
  <si>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</si>
  <si>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</si>
  <si>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</si>
  <si>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</si>
  <si>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</si>
  <si>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</si>
  <si>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</si>
  <si>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</si>
  <si>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</si>
  <si>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</si>
  <si>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</si>
  <si>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</si>
  <si>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</si>
  <si>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</si>
  <si>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</si>
  <si>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</si>
  <si>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</si>
  <si>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</si>
  <si>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</si>
  <si>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</si>
  <si>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</si>
  <si>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</si>
  <si>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</si>
  <si>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</si>
  <si>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</si>
  <si>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</si>
  <si>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</si>
  <si>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</si>
  <si>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</si>
  <si>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</si>
  <si>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</si>
  <si>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</si>
  <si>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</si>
  <si>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</si>
  <si>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</si>
  <si>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</si>
  <si>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</si>
  <si>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</si>
  <si>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</si>
  <si>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</si>
  <si>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</si>
  <si>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</si>
  <si>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</si>
  <si>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</si>
  <si>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</si>
  <si>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</si>
  <si>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Перевозка</t>
  </si>
  <si>
    <t>Перевозка грузов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</si>
  <si>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</si>
  <si>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</si>
  <si>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</si>
  <si>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</si>
  <si>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</si>
  <si>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</si>
  <si>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И1</t>
  </si>
  <si>
    <t>НДС 22%</t>
  </si>
  <si>
    <t>И2</t>
  </si>
  <si>
    <t>Итого с НДС</t>
  </si>
  <si>
    <t>СТР_РЕК</t>
  </si>
  <si>
    <t>СТРОИТЕЛЬСТВО и РЕКОНСТРУКЦИЯ  зданий и сооружений всех назначений</t>
  </si>
  <si>
    <t>Строительство и реконструкция</t>
  </si>
  <si>
    <t>РЕМ_ЖИЛ</t>
  </si>
  <si>
    <t>КАП. РЕМ. ЖИЛЫХ И ОБЩЕСТВЕННЫХ ЗДАНИЙ</t>
  </si>
  <si>
    <t>Капитальный ремонт жилых и общественных зданий</t>
  </si>
  <si>
    <t>РЕМ_ПР</t>
  </si>
  <si>
    <t>КАП. РЕМ. ПРОИЗВОДСТВЕННЫХ ЗД. и СООРУЖЕНИЙ,  НАРУЖНЫХ ИНЖЕНЕРНЫХ СЕТЕЙ, УЛИЦ И ДОРОГ МЕСТНОГО ЗНАЧЕНИЯ, ИНЖ,СООРУЖЕНИЙ ( ГИДРОТЕХ,СООРУЖ, МОСТОВ И ПУТЕПРОВОДОВ И Т.П.)</t>
  </si>
  <si>
    <t>Капитальный ремонт прозводственных зданий</t>
  </si>
  <si>
    <t>Территория</t>
  </si>
  <si>
    <t>для территории Российской Федерации, не относящейся к районам Крайнего Севера и приравненным к ним местностям</t>
  </si>
  <si>
    <t>МПРКС</t>
  </si>
  <si>
    <t>для территории Российской Федерации, относящейся к местностям, приравненным к районам Крайнего Севера</t>
  </si>
  <si>
    <t>РКС</t>
  </si>
  <si>
    <t>для территории Российской Федерации, относящейся к районам Крайнего Севера</t>
  </si>
  <si>
    <t>СЛЖ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</si>
  <si>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За исключением АЭС.</t>
  </si>
  <si>
    <t>Для сборников ФЕР ( при производстве работ на технически сложных объектах ):  ·  { СЛЖ } - (вкл.)    - работа на сложных объектах  (к=1,2 к НР)           ·  { СЛЖ } - (выкл.) - работа на обычных объектах</t>
  </si>
  <si>
    <t>Сложные объекты</t>
  </si>
  <si>
    <t>СТНДРТ</t>
  </si>
  <si>
    <t>При определении сметной стоимости строительства объектов капитального строительства (за исключением АЭС).</t>
  </si>
  <si>
    <t>АЭС_ПНР</t>
  </si>
  <si>
    <t>При определении сметной стоимости строительства объектов капитального строительства АЭС. Пусконаладочные работы (за исключением технологического оборудования АЭС).</t>
  </si>
  <si>
    <t>АЭС</t>
  </si>
  <si>
    <t>АЭС_ПНР_ТЕХ</t>
  </si>
  <si>
    <t>При определении сметной стоимости строительства объектов капитального строительства АЭС. Пусконаладочные работы технологического оборудования АЭС.</t>
  </si>
  <si>
    <t>Для сборника ФЕРм -39  и ФЕРМ-08  ( при работах по контролю сварных соединений) :    {мАЭС} - ( вкл.)  -     при выполнении работ по на АЭС  (HР=101%; СП= 68%;             {мАЭС} - (выкл.) -  при выполнении работ  на обычных объектах</t>
  </si>
  <si>
    <t>АЭС, ПНР технологического оборудования АЭС.</t>
  </si>
  <si>
    <t>ОПТ/В</t>
  </si>
  <si>
    <t>{вкл}    - Прокладка  МЕЖДУГОРОДНЫХ  ВОЛОКОННО-ОПТИЧЕСКИХ ЛИНИЙ (для ФЕРм10, отд. 6 разд.3)  {выкл} - Прокладка  ГОРОДСКИХ               ВОЛОКОННО-ОПТИЧЕСКИХ ЛИНИЙ  (для ФЕРм10, отд. 6 разд.3)</t>
  </si>
  <si>
    <t>Для сборников ФЕРм-10  ( волоконно-оптические линии связи ): ·  {М_ГОР_опт} -  ( вкл.)  - междугородные сети связи ( НР=120% , СП=70% )           ·  {М_ГОР_опт} - ( выкл.) - городские сети связи  ( НР=100%; СП=65%)</t>
  </si>
  <si>
    <t>Прокладка междугородных в/опт. кабелей</t>
  </si>
  <si>
    <t>АВИ</t>
  </si>
  <si>
    <t>(вкл)   -  При работах по ДИСПЕТЧЕРИЗАЦИИ управления движением АВИАТРАНСПОРТОМ {вкл}  (монтажные работы )</t>
  </si>
  <si>
    <t>Для сборников ФЕРм 08;10;11 :    · {мАВИА} -  (вкл.)     -  производство монтажных  работы по диспетчеризации управления  движением авиатранспортном (НР=95%, СП=55%) ;    ·            {мАВИА} -  (выкл. ) -  при производстве работ на прочих объектах , кром</t>
  </si>
  <si>
    <t>Диспетчеризация авиатранспорта</t>
  </si>
  <si>
    <t>ЗАКР</t>
  </si>
  <si>
    <t>{вкл}   -  Обслуживающие и сопутствующие работы в тоннелях при  производстве работ ЗАКРЫТЫМ СПОСОБОМ   {выкл} - Обслуживающие и сопутствующие работы в тоннелях при  производстве работ  ОТКРЫТЫМ</t>
  </si>
  <si>
    <t>Для сборника ФЕР -29 ( сопутствующие работы в тоннелях и метро. ): ·  {ЗАКР} - (вкл.)     -  при выполнении работ в тоннелях  и метро закрытым способом  (НР=145% , СП=75%); ·                {ЗАКР} - (выкл.) -   при выполнении работ в тоннелях и метро  отк</t>
  </si>
  <si>
    <t>Производство работ закрытым способом (обслуживающие процессы)</t>
  </si>
  <si>
    <t>АВТО_ДРГ</t>
  </si>
  <si>
    <t>{вкл} - НР и СП по п.021.0 "Автомобильные дороги" (раздел 2 нормы 27-02-010-01:07)  {выкл} - НР и СП по п.021.1 Устройство покрытий дорожек, тротуаров, мостовых и площадок и прочее (раздел 2 нормы 27-02-010-01:07)</t>
  </si>
  <si>
    <t>ГОР</t>
  </si>
  <si>
    <t>(вкл) - ФЕРм-08, выполнение работ на горнорудных объектах  (выкл) - ФЕРм-08, выполнение работ на других объектах</t>
  </si>
  <si>
    <t>Выполнение работ на горнорудных объектах</t>
  </si>
  <si>
    <t>ОБ_ПР</t>
  </si>
  <si>
    <t>Объект производственного назначения</t>
  </si>
  <si>
    <t>ОБ_НПР</t>
  </si>
  <si>
    <t>Объект непроизводственного назначения</t>
  </si>
  <si>
    <t>К_НР_РЕМ</t>
  </si>
  <si>
    <t>при ремонте жилых и общественных зданий если  ( если {РЕМ_ЖИЛ}= [вкл.]</t>
  </si>
  <si>
    <t>Для сборников  ФЕР и  ФЕРмр :  · Значение {_МДСрем_НР}= 0,90 -  при ремонте зданий жилого и гражданского назначений ( 0,90 к НР) ;  · Значение {_МДСрем_НР}= 1,00  - при строительстве  и реконструкции  объектов всех назначений</t>
  </si>
  <si>
    <t>п.25</t>
  </si>
  <si>
    <t>К_СП_РЕМ</t>
  </si>
  <si>
    <t>к нормам СП при капитальном ремонте зданий и сооружений всех назначений ( если или {РЕМ_ЖИЛ}=[вкл] , или (РЕМ_ПР}=[вкл] )</t>
  </si>
  <si>
    <t>Для сборников  ФЕР и  ФЕРмр :   · Значение {_МДСрем_СП} = 0.85  -  при ремонте зданий всех назначений ( 0,85 к СП);   · Значение {_МДСрем_СП} = 1,00 -  при строительстве  и реконструкции  объектов всех назначений</t>
  </si>
  <si>
    <t>п.16</t>
  </si>
  <si>
    <t>К_НР_СЛЖ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</si>
  <si>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За исключением объектов атомных электрических станций.  ( если {СЛЖ} = [вкл] )</t>
  </si>
  <si>
    <t>п.27 СЛОЖН</t>
  </si>
  <si>
    <t>К_НР_АЭС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</si>
  <si>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Для объектов атомных электрических станций.  ( если {АЭС} = [вкл] )</t>
  </si>
  <si>
    <t>п.27 АЭС</t>
  </si>
  <si>
    <t>Р_ОКР</t>
  </si>
  <si>
    <t>Разрядность округления результата расчета НР и СП  (с 05.04.2020 - до семи знаков после запятой)</t>
  </si>
  <si>
    <t>Лист_НРиСП</t>
  </si>
  <si>
    <t>Уровень цен</t>
  </si>
  <si>
    <t>Вид цен</t>
  </si>
  <si>
    <t>Москва, КТЦ к ФСНБ-2022, 2 квартал 2026 г</t>
  </si>
  <si>
    <t>Сборник индексов</t>
  </si>
  <si>
    <t>Москва к ФСНБ-2022 ФГИС ЦС</t>
  </si>
  <si>
    <t>Письмо Минстроя России  «О размещении индексов изменения сметной стоимости строительства по группам однородных строительных ресурсов на II квартал 2026 года»</t>
  </si>
  <si>
    <t>Справочная информация</t>
  </si>
  <si>
    <t>Письмо Минстроя России от 22.05.2026 № 31076-ИФ/09</t>
  </si>
  <si>
    <t>Письмо Департамента экономической политики и развития города Москвы от 27.10.2025 № ДПР-3-23615/25(1)</t>
  </si>
  <si>
    <t>_OBSM_</t>
  </si>
  <si>
    <t>1-100-36</t>
  </si>
  <si>
    <t>Средний разряд работы 3,6</t>
  </si>
  <si>
    <t>чел.-ч.</t>
  </si>
  <si>
    <t>1-100-41</t>
  </si>
  <si>
    <t>Средний разряд работы 4,1</t>
  </si>
  <si>
    <t>1-100-43</t>
  </si>
  <si>
    <t>Средний разряд работы 4,3</t>
  </si>
  <si>
    <t>1-100-39</t>
  </si>
  <si>
    <t>Средний разряд работы 3,9</t>
  </si>
  <si>
    <t>1-100-37</t>
  </si>
  <si>
    <t>Средний разряд работы 3,7</t>
  </si>
  <si>
    <t>4-100-00</t>
  </si>
  <si>
    <t>Затраты труда машинистов</t>
  </si>
  <si>
    <t>91.05.05-015</t>
  </si>
  <si>
    <t>ФСЭМ-2022, 91.05.05-015, приказ Минстроя России от 18.05.2022 г. № 378/пр</t>
  </si>
  <si>
    <t>Краны на автомобильном ходу, грузоподъемность 16 т</t>
  </si>
  <si>
    <t>маш.-ч</t>
  </si>
  <si>
    <t>4-100-060</t>
  </si>
  <si>
    <t>91.14.02-001</t>
  </si>
  <si>
    <t>ФСЭМ-2022 доп.7, 91.14.02-001, приказ Минстроя России от 02.08.2023 г. № 551/пр</t>
  </si>
  <si>
    <t>Автомобили бортовые, грузоподъемность до 5 т</t>
  </si>
  <si>
    <t>4-100-040</t>
  </si>
  <si>
    <t>91.17.04-233</t>
  </si>
  <si>
    <t>ФСЭМ-2022, 91.17.04-233, приказ Минстроя России от 18.05.2022 г. № 378/пр</t>
  </si>
  <si>
    <t>Аппараты сварочные для ручной дуговой сварки, сварочный ток до 350 А</t>
  </si>
  <si>
    <t>01.3.01.02-0002</t>
  </si>
  <si>
    <t>ФСБЦ-2022 доп.8, 01.3.01.02-0002, приказ Минстроя России от 14.11.2023 г. № 817/пр</t>
  </si>
  <si>
    <t>Вазелин технический</t>
  </si>
  <si>
    <t>кг</t>
  </si>
  <si>
    <t>01.7.02.09-0002</t>
  </si>
  <si>
    <t>ФСБЦ-2022, 01.7.02.09-0002, приказ Минстроя России от 18.05.2022 г. № 378/пр</t>
  </si>
  <si>
    <t>Шпагат бумажный, диаметр 2,5 мм</t>
  </si>
  <si>
    <t>01.7.03.04-0001</t>
  </si>
  <si>
    <t>ФСБЦ-2022, 01.7.03.04-0001, приказ Минстроя России от 18.05.2022 г. № 378/пр</t>
  </si>
  <si>
    <t>Электроэнергия</t>
  </si>
  <si>
    <t>КВТ-Ч</t>
  </si>
  <si>
    <t>01.7.06.05-0041</t>
  </si>
  <si>
    <t>ФСБЦ-2022, 01.7.06.05-0041, приказ Минстроя России от 18.05.2022 г. № 378/пр</t>
  </si>
  <si>
    <t>Ленты изоляционные хлопчатобумажные прорезиненные для электромонтажных и ремонтных работ, цвет черный, ширина 20 мм, толщина 0,35 мм</t>
  </si>
  <si>
    <t>м</t>
  </si>
  <si>
    <t>01.7.11.07-0227</t>
  </si>
  <si>
    <t>ФСБЦ-2022, 01.7.11.07-0227, приказ Минстроя России от 18.05.2022 г. № 378/пр</t>
  </si>
  <si>
    <t>Электроды сварочные для сварки низколегированных и углеродистых сталей УОНИ 13/45, Э42А, диаметр 4-5 мм</t>
  </si>
  <si>
    <t>01.7.15.03-0042</t>
  </si>
  <si>
    <t>ФСБЦ-2022, 01.7.15.03-0042, приказ Минстроя России от 18.05.2022 г. № 378/пр</t>
  </si>
  <si>
    <t>Болты с гайками и шайбами строительные</t>
  </si>
  <si>
    <t>01.7.15.07-0014</t>
  </si>
  <si>
    <t>ФСБЦ-2022, 01.7.15.07-0014, приказ Минстроя России от 18.05.2022 г. № 378/пр</t>
  </si>
  <si>
    <t>Дюбели распорные полипропиленовые</t>
  </si>
  <si>
    <t>100 ШТ</t>
  </si>
  <si>
    <t>01.7.20.04-0005</t>
  </si>
  <si>
    <t>ФСБЦ-2022, 01.7.20.04-0005, приказ Минстроя России от 18.05.2022 г. № 378/пр</t>
  </si>
  <si>
    <t>Нитки швейные армированные</t>
  </si>
  <si>
    <t>07.2.07.04-0007</t>
  </si>
  <si>
    <t>ФСБЦ-2022, 07.2.07.04-0007, приказ Минстроя России от 18.05.2022 г. № 378/пр</t>
  </si>
  <si>
    <t>Конструкции стальные индивидуального изготовления из сортового проката</t>
  </si>
  <si>
    <t>т</t>
  </si>
  <si>
    <t>14.4.02.04-0142</t>
  </si>
  <si>
    <t>ФСБЦ-2022, 14.4.02.04-0142, приказ Минстроя России от 18.05.2022 г. № 378/пр</t>
  </si>
  <si>
    <t>Краска масляная МА-0115, мумия, сурик железный</t>
  </si>
  <si>
    <t>14.4.03.06-0001</t>
  </si>
  <si>
    <t>ФСБЦ-2022 доп.9, 14.4.03.06-0001, приказ Минстроя России от 16.02.2024 г. № 102/пр</t>
  </si>
  <si>
    <t>Лак электроизоляционный МЛ-92</t>
  </si>
  <si>
    <t>20.1.02.23-0082</t>
  </si>
  <si>
    <t>ФСБЦ-2022, 20.1.02.23-0082, приказ Минстроя России от 18.05.2022 г. № 378/пр</t>
  </si>
  <si>
    <t>Перемычки гибкие, тип ПГС-50</t>
  </si>
  <si>
    <t>10 ШТ</t>
  </si>
  <si>
    <t>25.2.01.01-0001</t>
  </si>
  <si>
    <t>ФСБЦ-2022, 25.2.01.01-0001, приказ Минстроя России от 18.05.2022 г. № 378/пр</t>
  </si>
  <si>
    <t>Бирки-оконцеватели маркировочные А671</t>
  </si>
  <si>
    <t>1-100-32</t>
  </si>
  <si>
    <t>Средний разряд работы 3,2</t>
  </si>
  <si>
    <t>1-100-33</t>
  </si>
  <si>
    <t>Средний разряд работы 3,3</t>
  </si>
  <si>
    <t>Приказ Минстроя России от 18.05.2022 г. № 378/пр; Приказ Минстроя России от 26.08.2022 г. № 703/пр; Приказ Минстроя России от 26.10.2022 г. № 905/пр;  Приказ Минстроя России от 27.12.2022 г. № 1133/пр; Приказ Минстроя России от 10.02.2023 г. № 84/пр; Приказ Минстроя России от 11.05.2023 г. № 335/пр;  Приказ Минстроя России от 02.08.2023 г. № 551/пр; Приказ Минстроя России от 14.11.2023 г. № 817/пр; Приказ Минстроя России от 16.02.2024 г. № 102/пр;  Приказ Минстроя России от 13.05.2024 г. № 323/пр; Приказ Минстроя России от 09.08.2024 г. № 524/пр; Приказ Минстроя России от 07.11.2024 г. № 747/пр;  Приказ Минстроя России от 07.02.2025 г. № 69/пр; Приказ Минстроя России от 19.05.2025 г. № 299/пр; Приказ Минстроя России от 14.08.2025 г. № 490/пр;  Приказ Минстроя России от 12.11.2025 г. № 696/пр; Приказ Минстроя России от 17.02.2026 г. № 91/пр; Приказ Минстроя России от 15.05.2026 г. № 301/пр;  Приказ Минстроя России от 07.07.2022 г. № 557/пр; Приказ Минстроя России от 30.01.2024 г. № 55/пр; Приказ Минстроя России от 23.01.2025 г. № 30/пр;  Приказ Минстроя России от 02.09.2021 г. № 636/пр; Приказ Минстроя России от 26.07.2022 г. № 611/пр; Приказ Минстроя России от 22.04.2022 г. № 317/пр</t>
  </si>
  <si>
    <t>Наименование программного продукта</t>
  </si>
  <si>
    <t>Наименование редакции сметных нормативов</t>
  </si>
  <si>
    <t>Реквизиты приказа Минстроя России об утверждении дополнений и изменений к сметным нормативам</t>
  </si>
  <si>
    <t xml:space="preserve">Реквизиты письма Минстроя России об индексах изменения сметной стоимости строительства, включаемые в федеральный реестр сметных нормативов и размещаемые в федеральной государственной информационной системе ценообразования в строительстве, подготовленного в соответствии с пунктом 85 Методики расчета индексов изменения сметной стоимости строительства, утвержденной приказом Министерства строительства и жилищно-коммунального хозяйства Российской Федерации от 5 июня 2019 г. N 326/пр </t>
  </si>
  <si>
    <t>Реквизиты нормативного правового акта об утверждении оплаты труда, утверждаемый в соответствии с пунктом 22(1) Правилами мониторинга цен, утвержденными постановлением Правительства Российской Федерации от 23 декабря 2016 г. N 1452</t>
  </si>
  <si>
    <t>Обоснование принятых текущих цен на строительные ресурсы</t>
  </si>
  <si>
    <t>Наименование субъекта Российской Федерации</t>
  </si>
  <si>
    <t>Наименование зоны субъекта Российской Федерации</t>
  </si>
  <si>
    <t>(наименование стройки)</t>
  </si>
  <si>
    <t>(наименование объекта капитального строительства)</t>
  </si>
  <si>
    <t>(наименование работ и затрат)</t>
  </si>
  <si>
    <t>Составлен</t>
  </si>
  <si>
    <t>методом</t>
  </si>
  <si>
    <t>Основание</t>
  </si>
  <si>
    <t>(проектная и (или) иная техническая документация)</t>
  </si>
  <si>
    <t>Сметная стоимость</t>
  </si>
  <si>
    <t>тыс. руб.</t>
  </si>
  <si>
    <t>Средства на оплату труда рабочих</t>
  </si>
  <si>
    <t>в том числе:</t>
  </si>
  <si>
    <t>Средства на оплату труда машинистов</t>
  </si>
  <si>
    <t>строительных работ</t>
  </si>
  <si>
    <t xml:space="preserve">Нормативные затраты труда рабочих </t>
  </si>
  <si>
    <t xml:space="preserve">монтажных работ    </t>
  </si>
  <si>
    <t xml:space="preserve">Нормативные затраты труда машинистов </t>
  </si>
  <si>
    <t xml:space="preserve">оборудования         </t>
  </si>
  <si>
    <t xml:space="preserve">прочих затрат       </t>
  </si>
  <si>
    <t>№ п/п</t>
  </si>
  <si>
    <t>Обоснование</t>
  </si>
  <si>
    <t>Наименование работ и затрат</t>
  </si>
  <si>
    <t>Единица измерения</t>
  </si>
  <si>
    <t>Количество</t>
  </si>
  <si>
    <t>Сметная стоимость, руб.</t>
  </si>
  <si>
    <t>на единицу измерения</t>
  </si>
  <si>
    <t>коэффициенты</t>
  </si>
  <si>
    <t>всего с учетом коэффициентов</t>
  </si>
  <si>
    <t>на единицу измерения в базисном уровне цен</t>
  </si>
  <si>
    <t>индекс</t>
  </si>
  <si>
    <t>на единицу измерения в текущем уровне цен</t>
  </si>
  <si>
    <t>всего в текущем уровне цен</t>
  </si>
  <si>
    <t>Программа для ЭВМ «Программа: «Smeta.RU Flash» версия 12»</t>
  </si>
  <si>
    <t>ФГИС ЦС, конъюнктурный анализ</t>
  </si>
  <si>
    <t>Ресурсно-индексным</t>
  </si>
  <si>
    <t>Составлен(а) в текущем уровне цен на июнь 2026 года</t>
  </si>
  <si>
    <t>ГЭСНмр 01-03-013-01</t>
  </si>
  <si>
    <t>ОТ (ЗТ)</t>
  </si>
  <si>
    <t>Итого прямые затраты</t>
  </si>
  <si>
    <t>1.1</t>
  </si>
  <si>
    <r>
      <t>Оборудование :_x000D_
Тормозные колодки</t>
    </r>
    <r>
      <rPr>
        <i/>
        <sz val="11"/>
        <color rgb="FF821E82"/>
        <rFont val="Arial"/>
        <family val="2"/>
        <charset val="204"/>
      </rPr>
      <t xml:space="preserve">
18 095,24 = [22 076,19 / 1,22]</t>
    </r>
  </si>
  <si>
    <t>1.2</t>
  </si>
  <si>
    <t>ФОТ</t>
  </si>
  <si>
    <t>НР Капитальный ремонт и модернизация оборудования лифтов</t>
  </si>
  <si>
    <t>СП Капитальный ремонт и модернизация оборудования лифтов</t>
  </si>
  <si>
    <t>Всего по позиции</t>
  </si>
  <si>
    <t>=</t>
  </si>
  <si>
    <t>ГЭСНмр 01-01-010-10</t>
  </si>
  <si>
    <t>2.1</t>
  </si>
  <si>
    <t>2.2</t>
  </si>
  <si>
    <r>
      <t>Оборудование :_x000D_
Пускатель электромагнитный ПМ12</t>
    </r>
    <r>
      <rPr>
        <i/>
        <sz val="11"/>
        <color rgb="FF821E82"/>
        <rFont val="Arial"/>
        <family val="2"/>
        <charset val="204"/>
      </rPr>
      <t xml:space="preserve">
6 190,48 = [7 552,38 / 1,22]</t>
    </r>
  </si>
  <si>
    <t>2.3</t>
  </si>
  <si>
    <r>
      <t>Оборудование :_x000D_
Приставка контактная ПКЛ22</t>
    </r>
    <r>
      <rPr>
        <i/>
        <sz val="11"/>
        <color rgb="FF821E82"/>
        <rFont val="Arial"/>
        <family val="2"/>
        <charset val="204"/>
      </rPr>
      <t xml:space="preserve">
952,38 = [1 161,9 / 1,22]</t>
    </r>
  </si>
  <si>
    <t>ИТОГИ ПО СМЕТЕ</t>
  </si>
  <si>
    <t>ВСЕГО строительные работы</t>
  </si>
  <si>
    <t>в том числе</t>
  </si>
  <si>
    <t>Всего прямые затраты</t>
  </si>
  <si>
    <t xml:space="preserve">  оплата труда (ОТ)</t>
  </si>
  <si>
    <t xml:space="preserve">  эксплуатация машин и механизмов</t>
  </si>
  <si>
    <t xml:space="preserve">  в том числе</t>
  </si>
  <si>
    <t xml:space="preserve">    в том числе</t>
  </si>
  <si>
    <t xml:space="preserve">    доплаты к оплате труда машинистов</t>
  </si>
  <si>
    <t xml:space="preserve">  материальные ресурсы</t>
  </si>
  <si>
    <t xml:space="preserve">    материальные ресурсы без учета дополнительной перевозки</t>
  </si>
  <si>
    <t xml:space="preserve">    дополнительная перевозка материальных ресурсов</t>
  </si>
  <si>
    <t xml:space="preserve">  перевозка</t>
  </si>
  <si>
    <t>ФОТ (справочно)</t>
  </si>
  <si>
    <t>накладные расходы</t>
  </si>
  <si>
    <t>сметная прибыль</t>
  </si>
  <si>
    <t xml:space="preserve">  оплата труда машинистов (ОТм)</t>
  </si>
  <si>
    <t>ВСЕГО монтажные работы</t>
  </si>
  <si>
    <t>ВСЕГО оборудование</t>
  </si>
  <si>
    <t xml:space="preserve">  оборудование без учета дополнительной перевозки</t>
  </si>
  <si>
    <t xml:space="preserve">  дополнительная перевозка оборудования</t>
  </si>
  <si>
    <t>ВСЕГО прочие затраты</t>
  </si>
  <si>
    <t xml:space="preserve">   прочие затраты</t>
  </si>
  <si>
    <t xml:space="preserve">   прочие перевозки</t>
  </si>
  <si>
    <t xml:space="preserve">   Хозяйственный инвентарь</t>
  </si>
  <si>
    <t>Пусконаладочные работы</t>
  </si>
  <si>
    <t>ВСЕГО по смете</t>
  </si>
  <si>
    <t>Всего ФОТ (справочно)</t>
  </si>
  <si>
    <t>Всего накладные расходы</t>
  </si>
  <si>
    <t>Всего сметная прибыль</t>
  </si>
  <si>
    <t>Всего оборудование</t>
  </si>
  <si>
    <t>Всего прочие затраты</t>
  </si>
  <si>
    <t>Справочно</t>
  </si>
  <si>
    <t xml:space="preserve">  материальные ресурсы, отсутствующие в ФРСН</t>
  </si>
  <si>
    <t xml:space="preserve">  оборудование, отсутствующие в ФРСН</t>
  </si>
  <si>
    <t xml:space="preserve">  затраты труда рабочих</t>
  </si>
  <si>
    <t xml:space="preserve">  затраты труда машинистов</t>
  </si>
  <si>
    <t xml:space="preserve">Составил   </t>
  </si>
  <si>
    <t>[должность,подпись(инициалы,фамилия)]</t>
  </si>
  <si>
    <t xml:space="preserve">Проверил   </t>
  </si>
  <si>
    <t>"УТВЕРЖДАЮ"</t>
  </si>
  <si>
    <t>___________________________</t>
  </si>
  <si>
    <t>" ___ " ___________ 20 ___ г.</t>
  </si>
  <si>
    <t>№ в ЛСР</t>
  </si>
  <si>
    <t>Ссылка на чертежи, спецификации</t>
  </si>
  <si>
    <t>Формула расчета, расчет объемов работ и расхода материалов</t>
  </si>
  <si>
    <t>Примечание</t>
  </si>
  <si>
    <t>Максимальный объём средств, доступных для расходования</t>
  </si>
  <si>
    <t>в т.ч. НДС 22%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</si>
</sst>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0.0000"/>
    <numFmt numFmtId="166" formatCode="#,##0.00;[Red]\-\ #,##0.00"/>
    <numFmt numFmtId="167" formatCode="#,##0.00#####;[Red]\-\ #,##0.00#####"/>
  </numFmts>
  <fonts count="28" x14ac:knownFonts="1">
    <font>
      <sz val="10"/>
      <name val="Arial"/>
      <charset val="204"/>
    </font>
    <font>
      <b/>
      <sz val="10"/>
      <color indexed="12"/>
      <name val="Arial"/>
      <charset val="204"/>
    </font>
    <font>
      <b/>
      <sz val="10"/>
      <color indexed="16"/>
      <name val="Arial"/>
      <charset val="204"/>
    </font>
    <font>
      <b/>
      <sz val="10"/>
      <color indexed="20"/>
      <name val="Arial"/>
      <charset val="204"/>
    </font>
    <font>
      <b/>
      <sz val="10"/>
      <color indexed="17"/>
      <name val="Arial"/>
      <charset val="204"/>
    </font>
    <font>
      <sz val="10"/>
      <color indexed="17"/>
      <name val="Arial"/>
      <charset val="204"/>
    </font>
    <font>
      <sz val="10"/>
      <color indexed="12"/>
      <name val="Arial"/>
      <charset val="204"/>
    </font>
    <font>
      <sz val="10"/>
      <color indexed="14"/>
      <name val="Arial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 Cyr"/>
      <charset val="204"/>
    </font>
    <font>
      <b/>
      <sz val="1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i/>
      <sz val="9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sz val="11"/>
      <name val="Arial"/>
      <family val="2"/>
      <charset val="204"/>
    </font>
    <font>
      <i/>
      <sz val="11"/>
      <name val="Arial"/>
      <family val="2"/>
      <charset val="204"/>
    </font>
    <font>
      <b/>
      <sz val="11"/>
      <name val="Arial"/>
      <family val="2"/>
      <charset val="204"/>
    </font>
    <font>
      <sz val="11"/>
      <color rgb="FF821E82"/>
      <name val="Arial"/>
      <family val="2"/>
      <charset val="204"/>
    </font>
    <font>
      <i/>
      <sz val="11"/>
      <color rgb="FF821E82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12"/>
      <name val="Arial"/>
      <family val="2"/>
      <charset val="204"/>
    </font>
    <font>
      <b/>
      <sz val="13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/>
    <xf numFmtId="0" fontId="0" fillId="0" borderId="0" xfId="0" applyAlignme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4" fillId="0" borderId="0" xfId="0" applyFont="1" applyAlignment="1"/>
    <xf numFmtId="0" fontId="3" fillId="0" borderId="0" xfId="0" applyFont="1" applyAlignment="1"/>
    <xf numFmtId="0" fontId="5" fillId="0" borderId="0" xfId="0" applyFont="1" applyAlignment="1"/>
    <xf numFmtId="0" fontId="9" fillId="0" borderId="0" xfId="0" applyFont="1"/>
    <xf numFmtId="0" fontId="10" fillId="0" borderId="0" xfId="0" applyNumberFormat="1" applyFont="1" applyAlignment="1">
      <alignment horizontal="left" vertical="top" wrapText="1"/>
    </xf>
    <xf numFmtId="0" fontId="10" fillId="0" borderId="1" xfId="0" applyNumberFormat="1" applyFont="1" applyBorder="1" applyAlignment="1">
      <alignment horizontal="left" vertical="top" wrapText="1"/>
    </xf>
    <xf numFmtId="0" fontId="10" fillId="0" borderId="0" xfId="0" applyNumberFormat="1" applyFont="1" applyAlignment="1"/>
    <xf numFmtId="0" fontId="10" fillId="0" borderId="0" xfId="0" applyNumberFormat="1" applyFont="1" applyAlignment="1">
      <alignment vertical="top" wrapText="1"/>
    </xf>
    <xf numFmtId="0" fontId="10" fillId="0" borderId="2" xfId="0" applyNumberFormat="1" applyFont="1" applyBorder="1" applyAlignment="1">
      <alignment vertical="top"/>
    </xf>
    <xf numFmtId="0" fontId="10" fillId="0" borderId="0" xfId="0" applyNumberFormat="1" applyFont="1" applyAlignment="1">
      <alignment horizontal="left" vertical="top" wrapText="1"/>
    </xf>
    <xf numFmtId="0" fontId="10" fillId="0" borderId="2" xfId="0" applyNumberFormat="1" applyFont="1" applyBorder="1" applyAlignment="1">
      <alignment horizontal="left" vertical="top" wrapText="1"/>
    </xf>
    <xf numFmtId="0" fontId="11" fillId="0" borderId="0" xfId="0" applyNumberFormat="1" applyFont="1" applyAlignment="1"/>
    <xf numFmtId="0" fontId="11" fillId="0" borderId="2" xfId="0" applyNumberFormat="1" applyFont="1" applyBorder="1" applyAlignment="1"/>
    <xf numFmtId="0" fontId="14" fillId="0" borderId="0" xfId="0" applyNumberFormat="1" applyFont="1" applyAlignment="1">
      <alignment horizontal="center" wrapText="1"/>
    </xf>
    <xf numFmtId="0" fontId="14" fillId="0" borderId="1" xfId="0" applyNumberFormat="1" applyFont="1" applyBorder="1" applyAlignment="1">
      <alignment horizontal="center" wrapText="1"/>
    </xf>
    <xf numFmtId="0" fontId="16" fillId="0" borderId="2" xfId="0" applyNumberFormat="1" applyFont="1" applyBorder="1" applyAlignment="1">
      <alignment horizontal="center" vertical="top" wrapText="1"/>
    </xf>
    <xf numFmtId="0" fontId="17" fillId="0" borderId="0" xfId="0" applyNumberFormat="1" applyFont="1" applyAlignment="1"/>
    <xf numFmtId="0" fontId="17" fillId="0" borderId="0" xfId="0" applyNumberFormat="1" applyFont="1" applyAlignment="1">
      <alignment wrapText="1"/>
    </xf>
    <xf numFmtId="0" fontId="18" fillId="0" borderId="0" xfId="0" applyNumberFormat="1" applyFont="1" applyAlignment="1">
      <alignment vertical="center" wrapText="1"/>
    </xf>
    <xf numFmtId="0" fontId="18" fillId="0" borderId="0" xfId="0" applyNumberFormat="1" applyFont="1" applyAlignment="1">
      <alignment horizontal="center" wrapText="1"/>
    </xf>
    <xf numFmtId="0" fontId="19" fillId="0" borderId="1" xfId="0" applyNumberFormat="1" applyFont="1" applyBorder="1" applyAlignment="1">
      <alignment horizontal="center" wrapText="1"/>
    </xf>
    <xf numFmtId="0" fontId="10" fillId="0" borderId="0" xfId="0" applyNumberFormat="1" applyFont="1" applyAlignment="1">
      <alignment horizontal="center"/>
    </xf>
    <xf numFmtId="0" fontId="10" fillId="0" borderId="1" xfId="0" applyNumberFormat="1" applyFont="1" applyBorder="1" applyAlignment="1">
      <alignment horizontal="center"/>
    </xf>
    <xf numFmtId="0" fontId="10" fillId="0" borderId="2" xfId="0" applyNumberFormat="1" applyFont="1" applyBorder="1" applyAlignment="1"/>
    <xf numFmtId="0" fontId="10" fillId="0" borderId="1" xfId="0" applyNumberFormat="1" applyFont="1" applyBorder="1" applyAlignment="1">
      <alignment horizontal="left" wrapText="1"/>
    </xf>
    <xf numFmtId="0" fontId="10" fillId="0" borderId="0" xfId="0" applyNumberFormat="1" applyFont="1" applyAlignment="1">
      <alignment horizontal="left" wrapText="1"/>
    </xf>
    <xf numFmtId="0" fontId="10" fillId="0" borderId="0" xfId="0" applyNumberFormat="1" applyFont="1" applyAlignment="1">
      <alignment wrapText="1"/>
    </xf>
    <xf numFmtId="0" fontId="13" fillId="0" borderId="0" xfId="0" applyNumberFormat="1" applyFont="1" applyAlignment="1"/>
    <xf numFmtId="14" fontId="17" fillId="0" borderId="0" xfId="0" applyNumberFormat="1" applyFont="1" applyAlignment="1"/>
    <xf numFmtId="0" fontId="10" fillId="0" borderId="0" xfId="0" applyNumberFormat="1" applyFont="1" applyAlignment="1">
      <alignment horizontal="right"/>
    </xf>
    <xf numFmtId="0" fontId="10" fillId="0" borderId="0" xfId="0" applyNumberFormat="1" applyFont="1" applyAlignment="1">
      <alignment horizontal="right"/>
    </xf>
    <xf numFmtId="0" fontId="15" fillId="0" borderId="0" xfId="0" applyNumberFormat="1" applyFont="1" applyAlignment="1"/>
    <xf numFmtId="165" fontId="10" fillId="0" borderId="0" xfId="0" applyNumberFormat="1" applyFont="1" applyAlignment="1">
      <alignment horizontal="right"/>
    </xf>
    <xf numFmtId="0" fontId="17" fillId="0" borderId="1" xfId="0" applyNumberFormat="1" applyFont="1" applyBorder="1" applyAlignment="1"/>
    <xf numFmtId="0" fontId="10" fillId="0" borderId="2" xfId="0" applyNumberFormat="1" applyFont="1" applyBorder="1" applyAlignment="1">
      <alignment horizontal="center" vertical="center" wrapText="1"/>
    </xf>
    <xf numFmtId="0" fontId="10" fillId="0" borderId="3" xfId="0" applyNumberFormat="1" applyFont="1" applyBorder="1" applyAlignment="1">
      <alignment horizontal="center" vertical="center" wrapText="1"/>
    </xf>
    <xf numFmtId="0" fontId="10" fillId="0" borderId="4" xfId="0" applyNumberFormat="1" applyFont="1" applyBorder="1" applyAlignment="1">
      <alignment horizontal="center" vertical="center" wrapText="1"/>
    </xf>
    <xf numFmtId="0" fontId="10" fillId="0" borderId="5" xfId="0" applyNumberFormat="1" applyFont="1" applyBorder="1" applyAlignment="1">
      <alignment horizontal="center" vertical="center" wrapText="1"/>
    </xf>
    <xf numFmtId="0" fontId="10" fillId="0" borderId="6" xfId="0" applyNumberFormat="1" applyFont="1" applyBorder="1" applyAlignment="1">
      <alignment horizontal="center" vertical="center" wrapText="1"/>
    </xf>
    <xf numFmtId="0" fontId="10" fillId="0" borderId="8" xfId="0" applyNumberFormat="1" applyFont="1" applyBorder="1" applyAlignment="1">
      <alignment horizontal="center" vertical="center" wrapText="1"/>
    </xf>
    <xf numFmtId="0" fontId="10" fillId="0" borderId="0" xfId="0" applyNumberFormat="1" applyFont="1" applyBorder="1" applyAlignment="1">
      <alignment horizontal="center" vertical="center" wrapText="1"/>
    </xf>
    <xf numFmtId="0" fontId="10" fillId="0" borderId="9" xfId="0" applyNumberFormat="1" applyFont="1" applyBorder="1" applyAlignment="1">
      <alignment horizontal="center" vertical="center" wrapText="1"/>
    </xf>
    <xf numFmtId="0" fontId="10" fillId="0" borderId="10" xfId="0" applyNumberFormat="1" applyFont="1" applyBorder="1" applyAlignment="1">
      <alignment horizontal="center" vertical="center" wrapText="1"/>
    </xf>
    <xf numFmtId="0" fontId="10" fillId="0" borderId="1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0" fillId="0" borderId="12" xfId="0" applyNumberFormat="1" applyFont="1" applyBorder="1" applyAlignment="1">
      <alignment horizontal="center" vertical="center" wrapText="1"/>
    </xf>
    <xf numFmtId="0" fontId="10" fillId="0" borderId="7" xfId="0" applyNumberFormat="1" applyFont="1" applyBorder="1" applyAlignment="1">
      <alignment horizontal="center" vertical="center" wrapText="1"/>
    </xf>
    <xf numFmtId="0" fontId="8" fillId="0" borderId="7" xfId="0" applyNumberFormat="1" applyFont="1" applyBorder="1" applyAlignment="1">
      <alignment horizontal="center" vertical="center" wrapText="1"/>
    </xf>
    <xf numFmtId="0" fontId="10" fillId="0" borderId="7" xfId="0" applyNumberFormat="1" applyFont="1" applyBorder="1" applyAlignment="1">
      <alignment horizontal="center"/>
    </xf>
    <xf numFmtId="0" fontId="17" fillId="0" borderId="0" xfId="0" applyNumberFormat="1" applyFont="1" applyAlignment="1">
      <alignment horizontal="center"/>
    </xf>
    <xf numFmtId="0" fontId="17" fillId="0" borderId="7" xfId="0" applyNumberFormat="1" applyFont="1" applyBorder="1" applyAlignment="1">
      <alignment horizontal="center"/>
    </xf>
    <xf numFmtId="0" fontId="10" fillId="0" borderId="1" xfId="0" applyNumberFormat="1" applyFont="1" applyBorder="1" applyAlignment="1">
      <alignment horizontal="left" vertical="top" wrapText="1"/>
    </xf>
    <xf numFmtId="0" fontId="14" fillId="0" borderId="1" xfId="0" applyNumberFormat="1" applyFont="1" applyBorder="1" applyAlignment="1">
      <alignment horizontal="center" wrapText="1"/>
    </xf>
    <xf numFmtId="0" fontId="19" fillId="0" borderId="1" xfId="0" applyNumberFormat="1" applyFont="1" applyBorder="1" applyAlignment="1">
      <alignment horizontal="center" wrapText="1"/>
    </xf>
    <xf numFmtId="0" fontId="20" fillId="0" borderId="0" xfId="0" applyFont="1"/>
    <xf numFmtId="0" fontId="20" fillId="0" borderId="0" xfId="0" quotePrefix="1" applyFont="1" applyAlignment="1">
      <alignment horizontal="left" vertical="top" wrapText="1"/>
    </xf>
    <xf numFmtId="0" fontId="20" fillId="0" borderId="0" xfId="0" applyFont="1" applyAlignment="1">
      <alignment horizontal="left" vertical="top"/>
    </xf>
    <xf numFmtId="0" fontId="20" fillId="0" borderId="0" xfId="0" applyFont="1" applyAlignment="1">
      <alignment horizontal="left" vertical="top" wrapText="1"/>
    </xf>
    <xf numFmtId="0" fontId="21" fillId="0" borderId="0" xfId="0" applyFont="1" applyAlignment="1">
      <alignment horizontal="right" vertical="top" wrapText="1"/>
    </xf>
    <xf numFmtId="0" fontId="20" fillId="0" borderId="0" xfId="0" applyFont="1" applyAlignment="1">
      <alignment horizontal="right" vertical="top"/>
    </xf>
    <xf numFmtId="0" fontId="20" fillId="0" borderId="0" xfId="0" applyFont="1" applyAlignment="1">
      <alignment horizontal="right" vertical="top" wrapText="1"/>
    </xf>
    <xf numFmtId="166" fontId="20" fillId="0" borderId="0" xfId="0" applyNumberFormat="1" applyFont="1" applyAlignment="1">
      <alignment horizontal="right" vertical="top"/>
    </xf>
    <xf numFmtId="167" fontId="20" fillId="0" borderId="0" xfId="0" applyNumberFormat="1" applyFont="1" applyAlignment="1">
      <alignment horizontal="right" vertical="top"/>
    </xf>
    <xf numFmtId="166" fontId="22" fillId="0" borderId="0" xfId="0" applyNumberFormat="1" applyFont="1" applyAlignment="1">
      <alignment horizontal="right" vertical="top"/>
    </xf>
    <xf numFmtId="0" fontId="20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right" vertical="top" wrapText="1"/>
    </xf>
    <xf numFmtId="0" fontId="20" fillId="0" borderId="1" xfId="0" applyFont="1" applyBorder="1" applyAlignment="1">
      <alignment horizontal="right" vertical="top"/>
    </xf>
    <xf numFmtId="166" fontId="20" fillId="0" borderId="1" xfId="0" applyNumberFormat="1" applyFont="1" applyBorder="1" applyAlignment="1">
      <alignment horizontal="right" vertical="top"/>
    </xf>
    <xf numFmtId="0" fontId="20" fillId="0" borderId="1" xfId="0" applyFont="1" applyBorder="1" applyAlignment="1">
      <alignment horizontal="right" vertical="top" wrapText="1"/>
    </xf>
    <xf numFmtId="166" fontId="0" fillId="0" borderId="0" xfId="0" applyNumberFormat="1"/>
    <xf numFmtId="166" fontId="20" fillId="0" borderId="0" xfId="0" applyNumberFormat="1" applyFont="1" applyAlignment="1">
      <alignment horizontal="right"/>
    </xf>
    <xf numFmtId="0" fontId="22" fillId="0" borderId="0" xfId="0" applyFont="1" applyAlignment="1">
      <alignment horizontal="left" vertical="top" wrapText="1"/>
    </xf>
    <xf numFmtId="0" fontId="23" fillId="0" borderId="0" xfId="0" quotePrefix="1" applyFont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24" fillId="0" borderId="0" xfId="0" applyFont="1" applyAlignment="1">
      <alignment horizontal="right" vertical="top" wrapText="1"/>
    </xf>
    <xf numFmtId="0" fontId="23" fillId="0" borderId="0" xfId="0" applyFont="1" applyAlignment="1">
      <alignment horizontal="right" vertical="top"/>
    </xf>
    <xf numFmtId="0" fontId="23" fillId="0" borderId="0" xfId="0" applyFont="1" applyAlignment="1">
      <alignment horizontal="right" vertical="top" wrapText="1"/>
    </xf>
    <xf numFmtId="166" fontId="23" fillId="0" borderId="0" xfId="0" applyNumberFormat="1" applyFont="1" applyAlignment="1">
      <alignment horizontal="right" vertical="top"/>
    </xf>
    <xf numFmtId="0" fontId="20" fillId="0" borderId="0" xfId="0" applyFont="1" applyAlignment="1">
      <alignment vertical="top"/>
    </xf>
    <xf numFmtId="166" fontId="22" fillId="0" borderId="0" xfId="0" applyNumberFormat="1" applyFont="1" applyAlignment="1">
      <alignment horizontal="left" vertical="top"/>
    </xf>
    <xf numFmtId="166" fontId="22" fillId="0" borderId="2" xfId="0" applyNumberFormat="1" applyFont="1" applyBorder="1" applyAlignment="1">
      <alignment horizontal="right" vertical="top"/>
    </xf>
    <xf numFmtId="0" fontId="8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2" fillId="0" borderId="0" xfId="0" applyFont="1" applyAlignment="1">
      <alignment vertical="top"/>
    </xf>
    <xf numFmtId="0" fontId="12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22" fillId="0" borderId="0" xfId="0" applyFont="1" applyAlignment="1">
      <alignment horizontal="right" vertical="top"/>
    </xf>
    <xf numFmtId="0" fontId="22" fillId="0" borderId="2" xfId="0" applyFont="1" applyBorder="1" applyAlignment="1">
      <alignment vertical="top"/>
    </xf>
    <xf numFmtId="0" fontId="12" fillId="0" borderId="2" xfId="0" applyFont="1" applyBorder="1" applyAlignment="1">
      <alignment horizontal="left" vertical="top" wrapText="1"/>
    </xf>
    <xf numFmtId="0" fontId="22" fillId="0" borderId="2" xfId="0" applyFont="1" applyBorder="1" applyAlignment="1">
      <alignment horizontal="left" vertical="top" wrapText="1"/>
    </xf>
    <xf numFmtId="166" fontId="22" fillId="0" borderId="2" xfId="0" applyNumberFormat="1" applyFont="1" applyBorder="1" applyAlignment="1">
      <alignment horizontal="right" vertical="top"/>
    </xf>
    <xf numFmtId="0" fontId="22" fillId="0" borderId="2" xfId="0" applyFont="1" applyBorder="1" applyAlignment="1">
      <alignment horizontal="right" vertical="top"/>
    </xf>
    <xf numFmtId="0" fontId="21" fillId="0" borderId="0" xfId="0" applyFont="1" applyAlignment="1">
      <alignment horizontal="left" vertical="top" wrapText="1"/>
    </xf>
    <xf numFmtId="0" fontId="20" fillId="0" borderId="0" xfId="0" applyFont="1" applyAlignment="1">
      <alignment horizontal="right" vertical="top" wrapText="1"/>
    </xf>
    <xf numFmtId="0" fontId="20" fillId="0" borderId="0" xfId="0" applyFont="1" applyAlignment="1">
      <alignment horizontal="left" wrapText="1"/>
    </xf>
    <xf numFmtId="166" fontId="10" fillId="0" borderId="0" xfId="0" applyNumberFormat="1" applyFont="1" applyAlignment="1">
      <alignment horizontal="right"/>
    </xf>
    <xf numFmtId="166" fontId="10" fillId="0" borderId="0" xfId="0" applyNumberFormat="1" applyFont="1" applyAlignment="1">
      <alignment horizontal="right"/>
    </xf>
    <xf numFmtId="166" fontId="10" fillId="0" borderId="0" xfId="0" applyNumberFormat="1" applyFont="1" applyAlignment="1"/>
    <xf numFmtId="166" fontId="11" fillId="0" borderId="0" xfId="0" applyNumberFormat="1" applyFont="1" applyAlignment="1"/>
    <xf numFmtId="167" fontId="11" fillId="0" borderId="0" xfId="0" applyNumberFormat="1" applyFont="1" applyAlignment="1"/>
    <xf numFmtId="0" fontId="11" fillId="0" borderId="0" xfId="0" applyNumberFormat="1" applyFont="1" applyAlignment="1">
      <alignment horizontal="right"/>
    </xf>
    <xf numFmtId="0" fontId="10" fillId="0" borderId="0" xfId="0" applyNumberFormat="1" applyFont="1" applyAlignment="1">
      <alignment horizontal="right" vertical="center"/>
    </xf>
    <xf numFmtId="0" fontId="17" fillId="0" borderId="0" xfId="0" applyNumberFormat="1" applyFont="1" applyAlignment="1">
      <alignment horizontal="left"/>
    </xf>
    <xf numFmtId="0" fontId="17" fillId="0" borderId="1" xfId="0" applyNumberFormat="1" applyFont="1" applyBorder="1" applyAlignment="1">
      <alignment horizontal="left"/>
    </xf>
    <xf numFmtId="0" fontId="17" fillId="0" borderId="0" xfId="0" applyNumberFormat="1" applyFont="1" applyAlignment="1">
      <alignment horizontal="right"/>
    </xf>
    <xf numFmtId="0" fontId="25" fillId="0" borderId="2" xfId="0" applyNumberFormat="1" applyFont="1" applyBorder="1" applyAlignment="1">
      <alignment horizontal="center"/>
    </xf>
    <xf numFmtId="0" fontId="22" fillId="0" borderId="0" xfId="0" applyFont="1" applyAlignment="1">
      <alignment horizontal="right"/>
    </xf>
    <xf numFmtId="0" fontId="22" fillId="0" borderId="0" xfId="0" applyFont="1" applyBorder="1" applyAlignment="1">
      <alignment horizontal="right"/>
    </xf>
    <xf numFmtId="0" fontId="22" fillId="0" borderId="0" xfId="0" applyFont="1" applyBorder="1" applyAlignment="1">
      <alignment horizontal="right"/>
    </xf>
    <xf numFmtId="0" fontId="26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wrapText="1"/>
    </xf>
    <xf numFmtId="0" fontId="27" fillId="0" borderId="5" xfId="0" applyFont="1" applyBorder="1" applyAlignment="1">
      <alignment horizontal="center" wrapText="1"/>
    </xf>
    <xf numFmtId="0" fontId="20" fillId="0" borderId="7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center" vertical="center"/>
    </xf>
    <xf numFmtId="0" fontId="20" fillId="0" borderId="5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left"/>
    </xf>
    <xf numFmtId="0" fontId="22" fillId="0" borderId="0" xfId="0" applyFont="1" applyBorder="1"/>
    <xf numFmtId="0" fontId="22" fillId="0" borderId="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43B14-A710-4422-9FC2-627152B7F7F5}">
  <sheetPr>
    <pageSetUpPr fitToPage="1"/>
  </sheetPr>
  <dimension ref="A1:CO187"/>
  <sheetViews>
    <sheetView tabSelected="1" topLeftCell="A63" zoomScaleNormal="100" workbookViewId="0">
      <selection activeCell="I168" sqref="I168"/>
    </sheetView>
  </sheetViews>
  <sheetFormatPr defaultRowHeight="12.75" x14ac:dyDescent="0.2"/>
  <cols>
    <col min="1" max="1" width="5.7109375" customWidth="1"/>
    <col min="2" max="2" width="20.7109375" customWidth="1"/>
    <col min="3" max="3" width="40.7109375" customWidth="1"/>
    <col min="4" max="4" width="10.7109375" customWidth="1"/>
    <col min="5" max="12" width="15.7109375" customWidth="1"/>
    <col min="15" max="91" width="0" hidden="1" customWidth="1"/>
    <col min="92" max="92" width="198.7109375" hidden="1" customWidth="1"/>
    <col min="93" max="93" width="108.7109375" hidden="1" customWidth="1"/>
    <col min="94" max="101" width="0" hidden="1" customWidth="1"/>
  </cols>
  <sheetData>
    <row r="1" spans="1:93" x14ac:dyDescent="0.2">
      <c r="A1" s="13" t="str">
        <f>Source!B1</f>
        <v>Smeta.RU Flash  (495) 974-1589</v>
      </c>
    </row>
    <row r="2" spans="1:93" ht="12.75" customHeight="1" x14ac:dyDescent="0.2">
      <c r="A2" s="14" t="s">
        <v>289</v>
      </c>
      <c r="B2" s="14"/>
      <c r="C2" s="14"/>
      <c r="D2" s="14"/>
      <c r="E2" s="14"/>
      <c r="F2" s="15" t="s">
        <v>328</v>
      </c>
      <c r="G2" s="15"/>
      <c r="H2" s="15"/>
      <c r="I2" s="15"/>
      <c r="J2" s="15"/>
      <c r="K2" s="15"/>
      <c r="L2" s="15"/>
    </row>
    <row r="3" spans="1:93" ht="12.75" customHeight="1" x14ac:dyDescent="0.2">
      <c r="A3" s="17"/>
      <c r="B3" s="17"/>
      <c r="C3" s="17"/>
      <c r="D3" s="17"/>
      <c r="E3" s="17"/>
      <c r="F3" s="18"/>
      <c r="G3" s="18"/>
      <c r="H3" s="18"/>
      <c r="I3" s="18"/>
      <c r="J3" s="18"/>
      <c r="K3" s="18"/>
      <c r="L3" s="18"/>
    </row>
    <row r="4" spans="1:93" ht="25.5" x14ac:dyDescent="0.2">
      <c r="A4" s="14" t="s">
        <v>290</v>
      </c>
      <c r="B4" s="14"/>
      <c r="C4" s="14"/>
      <c r="D4" s="14"/>
      <c r="E4" s="14"/>
      <c r="F4" s="15" t="str">
        <f>IF(Source!CQ12 &lt;&gt; "", Source!CQ12, "")</f>
        <v>Приказ Минстроя России от 30.12.2021 г. № 1046/пр;  Приказ Минстроя России от 04.08.2020 г. № 421/пр;  Приказ Минстроя России от 21.12.2020 г. № 812/пр;  Приказ Минстроя России от 11.12.2020 г. № 774/пр</v>
      </c>
      <c r="G4" s="15"/>
      <c r="H4" s="15"/>
      <c r="I4" s="15"/>
      <c r="J4" s="15"/>
      <c r="K4" s="15"/>
      <c r="L4" s="15"/>
      <c r="CO4" s="61" t="str">
        <f>IF(Source!CQ12 &lt;&gt; "", Source!CQ12, "")</f>
        <v>Приказ Минстроя России от 30.12.2021 г. № 1046/пр;  Приказ Минстроя России от 04.08.2020 г. № 421/пр;  Приказ Минстроя России от 21.12.2020 г. № 812/пр;  Приказ Минстроя России от 11.12.2020 г. № 774/пр</v>
      </c>
    </row>
    <row r="5" spans="1:93" ht="12.75" customHeight="1" x14ac:dyDescent="0.2">
      <c r="A5" s="17"/>
      <c r="B5" s="17"/>
      <c r="C5" s="17"/>
      <c r="D5" s="17"/>
      <c r="E5" s="17"/>
      <c r="F5" s="18"/>
      <c r="G5" s="18"/>
      <c r="H5" s="18"/>
      <c r="I5" s="18"/>
      <c r="J5" s="18"/>
      <c r="K5" s="18"/>
      <c r="L5" s="18"/>
    </row>
    <row r="6" spans="1:93" ht="140.25" x14ac:dyDescent="0.2">
      <c r="A6" s="14" t="s">
        <v>291</v>
      </c>
      <c r="B6" s="14"/>
      <c r="C6" s="14"/>
      <c r="D6" s="14"/>
      <c r="E6" s="14"/>
      <c r="F6" s="15" t="str">
        <f>IF(Source!CV12 &lt;&gt; "", Source!CV12, "")</f>
        <v>Приказ Минстроя России от 18.05.2022 г. № 378/пр; Приказ Минстроя России от 26.08.2022 г. № 703/пр; Приказ Минстроя России от 26.10.2022 г. № 905/пр;  Приказ Минстроя России от 27.12.2022 г. № 1133/пр; Приказ Минстроя России от 10.02.2023 г. № 84/пр; Приказ Минстроя России от 11.05.2023 г. № 335/пр;  Приказ Минстроя России от 02.08.2023 г. № 551/пр; Приказ Минстроя России от 14.11.2023 г. № 817/пр; Приказ Минстроя России от 16.02.2024 г. № 102/пр;  Приказ Минстроя России от 13.05.2024 г. № 323/пр; Приказ Минстроя России от 09.08.2024 г. № 524/пр; Приказ Минстроя России от 07.11.2024 г. № 747/пр;  Приказ Минстроя России от 07.02.2025 г. № 69/пр; Приказ Минстроя России от 19.05.2025 г. № 299/пр; Приказ Минстроя России от 14.08.2025 г. № 490/пр;  Приказ Минстроя России от 12.11.2025 г. № 696/пр; Приказ Минстроя России от 17.02.2026 г. № 91/пр; Приказ Минстроя России от 15.05.2026 г. № 301/пр;  Приказ Минстроя России от 07.07.2022 г. № 557/пр; Приказ Минстроя России от 30.01.2024 г. № 55/пр; Приказ Минстроя России от 23.01.2025 г. № 30/пр;  Приказ Минстроя России от 02.09.2021 г. № 636/пр; Приказ Минстроя России от 26.07.2022 г. № 611/пр; Приказ Минстроя России от 22.04.2022 г. № 317/пр</v>
      </c>
      <c r="G6" s="15"/>
      <c r="H6" s="15"/>
      <c r="I6" s="15"/>
      <c r="J6" s="15"/>
      <c r="K6" s="15"/>
      <c r="L6" s="15"/>
      <c r="CO6" s="61" t="str">
        <f>IF(Source!CV12 &lt;&gt; "", Source!CV12, "")</f>
        <v>Приказ Минстроя России от 18.05.2022 г. № 378/пр; Приказ Минстроя России от 26.08.2022 г. № 703/пр; Приказ Минстроя России от 26.10.2022 г. № 905/пр;  Приказ Минстроя России от 27.12.2022 г. № 1133/пр; Приказ Минстроя России от 10.02.2023 г. № 84/пр; Приказ Минстроя России от 11.05.2023 г. № 335/пр;  Приказ Минстроя России от 02.08.2023 г. № 551/пр; Приказ Минстроя России от 14.11.2023 г. № 817/пр; Приказ Минстроя России от 16.02.2024 г. № 102/пр;  Приказ Минстроя России от 13.05.2024 г. № 323/пр; Приказ Минстроя России от 09.08.2024 г. № 524/пр; Приказ Минстроя России от 07.11.2024 г. № 747/пр;  Приказ Минстроя России от 07.02.2025 г. № 69/пр; Приказ Минстроя России от 19.05.2025 г. № 299/пр; Приказ Минстроя России от 14.08.2025 г. № 490/пр;  Приказ Минстроя России от 12.11.2025 г. № 696/пр; Приказ Минстроя России от 17.02.2026 г. № 91/пр; Приказ Минстроя России от 15.05.2026 г. № 301/пр;  Приказ Минстроя России от 07.07.2022 г. № 557/пр; Приказ Минстроя России от 30.01.2024 г. № 55/пр; Приказ Минстроя России от 23.01.2025 г. № 30/пр;  Приказ Минстроя России от 02.09.2021 г. № 636/пр; Приказ Минстроя России от 26.07.2022 г. № 611/пр; Приказ Минстроя России от 22.04.2022 г. № 317/пр</v>
      </c>
    </row>
    <row r="7" spans="1:93" ht="12.75" customHeight="1" x14ac:dyDescent="0.2">
      <c r="A7" s="17"/>
      <c r="B7" s="17"/>
      <c r="C7" s="17"/>
      <c r="D7" s="17"/>
      <c r="E7" s="17"/>
      <c r="F7" s="18"/>
      <c r="G7" s="18"/>
      <c r="H7" s="18"/>
      <c r="I7" s="18"/>
      <c r="J7" s="18"/>
      <c r="K7" s="18"/>
      <c r="L7" s="18"/>
    </row>
    <row r="8" spans="1:93" ht="76.5" customHeight="1" x14ac:dyDescent="0.2">
      <c r="A8" s="14" t="s">
        <v>292</v>
      </c>
      <c r="B8" s="14"/>
      <c r="C8" s="14"/>
      <c r="D8" s="14"/>
      <c r="E8" s="14"/>
      <c r="F8" s="15" t="s">
        <v>211</v>
      </c>
      <c r="G8" s="15"/>
      <c r="H8" s="15"/>
      <c r="I8" s="15"/>
      <c r="J8" s="15"/>
      <c r="K8" s="15"/>
      <c r="L8" s="15"/>
    </row>
    <row r="9" spans="1:93" ht="12.75" customHeight="1" x14ac:dyDescent="0.2">
      <c r="A9" s="17"/>
      <c r="B9" s="17"/>
      <c r="C9" s="17"/>
      <c r="D9" s="17"/>
      <c r="E9" s="17"/>
      <c r="F9" s="18"/>
      <c r="G9" s="18"/>
      <c r="H9" s="18"/>
      <c r="I9" s="18"/>
      <c r="J9" s="18"/>
      <c r="K9" s="18"/>
      <c r="L9" s="18"/>
    </row>
    <row r="10" spans="1:93" ht="38.25" customHeight="1" x14ac:dyDescent="0.2">
      <c r="A10" s="14" t="s">
        <v>293</v>
      </c>
      <c r="B10" s="14"/>
      <c r="C10" s="14"/>
      <c r="D10" s="14"/>
      <c r="E10" s="14"/>
      <c r="F10" s="15" t="s">
        <v>212</v>
      </c>
      <c r="G10" s="15"/>
      <c r="H10" s="15"/>
      <c r="I10" s="15"/>
      <c r="J10" s="15"/>
      <c r="K10" s="15"/>
      <c r="L10" s="15"/>
    </row>
    <row r="11" spans="1:93" ht="12.75" customHeight="1" x14ac:dyDescent="0.2">
      <c r="A11" s="19"/>
      <c r="B11" s="19"/>
      <c r="C11" s="19"/>
      <c r="D11" s="19"/>
      <c r="E11" s="19"/>
      <c r="F11" s="20"/>
      <c r="G11" s="20"/>
      <c r="H11" s="20"/>
      <c r="I11" s="20"/>
      <c r="J11" s="20"/>
      <c r="K11" s="20"/>
      <c r="L11" s="20"/>
    </row>
    <row r="12" spans="1:93" ht="12.75" customHeight="1" x14ac:dyDescent="0.2">
      <c r="A12" s="14" t="s">
        <v>294</v>
      </c>
      <c r="B12" s="14"/>
      <c r="C12" s="14"/>
      <c r="D12" s="14"/>
      <c r="E12" s="14"/>
      <c r="F12" s="15" t="s">
        <v>329</v>
      </c>
      <c r="G12" s="15"/>
      <c r="H12" s="15"/>
      <c r="I12" s="15"/>
      <c r="J12" s="15"/>
      <c r="K12" s="15"/>
      <c r="L12" s="15"/>
    </row>
    <row r="13" spans="1:93" ht="12.75" customHeight="1" x14ac:dyDescent="0.2">
      <c r="A13" s="19"/>
      <c r="B13" s="19"/>
      <c r="C13" s="19"/>
      <c r="D13" s="19"/>
      <c r="E13" s="19"/>
      <c r="F13" s="20"/>
      <c r="G13" s="20"/>
      <c r="H13" s="20"/>
      <c r="I13" s="20"/>
      <c r="J13" s="20"/>
      <c r="K13" s="20"/>
      <c r="L13" s="20"/>
    </row>
    <row r="14" spans="1:93" ht="12.75" customHeight="1" x14ac:dyDescent="0.2">
      <c r="A14" s="14" t="s">
        <v>295</v>
      </c>
      <c r="B14" s="14"/>
      <c r="C14" s="14"/>
      <c r="D14" s="14"/>
      <c r="E14" s="14"/>
      <c r="F14" s="15" t="str">
        <f>IF(Source!CZ12 &lt;&gt; "", Source!CZ12, "")</f>
        <v/>
      </c>
      <c r="G14" s="15"/>
      <c r="H14" s="15"/>
      <c r="I14" s="15"/>
      <c r="J14" s="15"/>
      <c r="K14" s="15"/>
      <c r="L14" s="15"/>
    </row>
    <row r="15" spans="1:93" ht="12.75" customHeight="1" x14ac:dyDescent="0.2">
      <c r="A15" s="19"/>
      <c r="B15" s="19"/>
      <c r="C15" s="19"/>
      <c r="D15" s="19"/>
      <c r="E15" s="19"/>
      <c r="F15" s="20"/>
      <c r="G15" s="20"/>
      <c r="H15" s="20"/>
      <c r="I15" s="20"/>
      <c r="J15" s="20"/>
      <c r="K15" s="20"/>
      <c r="L15" s="18"/>
    </row>
    <row r="16" spans="1:93" ht="12.75" customHeight="1" x14ac:dyDescent="0.2">
      <c r="A16" s="14" t="s">
        <v>296</v>
      </c>
      <c r="B16" s="14"/>
      <c r="C16" s="14"/>
      <c r="D16" s="14"/>
      <c r="E16" s="14"/>
      <c r="F16" s="15" t="str">
        <f>IF(Source!DA12 &lt;&gt; "", Source!DA12, "")</f>
        <v/>
      </c>
      <c r="G16" s="15"/>
      <c r="H16" s="15"/>
      <c r="I16" s="15"/>
      <c r="J16" s="15"/>
      <c r="K16" s="15"/>
      <c r="L16" s="15"/>
    </row>
    <row r="17" spans="1:92" ht="12.75" customHeight="1" x14ac:dyDescent="0.2">
      <c r="A17" s="21"/>
      <c r="B17" s="21"/>
      <c r="C17" s="21"/>
      <c r="D17" s="21"/>
      <c r="E17" s="21"/>
      <c r="F17" s="22"/>
      <c r="G17" s="22"/>
      <c r="H17" s="22"/>
      <c r="I17" s="22"/>
      <c r="J17" s="22"/>
      <c r="K17" s="22"/>
      <c r="L17" s="22"/>
    </row>
    <row r="18" spans="1:92" ht="12.75" customHeight="1" x14ac:dyDescent="0.2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</row>
    <row r="19" spans="1:92" ht="15.75" customHeight="1" x14ac:dyDescent="0.25">
      <c r="A19" s="24" t="s">
        <v>4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</row>
    <row r="20" spans="1:92" ht="14.25" customHeight="1" x14ac:dyDescent="0.2">
      <c r="A20" s="25" t="s">
        <v>297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</row>
    <row r="21" spans="1:92" ht="14.25" customHeight="1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</row>
    <row r="22" spans="1:92" ht="15.75" x14ac:dyDescent="0.25">
      <c r="A22" s="24" t="str">
        <f>IF(Source!G12&lt;&gt;"Новый объект", Source!G12, "")</f>
        <v>Замена оборудования пассажирского лифта № 59327 по адресу: г. Москва, Петроверигский пер., д.10, стр.3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CN22" s="62" t="str">
        <f>IF(Source!G12&lt;&gt;"Новый объект", Source!G12, "")</f>
        <v>Замена оборудования пассажирского лифта № 59327 по адресу: г. Москва, Петроверигский пер., д.10, стр.3</v>
      </c>
    </row>
    <row r="23" spans="1:92" ht="14.25" customHeight="1" x14ac:dyDescent="0.2">
      <c r="A23" s="25" t="s">
        <v>298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</row>
    <row r="24" spans="1:92" ht="14.25" customHeight="1" x14ac:dyDescent="0.2">
      <c r="A24" s="26"/>
      <c r="B24" s="26"/>
      <c r="C24" s="26"/>
      <c r="D24" s="26"/>
      <c r="E24" s="26"/>
      <c r="F24" s="27"/>
      <c r="G24" s="27"/>
      <c r="H24" s="27"/>
      <c r="I24" s="27"/>
      <c r="J24" s="27"/>
      <c r="K24" s="27"/>
      <c r="L24" s="27"/>
    </row>
    <row r="25" spans="1:92" ht="15.75" customHeight="1" x14ac:dyDescent="0.25">
      <c r="A25" s="23" t="str">
        <f>CONCATENATE( "ЛОКАЛЬНАЯ СМЕТА № ", Source!L20, " ",Source!CM20)</f>
        <v xml:space="preserve">ЛОКАЛЬНАЯ СМЕТА № Новая локальная смета 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</row>
    <row r="26" spans="1:92" ht="15" customHeight="1" x14ac:dyDescent="0.25">
      <c r="A26" s="28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8"/>
    </row>
    <row r="27" spans="1:92" ht="18" x14ac:dyDescent="0.25">
      <c r="A27" s="30" t="str">
        <f>IF(Source!G20&lt;&gt;"Новая локальная смета", Source!G20, "")</f>
        <v>Замена оборудования пассажирского лифта № 59327 по адресу: г. Москва, Петроверигский пер., д.10, стр.3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CN27" s="63" t="str">
        <f>IF(Source!G20&lt;&gt;"Новая локальная смета", Source!G20, "")</f>
        <v>Замена оборудования пассажирского лифта № 59327 по адресу: г. Москва, Петроверигский пер., д.10, стр.3</v>
      </c>
    </row>
    <row r="28" spans="1:92" ht="14.25" customHeight="1" x14ac:dyDescent="0.2">
      <c r="A28" s="25" t="s">
        <v>299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</row>
    <row r="29" spans="1:92" ht="14.25" customHeight="1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</row>
    <row r="30" spans="1:92" ht="14.25" customHeight="1" x14ac:dyDescent="0.2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</row>
    <row r="31" spans="1:92" ht="12.75" customHeight="1" x14ac:dyDescent="0.2">
      <c r="A31" s="16" t="s">
        <v>300</v>
      </c>
      <c r="B31" s="16"/>
      <c r="C31" s="32" t="s">
        <v>330</v>
      </c>
      <c r="D31" s="16" t="s">
        <v>301</v>
      </c>
      <c r="E31" s="16"/>
      <c r="F31" s="16"/>
      <c r="G31" s="16"/>
      <c r="H31" s="16"/>
      <c r="I31" s="16"/>
      <c r="J31" s="16"/>
      <c r="K31" s="16"/>
      <c r="L31" s="16"/>
    </row>
    <row r="32" spans="1:92" ht="12.75" customHeight="1" x14ac:dyDescent="0.2">
      <c r="A32" s="16"/>
      <c r="B32" s="16"/>
      <c r="C32" s="33"/>
      <c r="D32" s="16"/>
      <c r="E32" s="16"/>
      <c r="F32" s="16"/>
      <c r="G32" s="16"/>
      <c r="H32" s="16"/>
      <c r="I32" s="16"/>
      <c r="J32" s="16"/>
      <c r="K32" s="16"/>
      <c r="L32" s="16"/>
    </row>
    <row r="33" spans="1:12" ht="12.75" customHeight="1" x14ac:dyDescent="0.2">
      <c r="A33" s="16" t="s">
        <v>302</v>
      </c>
      <c r="B33" s="16"/>
      <c r="C33" s="34"/>
      <c r="D33" s="34"/>
      <c r="E33" s="34"/>
      <c r="F33" s="34"/>
      <c r="G33" s="34"/>
      <c r="H33" s="34"/>
      <c r="I33" s="34"/>
      <c r="J33" s="34"/>
      <c r="K33" s="34"/>
      <c r="L33" s="34"/>
    </row>
    <row r="34" spans="1:12" ht="12.75" customHeight="1" x14ac:dyDescent="0.2">
      <c r="A34" s="35"/>
      <c r="B34" s="36"/>
      <c r="C34" s="25" t="s">
        <v>303</v>
      </c>
      <c r="D34" s="25"/>
      <c r="E34" s="25"/>
      <c r="F34" s="25"/>
      <c r="G34" s="25"/>
      <c r="H34" s="25"/>
      <c r="I34" s="25"/>
      <c r="J34" s="25"/>
      <c r="K34" s="25"/>
      <c r="L34" s="25"/>
    </row>
    <row r="35" spans="1:12" ht="14.25" customHeight="1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</row>
    <row r="36" spans="1:12" ht="14.25" customHeight="1" x14ac:dyDescent="0.2">
      <c r="A36" s="37" t="s">
        <v>331</v>
      </c>
      <c r="B36" s="26"/>
      <c r="C36" s="26"/>
      <c r="D36" s="38"/>
      <c r="E36" s="26"/>
      <c r="F36" s="26"/>
      <c r="G36" s="26"/>
      <c r="H36" s="26"/>
      <c r="I36" s="26"/>
      <c r="J36" s="26"/>
      <c r="K36" s="26"/>
      <c r="L36" s="26"/>
    </row>
    <row r="37" spans="1:12" ht="14.25" customHeight="1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</row>
    <row r="38" spans="1:12" ht="14.25" customHeight="1" x14ac:dyDescent="0.2">
      <c r="A38" s="37" t="s">
        <v>304</v>
      </c>
      <c r="B38" s="26"/>
      <c r="C38" s="105">
        <f>C41+C42+C43+C44</f>
        <v>180.01</v>
      </c>
      <c r="D38" s="39"/>
      <c r="E38" s="16" t="s">
        <v>305</v>
      </c>
      <c r="F38" s="21"/>
      <c r="G38" s="21"/>
      <c r="H38" s="21"/>
      <c r="I38" s="21"/>
      <c r="J38" s="21"/>
      <c r="K38" s="21"/>
      <c r="L38" s="26"/>
    </row>
    <row r="39" spans="1:12" ht="14.25" customHeight="1" x14ac:dyDescent="0.2">
      <c r="A39" s="37"/>
      <c r="B39" s="26"/>
      <c r="C39" s="106"/>
      <c r="D39" s="40"/>
      <c r="E39" s="16"/>
      <c r="F39" s="21"/>
      <c r="G39" s="16" t="s">
        <v>306</v>
      </c>
      <c r="H39" s="26"/>
      <c r="I39" s="16"/>
      <c r="J39" s="16"/>
      <c r="K39" s="108">
        <f>ROUND(SUM(AR52:AR178)/1000, 2)</f>
        <v>47.42</v>
      </c>
      <c r="L39" s="16" t="s">
        <v>305</v>
      </c>
    </row>
    <row r="40" spans="1:12" ht="14.25" customHeight="1" x14ac:dyDescent="0.2">
      <c r="A40" s="26"/>
      <c r="B40" s="41" t="s">
        <v>307</v>
      </c>
      <c r="C40" s="107"/>
      <c r="D40" s="26"/>
      <c r="E40" s="16"/>
      <c r="F40" s="21"/>
      <c r="G40" s="16" t="s">
        <v>308</v>
      </c>
      <c r="H40" s="26"/>
      <c r="I40" s="16"/>
      <c r="J40" s="16"/>
      <c r="K40" s="108">
        <f>ROUND(SUM(AT52:AT178)/1000, 2)</f>
        <v>0</v>
      </c>
      <c r="L40" s="16" t="s">
        <v>305</v>
      </c>
    </row>
    <row r="41" spans="1:12" ht="14.25" customHeight="1" x14ac:dyDescent="0.2">
      <c r="A41" s="26"/>
      <c r="B41" s="37" t="s">
        <v>309</v>
      </c>
      <c r="C41" s="105">
        <f>ROUND((Source!F69)/1000, 2)</f>
        <v>0</v>
      </c>
      <c r="D41" s="39"/>
      <c r="E41" s="16" t="s">
        <v>305</v>
      </c>
      <c r="F41" s="21"/>
      <c r="G41" s="16" t="s">
        <v>310</v>
      </c>
      <c r="H41" s="26"/>
      <c r="I41" s="16"/>
      <c r="J41" s="40"/>
      <c r="K41" s="109">
        <f>Source!F74</f>
        <v>67.42</v>
      </c>
      <c r="L41" s="16" t="s">
        <v>216</v>
      </c>
    </row>
    <row r="42" spans="1:12" ht="14.25" customHeight="1" x14ac:dyDescent="0.2">
      <c r="A42" s="26"/>
      <c r="B42" s="37" t="s">
        <v>311</v>
      </c>
      <c r="C42" s="105">
        <f>ROUND((Source!F70)/1000, 2)</f>
        <v>111.91</v>
      </c>
      <c r="D42" s="39"/>
      <c r="E42" s="16" t="s">
        <v>305</v>
      </c>
      <c r="F42" s="21"/>
      <c r="G42" s="16" t="s">
        <v>312</v>
      </c>
      <c r="H42" s="26"/>
      <c r="I42" s="16"/>
      <c r="J42" s="42"/>
      <c r="K42" s="109">
        <f>Source!F75</f>
        <v>0</v>
      </c>
      <c r="L42" s="16" t="s">
        <v>216</v>
      </c>
    </row>
    <row r="43" spans="1:12" ht="14.25" customHeight="1" x14ac:dyDescent="0.2">
      <c r="A43" s="26"/>
      <c r="B43" s="37" t="s">
        <v>313</v>
      </c>
      <c r="C43" s="105">
        <f>ROUND((Source!F61)/1000, 2)</f>
        <v>68.099999999999994</v>
      </c>
      <c r="D43" s="39"/>
      <c r="E43" s="16" t="s">
        <v>305</v>
      </c>
      <c r="F43" s="21"/>
      <c r="G43" s="16"/>
      <c r="H43" s="16"/>
      <c r="I43" s="16"/>
      <c r="J43" s="16"/>
      <c r="K43" s="21"/>
      <c r="L43" s="16"/>
    </row>
    <row r="44" spans="1:12" ht="14.25" customHeight="1" x14ac:dyDescent="0.2">
      <c r="A44" s="26"/>
      <c r="B44" s="37" t="s">
        <v>314</v>
      </c>
      <c r="C44" s="105">
        <f>ROUND((Source!F71)/1000, 2)</f>
        <v>0</v>
      </c>
      <c r="D44" s="39"/>
      <c r="E44" s="16" t="s">
        <v>305</v>
      </c>
      <c r="F44" s="21"/>
      <c r="G44" s="16"/>
      <c r="H44" s="16"/>
      <c r="I44" s="16"/>
      <c r="J44" s="16"/>
      <c r="K44" s="21"/>
      <c r="L44" s="16"/>
    </row>
    <row r="45" spans="1:12" ht="14.25" customHeight="1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</row>
    <row r="46" spans="1:12" ht="12.75" customHeight="1" x14ac:dyDescent="0.2">
      <c r="A46" s="47" t="s">
        <v>315</v>
      </c>
      <c r="B46" s="47" t="s">
        <v>316</v>
      </c>
      <c r="C46" s="47" t="s">
        <v>317</v>
      </c>
      <c r="D46" s="47" t="s">
        <v>318</v>
      </c>
      <c r="E46" s="45" t="s">
        <v>319</v>
      </c>
      <c r="F46" s="44"/>
      <c r="G46" s="51"/>
      <c r="H46" s="45" t="s">
        <v>320</v>
      </c>
      <c r="I46" s="44"/>
      <c r="J46" s="44"/>
      <c r="K46" s="44"/>
      <c r="L46" s="51"/>
    </row>
    <row r="47" spans="1:12" ht="12.75" customHeight="1" x14ac:dyDescent="0.2">
      <c r="A47" s="48"/>
      <c r="B47" s="48"/>
      <c r="C47" s="48"/>
      <c r="D47" s="48"/>
      <c r="E47" s="46"/>
      <c r="F47" s="50"/>
      <c r="G47" s="52"/>
      <c r="H47" s="46"/>
      <c r="I47" s="50"/>
      <c r="J47" s="50"/>
      <c r="K47" s="50"/>
      <c r="L47" s="52"/>
    </row>
    <row r="48" spans="1:12" ht="12.75" customHeight="1" x14ac:dyDescent="0.2">
      <c r="A48" s="48"/>
      <c r="B48" s="48"/>
      <c r="C48" s="48"/>
      <c r="D48" s="48"/>
      <c r="E48" s="46"/>
      <c r="F48" s="50"/>
      <c r="G48" s="52"/>
      <c r="H48" s="46"/>
      <c r="I48" s="50"/>
      <c r="J48" s="50"/>
      <c r="K48" s="50"/>
      <c r="L48" s="52"/>
    </row>
    <row r="49" spans="1:82" ht="12.75" customHeight="1" x14ac:dyDescent="0.2">
      <c r="A49" s="48"/>
      <c r="B49" s="48"/>
      <c r="C49" s="48"/>
      <c r="D49" s="48"/>
      <c r="E49" s="53"/>
      <c r="F49" s="54"/>
      <c r="G49" s="55"/>
      <c r="H49" s="53"/>
      <c r="I49" s="54"/>
      <c r="J49" s="54"/>
      <c r="K49" s="54"/>
      <c r="L49" s="55"/>
    </row>
    <row r="50" spans="1:82" ht="51" customHeight="1" x14ac:dyDescent="0.2">
      <c r="A50" s="49"/>
      <c r="B50" s="49"/>
      <c r="C50" s="49"/>
      <c r="D50" s="49"/>
      <c r="E50" s="56" t="s">
        <v>321</v>
      </c>
      <c r="F50" s="56" t="s">
        <v>322</v>
      </c>
      <c r="G50" s="57" t="s">
        <v>323</v>
      </c>
      <c r="H50" s="56" t="s">
        <v>324</v>
      </c>
      <c r="I50" s="56" t="s">
        <v>325</v>
      </c>
      <c r="J50" s="56" t="s">
        <v>326</v>
      </c>
      <c r="K50" s="56" t="s">
        <v>322</v>
      </c>
      <c r="L50" s="56" t="s">
        <v>327</v>
      </c>
    </row>
    <row r="51" spans="1:82" ht="14.25" customHeight="1" x14ac:dyDescent="0.2">
      <c r="A51" s="58">
        <v>1</v>
      </c>
      <c r="B51" s="58">
        <v>2</v>
      </c>
      <c r="C51" s="58">
        <v>3</v>
      </c>
      <c r="D51" s="58">
        <v>4</v>
      </c>
      <c r="E51" s="58">
        <v>5</v>
      </c>
      <c r="F51" s="58">
        <v>6</v>
      </c>
      <c r="G51" s="58">
        <v>7</v>
      </c>
      <c r="H51" s="58">
        <v>8</v>
      </c>
      <c r="I51" s="58">
        <v>9</v>
      </c>
      <c r="J51" s="58">
        <v>10</v>
      </c>
      <c r="K51" s="60">
        <v>11</v>
      </c>
      <c r="L51" s="60">
        <v>12</v>
      </c>
    </row>
    <row r="52" spans="1:82" ht="28.5" x14ac:dyDescent="0.2">
      <c r="A52" s="65" t="s">
        <v>28</v>
      </c>
      <c r="B52" s="67" t="s">
        <v>332</v>
      </c>
      <c r="C52" s="67" t="str">
        <f>Source!G26</f>
        <v>Ремонт тормозного устройства лифтовой лебедки</v>
      </c>
      <c r="D52" s="68" t="str">
        <f>Source!H26</f>
        <v>ШТ</v>
      </c>
      <c r="E52" s="69">
        <f>Source!K26</f>
        <v>1</v>
      </c>
      <c r="F52" s="69"/>
      <c r="G52" s="69">
        <f>Source!I26</f>
        <v>1</v>
      </c>
      <c r="H52" s="71"/>
      <c r="I52" s="70"/>
      <c r="J52" s="71"/>
      <c r="K52" s="70"/>
      <c r="L52" s="71"/>
    </row>
    <row r="53" spans="1:82" ht="15" x14ac:dyDescent="0.2">
      <c r="A53" s="66"/>
      <c r="B53" s="69">
        <v>1</v>
      </c>
      <c r="C53" s="66" t="s">
        <v>333</v>
      </c>
      <c r="D53" s="68" t="s">
        <v>216</v>
      </c>
      <c r="E53" s="72"/>
      <c r="F53" s="69"/>
      <c r="G53" s="69">
        <f>Source!U26</f>
        <v>33.33</v>
      </c>
      <c r="H53" s="69"/>
      <c r="I53" s="69"/>
      <c r="J53" s="69"/>
      <c r="K53" s="69"/>
      <c r="L53" s="73">
        <f>SUM(L54:L54)-SUMIF(CE54:CE54, 1, L54:L54)</f>
        <v>24730.53</v>
      </c>
    </row>
    <row r="54" spans="1:82" ht="14.25" x14ac:dyDescent="0.2">
      <c r="A54" s="67"/>
      <c r="B54" s="67" t="s">
        <v>217</v>
      </c>
      <c r="C54" s="74" t="s">
        <v>218</v>
      </c>
      <c r="D54" s="75" t="s">
        <v>216</v>
      </c>
      <c r="E54" s="76">
        <v>33.33</v>
      </c>
      <c r="F54" s="76"/>
      <c r="G54" s="76">
        <f>SmtRes!CX3</f>
        <v>33.33</v>
      </c>
      <c r="H54" s="77"/>
      <c r="I54" s="78"/>
      <c r="J54" s="77">
        <f>SmtRes!CZ3</f>
        <v>741.99</v>
      </c>
      <c r="K54" s="78"/>
      <c r="L54" s="77">
        <f>SmtRes!DI3</f>
        <v>24730.53</v>
      </c>
    </row>
    <row r="55" spans="1:82" ht="15" x14ac:dyDescent="0.2">
      <c r="A55" s="67"/>
      <c r="B55" s="67"/>
      <c r="C55" s="81" t="s">
        <v>334</v>
      </c>
      <c r="D55" s="68"/>
      <c r="E55" s="69"/>
      <c r="F55" s="69"/>
      <c r="G55" s="69"/>
      <c r="H55" s="71"/>
      <c r="I55" s="70"/>
      <c r="J55" s="71"/>
      <c r="K55" s="70"/>
      <c r="L55" s="71">
        <f>L53</f>
        <v>24730.53</v>
      </c>
    </row>
    <row r="56" spans="1:82" ht="42.75" x14ac:dyDescent="0.2">
      <c r="A56" s="82" t="s">
        <v>335</v>
      </c>
      <c r="B56" s="83" t="str">
        <f>Source!F27</f>
        <v>КП № 29-05 от 29.05.2026 г.</v>
      </c>
      <c r="C56" s="83" t="s">
        <v>336</v>
      </c>
      <c r="D56" s="84" t="str">
        <f>Source!H27</f>
        <v>КОМПЛЕКТ</v>
      </c>
      <c r="E56" s="85">
        <f>SmtRes!AT5</f>
        <v>1</v>
      </c>
      <c r="F56" s="85"/>
      <c r="G56" s="85">
        <f>Source!I27</f>
        <v>1</v>
      </c>
      <c r="H56" s="87"/>
      <c r="I56" s="86"/>
      <c r="J56" s="87">
        <f>Source!AK27</f>
        <v>18095.240000000002</v>
      </c>
      <c r="K56" s="86"/>
      <c r="L56" s="87">
        <f>Source!P27</f>
        <v>18095.240000000002</v>
      </c>
      <c r="AD56">
        <f>ROUND((Source!AT27/100)*((ROUND(ROUND(Source!AO27,2)*Source!I27, 2)+ROUND(ROUND(Source!AN27,2)*Source!I27, 2))), 2)</f>
        <v>0</v>
      </c>
      <c r="AE56">
        <f>ROUND((Source!AU27/100)*((ROUND(ROUND(Source!AO27,2)*Source!I27, 2)+ROUND(ROUND(Source!AN27,2)*Source!I27, 2))), 2)</f>
        <v>0</v>
      </c>
      <c r="AN56">
        <f>L56</f>
        <v>18095.240000000002</v>
      </c>
      <c r="AW56">
        <f>L56</f>
        <v>18095.240000000002</v>
      </c>
      <c r="AY56">
        <f>L56</f>
        <v>18095.240000000002</v>
      </c>
      <c r="AZ56">
        <f>Source!X27</f>
        <v>0</v>
      </c>
      <c r="BA56">
        <f>Source!Y27</f>
        <v>0</v>
      </c>
      <c r="BK56">
        <f>L56</f>
        <v>18095.240000000002</v>
      </c>
      <c r="CD56">
        <v>3</v>
      </c>
    </row>
    <row r="57" spans="1:82" ht="57" x14ac:dyDescent="0.2">
      <c r="A57" s="65" t="s">
        <v>337</v>
      </c>
      <c r="B57" s="67" t="str">
        <f>Source!F28</f>
        <v>421/пр_2020_п.75_пп.б</v>
      </c>
      <c r="C57" s="67" t="str">
        <f>Source!G28</f>
        <v>Сметная стоимость вспомогательных ненормируемых материальных ресурсов, не учтенная в сметной норме, 3%</v>
      </c>
      <c r="D57" s="68" t="str">
        <f>Source!H28</f>
        <v>%</v>
      </c>
      <c r="E57" s="69">
        <f>SmtRes!AT4</f>
        <v>3</v>
      </c>
      <c r="F57" s="69"/>
      <c r="G57" s="69">
        <f>Source!I28</f>
        <v>3</v>
      </c>
      <c r="H57" s="71"/>
      <c r="I57" s="70"/>
      <c r="J57" s="71"/>
      <c r="K57" s="70"/>
      <c r="L57" s="71">
        <f>Source!P28</f>
        <v>741.92</v>
      </c>
      <c r="AD57">
        <f>ROUND((Source!AT28/100)*((ROUND(0*Source!I28, 2)+ROUND(0*Source!I28, 2))), 2)</f>
        <v>0</v>
      </c>
      <c r="AE57">
        <f>ROUND((Source!AU28/100)*((ROUND(0*Source!I28, 2)+ROUND(0*Source!I28, 2))), 2)</f>
        <v>0</v>
      </c>
      <c r="AN57">
        <f>L57</f>
        <v>741.92</v>
      </c>
      <c r="AW57">
        <f>L57</f>
        <v>741.92</v>
      </c>
      <c r="AZ57">
        <f>Source!X28</f>
        <v>0</v>
      </c>
      <c r="BA57">
        <f>Source!Y28</f>
        <v>0</v>
      </c>
      <c r="CD57">
        <v>2</v>
      </c>
    </row>
    <row r="58" spans="1:82" ht="14.25" x14ac:dyDescent="0.2">
      <c r="A58" s="67"/>
      <c r="B58" s="67"/>
      <c r="C58" s="67" t="s">
        <v>338</v>
      </c>
      <c r="D58" s="68"/>
      <c r="E58" s="69"/>
      <c r="F58" s="69"/>
      <c r="G58" s="69"/>
      <c r="H58" s="71"/>
      <c r="I58" s="70"/>
      <c r="J58" s="71"/>
      <c r="K58" s="70"/>
      <c r="L58" s="71">
        <f>SUM(AR52:AR61)+SUM(AS52:AS61)+SUM(AT52:AT61)+SUM(AU52:AU61)+SUM(AV52:AV61)</f>
        <v>24730.53</v>
      </c>
    </row>
    <row r="59" spans="1:82" ht="28.5" x14ac:dyDescent="0.2">
      <c r="A59" s="67"/>
      <c r="B59" s="67" t="s">
        <v>23</v>
      </c>
      <c r="C59" s="67" t="s">
        <v>339</v>
      </c>
      <c r="D59" s="68" t="s">
        <v>27</v>
      </c>
      <c r="E59" s="69">
        <f>Source!BZ26</f>
        <v>89</v>
      </c>
      <c r="F59" s="69"/>
      <c r="G59" s="69">
        <f>Source!AT26</f>
        <v>89</v>
      </c>
      <c r="H59" s="71"/>
      <c r="I59" s="70"/>
      <c r="J59" s="71"/>
      <c r="K59" s="70"/>
      <c r="L59" s="71">
        <f>SUM(AZ52:AZ61)</f>
        <v>22010.17</v>
      </c>
    </row>
    <row r="60" spans="1:82" ht="28.5" x14ac:dyDescent="0.2">
      <c r="A60" s="74"/>
      <c r="B60" s="74" t="s">
        <v>24</v>
      </c>
      <c r="C60" s="74" t="s">
        <v>340</v>
      </c>
      <c r="D60" s="75" t="s">
        <v>27</v>
      </c>
      <c r="E60" s="76">
        <f>Source!CA26</f>
        <v>44</v>
      </c>
      <c r="F60" s="76"/>
      <c r="G60" s="76">
        <f>Source!AU26</f>
        <v>44</v>
      </c>
      <c r="H60" s="77"/>
      <c r="I60" s="78"/>
      <c r="J60" s="77"/>
      <c r="K60" s="78"/>
      <c r="L60" s="77">
        <f>SUM(BA52:BA61)</f>
        <v>10881.43</v>
      </c>
    </row>
    <row r="61" spans="1:82" ht="15" x14ac:dyDescent="0.2">
      <c r="C61" s="89" t="s">
        <v>341</v>
      </c>
      <c r="D61" s="89"/>
      <c r="E61" s="89"/>
      <c r="F61" s="89"/>
      <c r="G61" s="89"/>
      <c r="H61" s="89"/>
      <c r="I61" s="90">
        <f>IF(E52&lt;&gt;0,K61/E52, 0)</f>
        <v>76459.289999999994</v>
      </c>
      <c r="J61" s="90"/>
      <c r="K61" s="90">
        <f>L53+L59+L60+SUM(L56:L57)</f>
        <v>76459.289999999994</v>
      </c>
      <c r="L61" s="90"/>
      <c r="AD61">
        <f>ROUND((Source!AT26/100)*((ROUND(SUMIF(SmtRes!AQ3:'SmtRes'!AQ5,"=1",SmtRes!AD3:'SmtRes'!AD5)*Source!I26, 2)+ROUND(SUMIF(SmtRes!AQ3:'SmtRes'!AQ5,"=1",SmtRes!AC3:'SmtRes'!AC5)*Source!I26, 2))), 2)</f>
        <v>660.37</v>
      </c>
      <c r="AE61">
        <f>ROUND((Source!AU26/100)*((ROUND(SUMIF(SmtRes!AQ3:'SmtRes'!AQ5,"=1",SmtRes!AD3:'SmtRes'!AD5)*Source!I26, 2)+ROUND(SUMIF(SmtRes!AQ3:'SmtRes'!AQ5,"=1",SmtRes!AC3:'SmtRes'!AC5)*Source!I26, 2))), 2)</f>
        <v>326.48</v>
      </c>
      <c r="AN61" s="79">
        <f>L53+L59+L60</f>
        <v>57622.13</v>
      </c>
      <c r="AO61">
        <f>0</f>
        <v>0</v>
      </c>
      <c r="AQ61" t="s">
        <v>342</v>
      </c>
      <c r="AR61" s="79">
        <f>L53</f>
        <v>24730.53</v>
      </c>
      <c r="AT61">
        <f>0</f>
        <v>0</v>
      </c>
      <c r="AV61" t="s">
        <v>342</v>
      </c>
      <c r="AW61">
        <f>0</f>
        <v>0</v>
      </c>
      <c r="AZ61">
        <f>Source!X26</f>
        <v>22010.17</v>
      </c>
      <c r="BA61">
        <f>Source!Y26</f>
        <v>10881.43</v>
      </c>
      <c r="CD61">
        <v>2</v>
      </c>
    </row>
    <row r="62" spans="1:82" ht="57" x14ac:dyDescent="0.2">
      <c r="A62" s="65" t="s">
        <v>65</v>
      </c>
      <c r="B62" s="67" t="s">
        <v>343</v>
      </c>
      <c r="C62" s="67" t="str">
        <f>Source!G43</f>
        <v>Замена контактора или магнитного пускателя станции (шкафа) управления, количество лифтов в подъезде: 2, одиночная работа</v>
      </c>
      <c r="D62" s="68" t="str">
        <f>Source!H43</f>
        <v>ШТ</v>
      </c>
      <c r="E62" s="69">
        <f>Source!K43</f>
        <v>7</v>
      </c>
      <c r="F62" s="69"/>
      <c r="G62" s="69">
        <f>Source!I43</f>
        <v>7</v>
      </c>
      <c r="H62" s="71"/>
      <c r="I62" s="70"/>
      <c r="J62" s="71"/>
      <c r="K62" s="70"/>
      <c r="L62" s="71"/>
    </row>
    <row r="63" spans="1:82" ht="15" x14ac:dyDescent="0.2">
      <c r="A63" s="66"/>
      <c r="B63" s="69">
        <v>1</v>
      </c>
      <c r="C63" s="66" t="s">
        <v>333</v>
      </c>
      <c r="D63" s="68" t="s">
        <v>216</v>
      </c>
      <c r="E63" s="72"/>
      <c r="F63" s="69"/>
      <c r="G63" s="69">
        <f>Source!U43</f>
        <v>34.090000000000003</v>
      </c>
      <c r="H63" s="69"/>
      <c r="I63" s="69"/>
      <c r="J63" s="69"/>
      <c r="K63" s="69"/>
      <c r="L63" s="73">
        <f>SUM(L64:L64)-SUMIF(CE64:CE64, 1, L64:L64)</f>
        <v>22690.639999999999</v>
      </c>
    </row>
    <row r="64" spans="1:82" ht="14.25" x14ac:dyDescent="0.2">
      <c r="A64" s="67"/>
      <c r="B64" s="67" t="s">
        <v>284</v>
      </c>
      <c r="C64" s="74" t="s">
        <v>285</v>
      </c>
      <c r="D64" s="75" t="s">
        <v>216</v>
      </c>
      <c r="E64" s="76">
        <v>4.87</v>
      </c>
      <c r="F64" s="76"/>
      <c r="G64" s="76">
        <f>SmtRes!CX37</f>
        <v>34.090000000000003</v>
      </c>
      <c r="H64" s="77"/>
      <c r="I64" s="78"/>
      <c r="J64" s="77">
        <f>SmtRes!CZ37</f>
        <v>665.61</v>
      </c>
      <c r="K64" s="78"/>
      <c r="L64" s="77">
        <f>SmtRes!DI37</f>
        <v>22690.639999999999</v>
      </c>
    </row>
    <row r="65" spans="1:82" ht="15" x14ac:dyDescent="0.2">
      <c r="A65" s="67"/>
      <c r="B65" s="67"/>
      <c r="C65" s="81" t="s">
        <v>334</v>
      </c>
      <c r="D65" s="68"/>
      <c r="E65" s="69"/>
      <c r="F65" s="69"/>
      <c r="G65" s="69"/>
      <c r="H65" s="71"/>
      <c r="I65" s="70"/>
      <c r="J65" s="71"/>
      <c r="K65" s="70"/>
      <c r="L65" s="71">
        <f>L63</f>
        <v>22690.639999999999</v>
      </c>
    </row>
    <row r="66" spans="1:82" ht="57" x14ac:dyDescent="0.2">
      <c r="A66" s="65" t="s">
        <v>344</v>
      </c>
      <c r="B66" s="67" t="str">
        <f>Source!F44</f>
        <v>421/пр_2020_п.75_пп.б</v>
      </c>
      <c r="C66" s="67" t="str">
        <f>Source!G44</f>
        <v>Сметная стоимость вспомогательных ненормируемых материальных ресурсов, не учтенная в сметной норме, 3%</v>
      </c>
      <c r="D66" s="68" t="str">
        <f>Source!H44</f>
        <v>%</v>
      </c>
      <c r="E66" s="69">
        <f>SmtRes!AT38</f>
        <v>3</v>
      </c>
      <c r="F66" s="69"/>
      <c r="G66" s="69">
        <f>Source!I44</f>
        <v>3</v>
      </c>
      <c r="H66" s="71"/>
      <c r="I66" s="70"/>
      <c r="J66" s="71"/>
      <c r="K66" s="70"/>
      <c r="L66" s="71">
        <f>Source!P44</f>
        <v>680.72</v>
      </c>
      <c r="AD66">
        <f>ROUND((Source!AT44/100)*((ROUND(0*Source!I44, 2)+ROUND(0*Source!I44, 2))), 2)</f>
        <v>0</v>
      </c>
      <c r="AE66">
        <f>ROUND((Source!AU44/100)*((ROUND(0*Source!I44, 2)+ROUND(0*Source!I44, 2))), 2)</f>
        <v>0</v>
      </c>
      <c r="AN66">
        <f>L66</f>
        <v>680.72</v>
      </c>
      <c r="AW66">
        <f>L66</f>
        <v>680.72</v>
      </c>
      <c r="AZ66">
        <f>Source!X44</f>
        <v>0</v>
      </c>
      <c r="BA66">
        <f>Source!Y44</f>
        <v>0</v>
      </c>
      <c r="CD66">
        <v>2</v>
      </c>
    </row>
    <row r="67" spans="1:82" ht="42.75" x14ac:dyDescent="0.2">
      <c r="A67" s="82" t="s">
        <v>345</v>
      </c>
      <c r="B67" s="83" t="str">
        <f>Source!F45</f>
        <v>КП № 29-05 от 29.05.2026 г.</v>
      </c>
      <c r="C67" s="83" t="s">
        <v>346</v>
      </c>
      <c r="D67" s="84" t="str">
        <f>Source!H45</f>
        <v>ШТ</v>
      </c>
      <c r="E67" s="85">
        <f>SmtRes!AT39</f>
        <v>1</v>
      </c>
      <c r="F67" s="85"/>
      <c r="G67" s="85">
        <f>Source!I45</f>
        <v>7</v>
      </c>
      <c r="H67" s="87"/>
      <c r="I67" s="86"/>
      <c r="J67" s="87">
        <f>Source!AK45</f>
        <v>6190.48</v>
      </c>
      <c r="K67" s="86"/>
      <c r="L67" s="87">
        <f>Source!P45</f>
        <v>43333.36</v>
      </c>
      <c r="AD67">
        <f>ROUND((Source!AT45/100)*((ROUND(ROUND(Source!AO45,2)*Source!I45, 2)+ROUND(ROUND(Source!AN45,2)*Source!I45, 2))), 2)</f>
        <v>0</v>
      </c>
      <c r="AE67">
        <f>ROUND((Source!AU45/100)*((ROUND(ROUND(Source!AO45,2)*Source!I45, 2)+ROUND(ROUND(Source!AN45,2)*Source!I45, 2))), 2)</f>
        <v>0</v>
      </c>
      <c r="AN67">
        <f>L67</f>
        <v>43333.36</v>
      </c>
      <c r="AW67">
        <f>L67</f>
        <v>43333.36</v>
      </c>
      <c r="AY67">
        <f>L67</f>
        <v>43333.36</v>
      </c>
      <c r="AZ67">
        <f>Source!X45</f>
        <v>0</v>
      </c>
      <c r="BA67">
        <f>Source!Y45</f>
        <v>0</v>
      </c>
      <c r="BK67">
        <f>L67</f>
        <v>43333.36</v>
      </c>
      <c r="CD67">
        <v>3</v>
      </c>
    </row>
    <row r="68" spans="1:82" ht="42.75" x14ac:dyDescent="0.2">
      <c r="A68" s="82" t="s">
        <v>347</v>
      </c>
      <c r="B68" s="83" t="str">
        <f>Source!F46</f>
        <v>КП № 29-05 от 29.05.2026 г.</v>
      </c>
      <c r="C68" s="83" t="s">
        <v>348</v>
      </c>
      <c r="D68" s="84" t="str">
        <f>Source!H46</f>
        <v>ШТ</v>
      </c>
      <c r="E68" s="85">
        <f>SmtRes!AT40</f>
        <v>1</v>
      </c>
      <c r="F68" s="85"/>
      <c r="G68" s="85">
        <f>Source!I46</f>
        <v>7</v>
      </c>
      <c r="H68" s="87"/>
      <c r="I68" s="86"/>
      <c r="J68" s="87">
        <f>Source!AK46</f>
        <v>952.38</v>
      </c>
      <c r="K68" s="86"/>
      <c r="L68" s="87">
        <f>Source!P46</f>
        <v>6666.66</v>
      </c>
      <c r="AD68">
        <f>ROUND((Source!AT46/100)*((ROUND(ROUND(Source!AO46,2)*Source!I46, 2)+ROUND(ROUND(Source!AN46,2)*Source!I46, 2))), 2)</f>
        <v>0</v>
      </c>
      <c r="AE68">
        <f>ROUND((Source!AU46/100)*((ROUND(ROUND(Source!AO46,2)*Source!I46, 2)+ROUND(ROUND(Source!AN46,2)*Source!I46, 2))), 2)</f>
        <v>0</v>
      </c>
      <c r="AN68">
        <f>L68</f>
        <v>6666.66</v>
      </c>
      <c r="AW68">
        <f>L68</f>
        <v>6666.66</v>
      </c>
      <c r="AY68">
        <f>L68</f>
        <v>6666.66</v>
      </c>
      <c r="AZ68">
        <f>Source!X46</f>
        <v>0</v>
      </c>
      <c r="BA68">
        <f>Source!Y46</f>
        <v>0</v>
      </c>
      <c r="BK68">
        <f>L68</f>
        <v>6666.66</v>
      </c>
      <c r="CD68">
        <v>3</v>
      </c>
    </row>
    <row r="69" spans="1:82" ht="14.25" x14ac:dyDescent="0.2">
      <c r="A69" s="67"/>
      <c r="B69" s="67"/>
      <c r="C69" s="67" t="s">
        <v>338</v>
      </c>
      <c r="D69" s="68"/>
      <c r="E69" s="69"/>
      <c r="F69" s="69"/>
      <c r="G69" s="69"/>
      <c r="H69" s="71"/>
      <c r="I69" s="70"/>
      <c r="J69" s="71"/>
      <c r="K69" s="70"/>
      <c r="L69" s="71">
        <f>SUM(AR62:AR72)+SUM(AS62:AS72)+SUM(AT62:AT72)+SUM(AU62:AU72)+SUM(AV62:AV72)</f>
        <v>22690.639999999999</v>
      </c>
    </row>
    <row r="70" spans="1:82" ht="28.5" x14ac:dyDescent="0.2">
      <c r="A70" s="67"/>
      <c r="B70" s="67" t="s">
        <v>23</v>
      </c>
      <c r="C70" s="67" t="s">
        <v>339</v>
      </c>
      <c r="D70" s="68" t="s">
        <v>27</v>
      </c>
      <c r="E70" s="69">
        <f>Source!BZ43</f>
        <v>89</v>
      </c>
      <c r="F70" s="69"/>
      <c r="G70" s="69">
        <f>Source!AT43</f>
        <v>89</v>
      </c>
      <c r="H70" s="71"/>
      <c r="I70" s="70"/>
      <c r="J70" s="71"/>
      <c r="K70" s="70"/>
      <c r="L70" s="71">
        <f>SUM(AZ62:AZ72)</f>
        <v>20194.669999999998</v>
      </c>
    </row>
    <row r="71" spans="1:82" ht="28.5" x14ac:dyDescent="0.2">
      <c r="A71" s="74"/>
      <c r="B71" s="74" t="s">
        <v>24</v>
      </c>
      <c r="C71" s="74" t="s">
        <v>340</v>
      </c>
      <c r="D71" s="75" t="s">
        <v>27</v>
      </c>
      <c r="E71" s="76">
        <f>Source!CA43</f>
        <v>44</v>
      </c>
      <c r="F71" s="76"/>
      <c r="G71" s="76">
        <f>Source!AU43</f>
        <v>44</v>
      </c>
      <c r="H71" s="77"/>
      <c r="I71" s="78"/>
      <c r="J71" s="77"/>
      <c r="K71" s="78"/>
      <c r="L71" s="77">
        <f>SUM(BA62:BA72)</f>
        <v>9983.8799999999992</v>
      </c>
    </row>
    <row r="72" spans="1:82" ht="15" x14ac:dyDescent="0.2">
      <c r="C72" s="89" t="s">
        <v>341</v>
      </c>
      <c r="D72" s="89"/>
      <c r="E72" s="89"/>
      <c r="F72" s="89"/>
      <c r="G72" s="89"/>
      <c r="H72" s="89"/>
      <c r="I72" s="90">
        <f>IF(E62&lt;&gt;0,K72/E62, 0)</f>
        <v>14792.847142857141</v>
      </c>
      <c r="J72" s="90"/>
      <c r="K72" s="90">
        <f>L63+L70+L71+SUM(L66:L68)</f>
        <v>103549.93</v>
      </c>
      <c r="L72" s="90"/>
      <c r="AD72">
        <f>ROUND((Source!AT43/100)*((ROUND(SUMIF(SmtRes!AQ37:'SmtRes'!AQ40,"=1",SmtRes!AD37:'SmtRes'!AD40)*Source!I43, 2)+ROUND(SUMIF(SmtRes!AQ37:'SmtRes'!AQ40,"=1",SmtRes!AC37:'SmtRes'!AC40)*Source!I43, 2))), 2)</f>
        <v>4146.75</v>
      </c>
      <c r="AE72">
        <f>ROUND((Source!AU43/100)*((ROUND(SUMIF(SmtRes!AQ37:'SmtRes'!AQ40,"=1",SmtRes!AD37:'SmtRes'!AD40)*Source!I43, 2)+ROUND(SUMIF(SmtRes!AQ37:'SmtRes'!AQ40,"=1",SmtRes!AC37:'SmtRes'!AC40)*Source!I43, 2))), 2)</f>
        <v>2050.08</v>
      </c>
      <c r="AN72" s="79">
        <f>L63+L70+L71</f>
        <v>52869.189999999995</v>
      </c>
      <c r="AO72">
        <f>0</f>
        <v>0</v>
      </c>
      <c r="AQ72" t="s">
        <v>342</v>
      </c>
      <c r="AR72" s="79">
        <f>L63</f>
        <v>22690.639999999999</v>
      </c>
      <c r="AT72">
        <f>0</f>
        <v>0</v>
      </c>
      <c r="AV72" t="s">
        <v>342</v>
      </c>
      <c r="AW72">
        <f>0</f>
        <v>0</v>
      </c>
      <c r="AZ72">
        <f>Source!X43</f>
        <v>20194.669999999998</v>
      </c>
      <c r="BA72">
        <f>Source!Y43</f>
        <v>9983.8799999999992</v>
      </c>
      <c r="CD72">
        <v>2</v>
      </c>
    </row>
    <row r="74" spans="1:82" ht="15" x14ac:dyDescent="0.2">
      <c r="A74" s="97"/>
      <c r="B74" s="98"/>
      <c r="C74" s="99" t="s">
        <v>349</v>
      </c>
      <c r="D74" s="99"/>
      <c r="E74" s="99"/>
      <c r="F74" s="99"/>
      <c r="G74" s="99"/>
      <c r="H74" s="99"/>
      <c r="I74" s="100"/>
      <c r="J74" s="97"/>
      <c r="K74" s="101"/>
      <c r="L74" s="100"/>
    </row>
    <row r="76" spans="1:82" ht="15" hidden="1" x14ac:dyDescent="0.2">
      <c r="A76" s="93"/>
      <c r="B76" s="94"/>
      <c r="C76" s="95" t="s">
        <v>350</v>
      </c>
      <c r="D76" s="95"/>
      <c r="E76" s="95"/>
      <c r="F76" s="95"/>
      <c r="G76" s="95"/>
      <c r="H76" s="95"/>
      <c r="I76" s="73"/>
      <c r="J76" s="93"/>
      <c r="K76" s="96"/>
      <c r="L76" s="73">
        <f>L78+L93+L94</f>
        <v>0</v>
      </c>
    </row>
    <row r="77" spans="1:82" ht="14.25" hidden="1" x14ac:dyDescent="0.2">
      <c r="A77" s="88"/>
      <c r="B77" s="91"/>
      <c r="C77" s="102" t="s">
        <v>351</v>
      </c>
      <c r="D77" s="92"/>
      <c r="E77" s="92"/>
      <c r="F77" s="92"/>
      <c r="G77" s="92"/>
      <c r="H77" s="92"/>
      <c r="I77" s="71"/>
      <c r="J77" s="88"/>
      <c r="K77" s="69"/>
      <c r="L77" s="71"/>
    </row>
    <row r="78" spans="1:82" ht="14.25" hidden="1" x14ac:dyDescent="0.2">
      <c r="A78" s="88"/>
      <c r="B78" s="91"/>
      <c r="C78" s="92" t="s">
        <v>352</v>
      </c>
      <c r="D78" s="92"/>
      <c r="E78" s="92"/>
      <c r="F78" s="92"/>
      <c r="G78" s="92"/>
      <c r="H78" s="92"/>
      <c r="I78" s="71"/>
      <c r="J78" s="88"/>
      <c r="K78" s="69"/>
      <c r="L78" s="71">
        <f>L80+L81+L87+L91</f>
        <v>0</v>
      </c>
    </row>
    <row r="79" spans="1:82" ht="14.25" hidden="1" x14ac:dyDescent="0.2">
      <c r="A79" s="88"/>
      <c r="B79" s="91"/>
      <c r="C79" s="102" t="s">
        <v>351</v>
      </c>
      <c r="D79" s="92"/>
      <c r="E79" s="92"/>
      <c r="F79" s="92"/>
      <c r="G79" s="92"/>
      <c r="H79" s="92"/>
      <c r="I79" s="71"/>
      <c r="J79" s="88"/>
      <c r="K79" s="69"/>
      <c r="L79" s="71"/>
    </row>
    <row r="80" spans="1:82" ht="14.25" hidden="1" x14ac:dyDescent="0.2">
      <c r="A80" s="88"/>
      <c r="B80" s="91"/>
      <c r="C80" s="92" t="s">
        <v>353</v>
      </c>
      <c r="D80" s="92"/>
      <c r="E80" s="92"/>
      <c r="F80" s="92"/>
      <c r="G80" s="92"/>
      <c r="H80" s="92"/>
      <c r="I80" s="71"/>
      <c r="J80" s="88"/>
      <c r="K80" s="69"/>
      <c r="L80" s="71">
        <f>SUMIF(CD52:CD72, 1, AR52:AR72)</f>
        <v>0</v>
      </c>
    </row>
    <row r="81" spans="1:12" ht="14.25" hidden="1" x14ac:dyDescent="0.2">
      <c r="A81" s="88"/>
      <c r="B81" s="91"/>
      <c r="C81" s="92" t="s">
        <v>354</v>
      </c>
      <c r="D81" s="92"/>
      <c r="E81" s="92"/>
      <c r="F81" s="92"/>
      <c r="G81" s="92"/>
      <c r="H81" s="92"/>
      <c r="I81" s="71"/>
      <c r="J81" s="88"/>
      <c r="K81" s="69"/>
      <c r="L81" s="71">
        <f>L83+L86+L85</f>
        <v>0</v>
      </c>
    </row>
    <row r="82" spans="1:12" ht="14.25" hidden="1" x14ac:dyDescent="0.2">
      <c r="A82" s="88"/>
      <c r="B82" s="91"/>
      <c r="C82" s="102" t="s">
        <v>355</v>
      </c>
      <c r="D82" s="92"/>
      <c r="E82" s="92"/>
      <c r="F82" s="92"/>
      <c r="G82" s="92"/>
      <c r="H82" s="92"/>
      <c r="I82" s="71"/>
      <c r="J82" s="88"/>
      <c r="K82" s="69"/>
      <c r="L82" s="71"/>
    </row>
    <row r="83" spans="1:12" ht="14.25" hidden="1" x14ac:dyDescent="0.2">
      <c r="A83" s="88"/>
      <c r="B83" s="91"/>
      <c r="C83" s="92" t="s">
        <v>354</v>
      </c>
      <c r="D83" s="92"/>
      <c r="E83" s="92"/>
      <c r="F83" s="92"/>
      <c r="G83" s="92"/>
      <c r="H83" s="92"/>
      <c r="I83" s="71"/>
      <c r="J83" s="88"/>
      <c r="K83" s="69"/>
      <c r="L83" s="71">
        <f>SUMIF(CD52:CD72, 1, AO52:AO72)</f>
        <v>0</v>
      </c>
    </row>
    <row r="84" spans="1:12" ht="14.25" hidden="1" x14ac:dyDescent="0.2">
      <c r="A84" s="88"/>
      <c r="B84" s="91"/>
      <c r="C84" s="102" t="s">
        <v>356</v>
      </c>
      <c r="D84" s="92"/>
      <c r="E84" s="92"/>
      <c r="F84" s="92"/>
      <c r="G84" s="92"/>
      <c r="H84" s="92"/>
      <c r="I84" s="71"/>
      <c r="J84" s="88"/>
      <c r="K84" s="69"/>
      <c r="L84" s="71"/>
    </row>
    <row r="85" spans="1:12" ht="14.25" hidden="1" x14ac:dyDescent="0.2">
      <c r="A85" s="88"/>
      <c r="B85" s="91"/>
      <c r="C85" s="92" t="s">
        <v>365</v>
      </c>
      <c r="D85" s="92"/>
      <c r="E85" s="92"/>
      <c r="F85" s="92"/>
      <c r="G85" s="92"/>
      <c r="H85" s="92"/>
      <c r="I85" s="71"/>
      <c r="J85" s="88"/>
      <c r="K85" s="69"/>
      <c r="L85" s="71">
        <f>SUMIF(CD52:CD72, 1, AT52:AT72)</f>
        <v>0</v>
      </c>
    </row>
    <row r="86" spans="1:12" ht="14.25" hidden="1" x14ac:dyDescent="0.2">
      <c r="A86" s="88"/>
      <c r="B86" s="91"/>
      <c r="C86" s="92" t="s">
        <v>357</v>
      </c>
      <c r="D86" s="92"/>
      <c r="E86" s="92"/>
      <c r="F86" s="92"/>
      <c r="G86" s="92"/>
      <c r="H86" s="92"/>
      <c r="I86" s="71"/>
      <c r="J86" s="88"/>
      <c r="K86" s="69"/>
      <c r="L86" s="71">
        <f>SUMIF(CD52:CD72, 1, AV52:AV72)</f>
        <v>0</v>
      </c>
    </row>
    <row r="87" spans="1:12" ht="14.25" hidden="1" x14ac:dyDescent="0.2">
      <c r="A87" s="88"/>
      <c r="B87" s="91"/>
      <c r="C87" s="92" t="s">
        <v>358</v>
      </c>
      <c r="D87" s="92"/>
      <c r="E87" s="92"/>
      <c r="F87" s="92"/>
      <c r="G87" s="92"/>
      <c r="H87" s="92"/>
      <c r="I87" s="71"/>
      <c r="J87" s="88"/>
      <c r="K87" s="69"/>
      <c r="L87" s="71">
        <f>L89+L90</f>
        <v>0</v>
      </c>
    </row>
    <row r="88" spans="1:12" ht="14.25" hidden="1" x14ac:dyDescent="0.2">
      <c r="A88" s="88"/>
      <c r="B88" s="91"/>
      <c r="C88" s="102" t="s">
        <v>355</v>
      </c>
      <c r="D88" s="92"/>
      <c r="E88" s="92"/>
      <c r="F88" s="92"/>
      <c r="G88" s="92"/>
      <c r="H88" s="92"/>
      <c r="I88" s="71"/>
      <c r="J88" s="88"/>
      <c r="K88" s="69"/>
      <c r="L88" s="71"/>
    </row>
    <row r="89" spans="1:12" ht="14.25" hidden="1" x14ac:dyDescent="0.2">
      <c r="A89" s="88"/>
      <c r="B89" s="91"/>
      <c r="C89" s="92" t="s">
        <v>359</v>
      </c>
      <c r="D89" s="92"/>
      <c r="E89" s="92"/>
      <c r="F89" s="92"/>
      <c r="G89" s="92"/>
      <c r="H89" s="92"/>
      <c r="I89" s="71"/>
      <c r="J89" s="88"/>
      <c r="K89" s="69"/>
      <c r="L89" s="71">
        <f>SUMIF(CD52:CD72, 1, AW52:AW72)-SUMIF(CD52:CD72, 1, BK52:BK72)</f>
        <v>0</v>
      </c>
    </row>
    <row r="90" spans="1:12" ht="14.25" hidden="1" x14ac:dyDescent="0.2">
      <c r="A90" s="88"/>
      <c r="B90" s="91"/>
      <c r="C90" s="92" t="s">
        <v>360</v>
      </c>
      <c r="D90" s="92"/>
      <c r="E90" s="92"/>
      <c r="F90" s="92"/>
      <c r="G90" s="92"/>
      <c r="H90" s="92"/>
      <c r="I90" s="71"/>
      <c r="J90" s="88"/>
      <c r="K90" s="69"/>
      <c r="L90" s="71">
        <f>SUMIF(CD52:CD72, 1, BC52:BC72)</f>
        <v>0</v>
      </c>
    </row>
    <row r="91" spans="1:12" ht="14.25" hidden="1" x14ac:dyDescent="0.2">
      <c r="A91" s="88"/>
      <c r="B91" s="91"/>
      <c r="C91" s="92" t="s">
        <v>361</v>
      </c>
      <c r="D91" s="92"/>
      <c r="E91" s="92"/>
      <c r="F91" s="92"/>
      <c r="G91" s="92"/>
      <c r="H91" s="92"/>
      <c r="I91" s="71"/>
      <c r="J91" s="88"/>
      <c r="K91" s="69"/>
      <c r="L91" s="71">
        <f>SUMIF(CD52:CD72, 1, BB52:BB72)</f>
        <v>0</v>
      </c>
    </row>
    <row r="92" spans="1:12" ht="14.25" hidden="1" x14ac:dyDescent="0.2">
      <c r="A92" s="88"/>
      <c r="B92" s="91"/>
      <c r="C92" s="92" t="s">
        <v>362</v>
      </c>
      <c r="D92" s="92"/>
      <c r="E92" s="92"/>
      <c r="F92" s="92"/>
      <c r="G92" s="92"/>
      <c r="H92" s="92"/>
      <c r="I92" s="71"/>
      <c r="J92" s="88"/>
      <c r="K92" s="69"/>
      <c r="L92" s="71">
        <f>SUMIF(CD52:CD72, 1, AR52:AR72)+SUMIF(CD52:CD72, 1, AT52:AT72)+SUMIF(CD52:CD72, 1, AV52:AV72)</f>
        <v>0</v>
      </c>
    </row>
    <row r="93" spans="1:12" ht="14.25" hidden="1" x14ac:dyDescent="0.2">
      <c r="A93" s="88"/>
      <c r="B93" s="91"/>
      <c r="C93" s="92" t="s">
        <v>363</v>
      </c>
      <c r="D93" s="92"/>
      <c r="E93" s="92"/>
      <c r="F93" s="92"/>
      <c r="G93" s="92"/>
      <c r="H93" s="92"/>
      <c r="I93" s="71"/>
      <c r="J93" s="88"/>
      <c r="K93" s="69"/>
      <c r="L93" s="71">
        <f>SUMIF(CD52:CD72, 1, AZ52:AZ72)</f>
        <v>0</v>
      </c>
    </row>
    <row r="94" spans="1:12" ht="14.25" hidden="1" x14ac:dyDescent="0.2">
      <c r="A94" s="88"/>
      <c r="B94" s="91"/>
      <c r="C94" s="92" t="s">
        <v>364</v>
      </c>
      <c r="D94" s="92"/>
      <c r="E94" s="92"/>
      <c r="F94" s="92"/>
      <c r="G94" s="92"/>
      <c r="H94" s="92"/>
      <c r="I94" s="71"/>
      <c r="J94" s="88"/>
      <c r="K94" s="69"/>
      <c r="L94" s="71">
        <f>SUMIF(CD52:CD72, 1, BA52:BA72)</f>
        <v>0</v>
      </c>
    </row>
    <row r="96" spans="1:12" ht="15" x14ac:dyDescent="0.2">
      <c r="A96" s="93"/>
      <c r="B96" s="94"/>
      <c r="C96" s="95" t="s">
        <v>366</v>
      </c>
      <c r="D96" s="95"/>
      <c r="E96" s="95"/>
      <c r="F96" s="95"/>
      <c r="G96" s="95"/>
      <c r="H96" s="95"/>
      <c r="I96" s="73"/>
      <c r="J96" s="93"/>
      <c r="K96" s="96"/>
      <c r="L96" s="73">
        <f>L98+L113+L114</f>
        <v>111913.95999999999</v>
      </c>
    </row>
    <row r="97" spans="1:12" ht="14.25" x14ac:dyDescent="0.2">
      <c r="A97" s="88"/>
      <c r="B97" s="91"/>
      <c r="C97" s="102" t="s">
        <v>351</v>
      </c>
      <c r="D97" s="92"/>
      <c r="E97" s="92"/>
      <c r="F97" s="92"/>
      <c r="G97" s="92"/>
      <c r="H97" s="92"/>
      <c r="I97" s="71"/>
      <c r="J97" s="88"/>
      <c r="K97" s="69"/>
      <c r="L97" s="71"/>
    </row>
    <row r="98" spans="1:12" ht="14.25" x14ac:dyDescent="0.2">
      <c r="A98" s="88"/>
      <c r="B98" s="91"/>
      <c r="C98" s="92" t="s">
        <v>352</v>
      </c>
      <c r="D98" s="92"/>
      <c r="E98" s="92"/>
      <c r="F98" s="92"/>
      <c r="G98" s="92"/>
      <c r="H98" s="92"/>
      <c r="I98" s="71"/>
      <c r="J98" s="88"/>
      <c r="K98" s="69"/>
      <c r="L98" s="71">
        <f>L100+L101+L107+L111</f>
        <v>48843.81</v>
      </c>
    </row>
    <row r="99" spans="1:12" ht="14.25" x14ac:dyDescent="0.2">
      <c r="A99" s="88"/>
      <c r="B99" s="91"/>
      <c r="C99" s="102" t="s">
        <v>351</v>
      </c>
      <c r="D99" s="92"/>
      <c r="E99" s="92"/>
      <c r="F99" s="92"/>
      <c r="G99" s="92"/>
      <c r="H99" s="92"/>
      <c r="I99" s="71"/>
      <c r="J99" s="88"/>
      <c r="K99" s="69"/>
      <c r="L99" s="71"/>
    </row>
    <row r="100" spans="1:12" ht="14.25" x14ac:dyDescent="0.2">
      <c r="A100" s="88"/>
      <c r="B100" s="91"/>
      <c r="C100" s="92" t="s">
        <v>353</v>
      </c>
      <c r="D100" s="92"/>
      <c r="E100" s="92"/>
      <c r="F100" s="92"/>
      <c r="G100" s="92"/>
      <c r="H100" s="92"/>
      <c r="I100" s="71"/>
      <c r="J100" s="88"/>
      <c r="K100" s="69"/>
      <c r="L100" s="71">
        <f>SUMIF(CD52:CD94, 2, AR52:AR94)</f>
        <v>47421.17</v>
      </c>
    </row>
    <row r="101" spans="1:12" ht="14.25" hidden="1" x14ac:dyDescent="0.2">
      <c r="A101" s="88"/>
      <c r="B101" s="91"/>
      <c r="C101" s="92" t="s">
        <v>354</v>
      </c>
      <c r="D101" s="92"/>
      <c r="E101" s="92"/>
      <c r="F101" s="92"/>
      <c r="G101" s="92"/>
      <c r="H101" s="92"/>
      <c r="I101" s="71"/>
      <c r="J101" s="88"/>
      <c r="K101" s="69"/>
      <c r="L101" s="71">
        <f>L103+L106+L105</f>
        <v>0</v>
      </c>
    </row>
    <row r="102" spans="1:12" ht="14.25" hidden="1" x14ac:dyDescent="0.2">
      <c r="A102" s="88"/>
      <c r="B102" s="91"/>
      <c r="C102" s="102" t="s">
        <v>355</v>
      </c>
      <c r="D102" s="92"/>
      <c r="E102" s="92"/>
      <c r="F102" s="92"/>
      <c r="G102" s="92"/>
      <c r="H102" s="92"/>
      <c r="I102" s="71"/>
      <c r="J102" s="88"/>
      <c r="K102" s="69"/>
      <c r="L102" s="71"/>
    </row>
    <row r="103" spans="1:12" ht="14.25" hidden="1" x14ac:dyDescent="0.2">
      <c r="A103" s="88"/>
      <c r="B103" s="91"/>
      <c r="C103" s="92" t="s">
        <v>354</v>
      </c>
      <c r="D103" s="92"/>
      <c r="E103" s="92"/>
      <c r="F103" s="92"/>
      <c r="G103" s="92"/>
      <c r="H103" s="92"/>
      <c r="I103" s="71"/>
      <c r="J103" s="88"/>
      <c r="K103" s="69"/>
      <c r="L103" s="71">
        <f>SUMIF(CD52:CD94, 2, AO52:AO94)</f>
        <v>0</v>
      </c>
    </row>
    <row r="104" spans="1:12" ht="14.25" hidden="1" x14ac:dyDescent="0.2">
      <c r="A104" s="88"/>
      <c r="B104" s="91"/>
      <c r="C104" s="102" t="s">
        <v>356</v>
      </c>
      <c r="D104" s="92"/>
      <c r="E104" s="92"/>
      <c r="F104" s="92"/>
      <c r="G104" s="92"/>
      <c r="H104" s="92"/>
      <c r="I104" s="71"/>
      <c r="J104" s="88"/>
      <c r="K104" s="69"/>
      <c r="L104" s="71"/>
    </row>
    <row r="105" spans="1:12" ht="14.25" hidden="1" x14ac:dyDescent="0.2">
      <c r="A105" s="88"/>
      <c r="B105" s="91"/>
      <c r="C105" s="92" t="s">
        <v>365</v>
      </c>
      <c r="D105" s="92"/>
      <c r="E105" s="92"/>
      <c r="F105" s="92"/>
      <c r="G105" s="92"/>
      <c r="H105" s="92"/>
      <c r="I105" s="71"/>
      <c r="J105" s="88"/>
      <c r="K105" s="69"/>
      <c r="L105" s="71">
        <f>SUMIF(CD52:CD94, 2, AT52:AT94)</f>
        <v>0</v>
      </c>
    </row>
    <row r="106" spans="1:12" ht="14.25" hidden="1" x14ac:dyDescent="0.2">
      <c r="A106" s="88"/>
      <c r="B106" s="91"/>
      <c r="C106" s="92" t="s">
        <v>357</v>
      </c>
      <c r="D106" s="92"/>
      <c r="E106" s="92"/>
      <c r="F106" s="92"/>
      <c r="G106" s="92"/>
      <c r="H106" s="92"/>
      <c r="I106" s="71"/>
      <c r="J106" s="88"/>
      <c r="K106" s="69"/>
      <c r="L106" s="71">
        <f>SUMIF(CD52:CD94, 2, AV52:AV94)</f>
        <v>0</v>
      </c>
    </row>
    <row r="107" spans="1:12" ht="14.25" x14ac:dyDescent="0.2">
      <c r="A107" s="88"/>
      <c r="B107" s="91"/>
      <c r="C107" s="92" t="s">
        <v>358</v>
      </c>
      <c r="D107" s="92"/>
      <c r="E107" s="92"/>
      <c r="F107" s="92"/>
      <c r="G107" s="92"/>
      <c r="H107" s="92"/>
      <c r="I107" s="71"/>
      <c r="J107" s="88"/>
      <c r="K107" s="69"/>
      <c r="L107" s="71">
        <f>L109+L110</f>
        <v>1422.6399999999999</v>
      </c>
    </row>
    <row r="108" spans="1:12" ht="14.25" x14ac:dyDescent="0.2">
      <c r="A108" s="88"/>
      <c r="B108" s="91"/>
      <c r="C108" s="102" t="s">
        <v>355</v>
      </c>
      <c r="D108" s="92"/>
      <c r="E108" s="92"/>
      <c r="F108" s="92"/>
      <c r="G108" s="92"/>
      <c r="H108" s="92"/>
      <c r="I108" s="71"/>
      <c r="J108" s="88"/>
      <c r="K108" s="69"/>
      <c r="L108" s="71"/>
    </row>
    <row r="109" spans="1:12" ht="14.25" x14ac:dyDescent="0.2">
      <c r="A109" s="88"/>
      <c r="B109" s="91"/>
      <c r="C109" s="92" t="s">
        <v>359</v>
      </c>
      <c r="D109" s="92"/>
      <c r="E109" s="92"/>
      <c r="F109" s="92"/>
      <c r="G109" s="92"/>
      <c r="H109" s="92"/>
      <c r="I109" s="71"/>
      <c r="J109" s="88"/>
      <c r="K109" s="69"/>
      <c r="L109" s="71">
        <f>SUMIF(CD52:CD94, 2, AW52:AW94)-SUMIF(CD52:CD94, 2, BK52:BK94)</f>
        <v>1422.6399999999999</v>
      </c>
    </row>
    <row r="110" spans="1:12" ht="14.25" hidden="1" x14ac:dyDescent="0.2">
      <c r="A110" s="88"/>
      <c r="B110" s="91"/>
      <c r="C110" s="92" t="s">
        <v>360</v>
      </c>
      <c r="D110" s="92"/>
      <c r="E110" s="92"/>
      <c r="F110" s="92"/>
      <c r="G110" s="92"/>
      <c r="H110" s="92"/>
      <c r="I110" s="71"/>
      <c r="J110" s="88"/>
      <c r="K110" s="69"/>
      <c r="L110" s="71">
        <f>SUMIF(CD52:CD94, 2, BC52:BC94)</f>
        <v>0</v>
      </c>
    </row>
    <row r="111" spans="1:12" ht="14.25" hidden="1" x14ac:dyDescent="0.2">
      <c r="A111" s="88"/>
      <c r="B111" s="91"/>
      <c r="C111" s="92" t="s">
        <v>361</v>
      </c>
      <c r="D111" s="92"/>
      <c r="E111" s="92"/>
      <c r="F111" s="92"/>
      <c r="G111" s="92"/>
      <c r="H111" s="92"/>
      <c r="I111" s="71"/>
      <c r="J111" s="88"/>
      <c r="K111" s="69"/>
      <c r="L111" s="71">
        <f>SUMIF(CD52:CD94, 2, BB52:BB94)</f>
        <v>0</v>
      </c>
    </row>
    <row r="112" spans="1:12" ht="14.25" x14ac:dyDescent="0.2">
      <c r="A112" s="88"/>
      <c r="B112" s="91"/>
      <c r="C112" s="92" t="s">
        <v>362</v>
      </c>
      <c r="D112" s="92"/>
      <c r="E112" s="92"/>
      <c r="F112" s="92"/>
      <c r="G112" s="92"/>
      <c r="H112" s="92"/>
      <c r="I112" s="71"/>
      <c r="J112" s="88"/>
      <c r="K112" s="69"/>
      <c r="L112" s="71">
        <f>SUMIF(CD52:CD94, 2, AR52:AR94)+SUMIF(CD52:CD94, 2, AT52:AT94)+SUMIF(CD52:CD94, 2, AV52:AV94)</f>
        <v>47421.17</v>
      </c>
    </row>
    <row r="113" spans="1:12" ht="14.25" x14ac:dyDescent="0.2">
      <c r="A113" s="88"/>
      <c r="B113" s="91"/>
      <c r="C113" s="92" t="s">
        <v>363</v>
      </c>
      <c r="D113" s="92"/>
      <c r="E113" s="92"/>
      <c r="F113" s="92"/>
      <c r="G113" s="92"/>
      <c r="H113" s="92"/>
      <c r="I113" s="71"/>
      <c r="J113" s="88"/>
      <c r="K113" s="69"/>
      <c r="L113" s="71">
        <f>SUMIF(CD52:CD94, 2, AZ52:AZ94)</f>
        <v>42204.84</v>
      </c>
    </row>
    <row r="114" spans="1:12" ht="14.25" x14ac:dyDescent="0.2">
      <c r="A114" s="88"/>
      <c r="B114" s="91"/>
      <c r="C114" s="92" t="s">
        <v>364</v>
      </c>
      <c r="D114" s="92"/>
      <c r="E114" s="92"/>
      <c r="F114" s="92"/>
      <c r="G114" s="92"/>
      <c r="H114" s="92"/>
      <c r="I114" s="71"/>
      <c r="J114" s="88"/>
      <c r="K114" s="69"/>
      <c r="L114" s="71">
        <f>SUMIF(CD52:CD94, 2, BA52:BA94)</f>
        <v>20865.309999999998</v>
      </c>
    </row>
    <row r="116" spans="1:12" ht="15" x14ac:dyDescent="0.2">
      <c r="A116" s="93"/>
      <c r="B116" s="94"/>
      <c r="C116" s="95" t="s">
        <v>367</v>
      </c>
      <c r="D116" s="95"/>
      <c r="E116" s="95"/>
      <c r="F116" s="95"/>
      <c r="G116" s="95"/>
      <c r="H116" s="95"/>
      <c r="I116" s="73"/>
      <c r="J116" s="93"/>
      <c r="K116" s="96"/>
      <c r="L116" s="73">
        <f>L118+L119</f>
        <v>68095.260000000009</v>
      </c>
    </row>
    <row r="117" spans="1:12" ht="14.25" x14ac:dyDescent="0.2">
      <c r="A117" s="88"/>
      <c r="B117" s="91"/>
      <c r="C117" s="102" t="s">
        <v>351</v>
      </c>
      <c r="D117" s="92"/>
      <c r="E117" s="92"/>
      <c r="F117" s="92"/>
      <c r="G117" s="92"/>
      <c r="H117" s="92"/>
      <c r="I117" s="71"/>
      <c r="J117" s="88"/>
      <c r="K117" s="69"/>
      <c r="L117" s="71"/>
    </row>
    <row r="118" spans="1:12" ht="14.25" x14ac:dyDescent="0.2">
      <c r="A118" s="88"/>
      <c r="B118" s="91"/>
      <c r="C118" s="92" t="s">
        <v>368</v>
      </c>
      <c r="D118" s="92"/>
      <c r="E118" s="92"/>
      <c r="F118" s="92"/>
      <c r="G118" s="92"/>
      <c r="H118" s="92"/>
      <c r="I118" s="71"/>
      <c r="J118" s="88"/>
      <c r="K118" s="69"/>
      <c r="L118" s="71">
        <f>SUMIF(CD52:CD114, 3, BK52:BK114)</f>
        <v>68095.260000000009</v>
      </c>
    </row>
    <row r="119" spans="1:12" ht="14.25" hidden="1" x14ac:dyDescent="0.2">
      <c r="A119" s="88"/>
      <c r="B119" s="91"/>
      <c r="C119" s="92" t="s">
        <v>369</v>
      </c>
      <c r="D119" s="92"/>
      <c r="E119" s="92"/>
      <c r="F119" s="92"/>
      <c r="G119" s="92"/>
      <c r="H119" s="92"/>
      <c r="I119" s="71"/>
      <c r="J119" s="88"/>
      <c r="K119" s="69"/>
      <c r="L119" s="71">
        <f>SUMIF(CD52:CD114, 3, BD52:BD114)</f>
        <v>0</v>
      </c>
    </row>
    <row r="120" spans="1:12" hidden="1" x14ac:dyDescent="0.2"/>
    <row r="121" spans="1:12" ht="15" hidden="1" x14ac:dyDescent="0.2">
      <c r="A121" s="93"/>
      <c r="B121" s="94"/>
      <c r="C121" s="95" t="s">
        <v>370</v>
      </c>
      <c r="D121" s="95"/>
      <c r="E121" s="95"/>
      <c r="F121" s="95"/>
      <c r="G121" s="95"/>
      <c r="H121" s="95"/>
      <c r="I121" s="73"/>
      <c r="J121" s="93"/>
      <c r="K121" s="96"/>
      <c r="L121" s="73">
        <f>L129+L144+L145+L123+L124+L125+L126</f>
        <v>0</v>
      </c>
    </row>
    <row r="122" spans="1:12" ht="14.25" hidden="1" x14ac:dyDescent="0.2">
      <c r="A122" s="88"/>
      <c r="B122" s="91"/>
      <c r="C122" s="102" t="s">
        <v>351</v>
      </c>
      <c r="D122" s="92"/>
      <c r="E122" s="92"/>
      <c r="F122" s="92"/>
      <c r="G122" s="92"/>
      <c r="H122" s="92"/>
      <c r="I122" s="71"/>
      <c r="J122" s="88"/>
      <c r="K122" s="69"/>
      <c r="L122" s="71"/>
    </row>
    <row r="123" spans="1:12" ht="14.25" hidden="1" x14ac:dyDescent="0.2">
      <c r="A123" s="88"/>
      <c r="B123" s="91"/>
      <c r="C123" s="92" t="s">
        <v>371</v>
      </c>
      <c r="D123" s="92"/>
      <c r="E123" s="92"/>
      <c r="F123" s="92"/>
      <c r="G123" s="92"/>
      <c r="H123" s="92"/>
      <c r="I123" s="71"/>
      <c r="J123" s="88"/>
      <c r="K123" s="69"/>
      <c r="L123" s="71"/>
    </row>
    <row r="124" spans="1:12" ht="14.25" hidden="1" x14ac:dyDescent="0.2">
      <c r="A124" s="88"/>
      <c r="B124" s="91"/>
      <c r="C124" s="92" t="s">
        <v>371</v>
      </c>
      <c r="D124" s="92"/>
      <c r="E124" s="92"/>
      <c r="F124" s="92"/>
      <c r="G124" s="92"/>
      <c r="H124" s="92"/>
      <c r="I124" s="71"/>
      <c r="J124" s="88"/>
      <c r="K124" s="69"/>
      <c r="L124" s="71">
        <f>SUM(BQ52:BQ119)</f>
        <v>0</v>
      </c>
    </row>
    <row r="125" spans="1:12" ht="14.25" hidden="1" x14ac:dyDescent="0.2">
      <c r="A125" s="88"/>
      <c r="B125" s="91"/>
      <c r="C125" s="92" t="s">
        <v>372</v>
      </c>
      <c r="D125" s="92"/>
      <c r="E125" s="92"/>
      <c r="F125" s="92"/>
      <c r="G125" s="92"/>
      <c r="H125" s="92"/>
      <c r="I125" s="71"/>
      <c r="J125" s="88"/>
      <c r="K125" s="69"/>
      <c r="L125" s="71">
        <f>SUMIF(CD52:CD119, 4, BB52:BB119)+SUMIF(CD52:CD119, 4, BC52:BC119)+SUMIF(CD52:CD119, 4, BD52:BD119)</f>
        <v>0</v>
      </c>
    </row>
    <row r="126" spans="1:12" ht="14.25" hidden="1" x14ac:dyDescent="0.2">
      <c r="A126" s="88"/>
      <c r="B126" s="91"/>
      <c r="C126" s="92" t="s">
        <v>373</v>
      </c>
      <c r="D126" s="92"/>
      <c r="E126" s="92"/>
      <c r="F126" s="92"/>
      <c r="G126" s="92"/>
      <c r="H126" s="92"/>
      <c r="I126" s="71"/>
      <c r="J126" s="88"/>
      <c r="K126" s="69"/>
      <c r="L126" s="71">
        <f>SUM(BO52:BO119)</f>
        <v>0</v>
      </c>
    </row>
    <row r="127" spans="1:12" ht="14.25" hidden="1" x14ac:dyDescent="0.2">
      <c r="A127" s="88"/>
      <c r="B127" s="91"/>
      <c r="C127" s="92" t="s">
        <v>374</v>
      </c>
      <c r="D127" s="92"/>
      <c r="E127" s="92"/>
      <c r="F127" s="92"/>
      <c r="G127" s="92"/>
      <c r="H127" s="92"/>
      <c r="I127" s="71"/>
      <c r="J127" s="88"/>
      <c r="K127" s="69"/>
      <c r="L127" s="71">
        <f>L129+L144+L145</f>
        <v>0</v>
      </c>
    </row>
    <row r="128" spans="1:12" ht="14.25" hidden="1" x14ac:dyDescent="0.2">
      <c r="A128" s="88"/>
      <c r="B128" s="91"/>
      <c r="C128" s="102" t="s">
        <v>351</v>
      </c>
      <c r="D128" s="92"/>
      <c r="E128" s="92"/>
      <c r="F128" s="92"/>
      <c r="G128" s="92"/>
      <c r="H128" s="92"/>
      <c r="I128" s="71"/>
      <c r="J128" s="88"/>
      <c r="K128" s="69"/>
      <c r="L128" s="71"/>
    </row>
    <row r="129" spans="1:12" ht="14.25" hidden="1" x14ac:dyDescent="0.2">
      <c r="A129" s="88"/>
      <c r="B129" s="91"/>
      <c r="C129" s="92" t="s">
        <v>352</v>
      </c>
      <c r="D129" s="92"/>
      <c r="E129" s="92"/>
      <c r="F129" s="92"/>
      <c r="G129" s="92"/>
      <c r="H129" s="92"/>
      <c r="I129" s="71"/>
      <c r="J129" s="88"/>
      <c r="K129" s="69"/>
      <c r="L129" s="71">
        <f>L131+L132+L138+L142</f>
        <v>0</v>
      </c>
    </row>
    <row r="130" spans="1:12" ht="14.25" hidden="1" x14ac:dyDescent="0.2">
      <c r="A130" s="88"/>
      <c r="B130" s="91"/>
      <c r="C130" s="102" t="s">
        <v>351</v>
      </c>
      <c r="D130" s="92"/>
      <c r="E130" s="92"/>
      <c r="F130" s="92"/>
      <c r="G130" s="92"/>
      <c r="H130" s="92"/>
      <c r="I130" s="71"/>
      <c r="J130" s="88"/>
      <c r="K130" s="69"/>
      <c r="L130" s="71"/>
    </row>
    <row r="131" spans="1:12" ht="14.25" hidden="1" x14ac:dyDescent="0.2">
      <c r="A131" s="88"/>
      <c r="B131" s="91"/>
      <c r="C131" s="92" t="s">
        <v>353</v>
      </c>
      <c r="D131" s="92"/>
      <c r="E131" s="92"/>
      <c r="F131" s="92"/>
      <c r="G131" s="92"/>
      <c r="H131" s="92"/>
      <c r="I131" s="71"/>
      <c r="J131" s="88"/>
      <c r="K131" s="69"/>
      <c r="L131" s="71">
        <f>SUMIF(CD52:CD119, 4, AR52:AR119)</f>
        <v>0</v>
      </c>
    </row>
    <row r="132" spans="1:12" ht="14.25" hidden="1" x14ac:dyDescent="0.2">
      <c r="A132" s="88"/>
      <c r="B132" s="91"/>
      <c r="C132" s="92" t="s">
        <v>354</v>
      </c>
      <c r="D132" s="92"/>
      <c r="E132" s="92"/>
      <c r="F132" s="92"/>
      <c r="G132" s="92"/>
      <c r="H132" s="92"/>
      <c r="I132" s="71"/>
      <c r="J132" s="88"/>
      <c r="K132" s="69"/>
      <c r="L132" s="71">
        <f>L134+L137+L136</f>
        <v>0</v>
      </c>
    </row>
    <row r="133" spans="1:12" ht="14.25" hidden="1" x14ac:dyDescent="0.2">
      <c r="A133" s="88"/>
      <c r="B133" s="91"/>
      <c r="C133" s="102" t="s">
        <v>355</v>
      </c>
      <c r="D133" s="92"/>
      <c r="E133" s="92"/>
      <c r="F133" s="92"/>
      <c r="G133" s="92"/>
      <c r="H133" s="92"/>
      <c r="I133" s="71"/>
      <c r="J133" s="88"/>
      <c r="K133" s="69"/>
      <c r="L133" s="71"/>
    </row>
    <row r="134" spans="1:12" ht="14.25" hidden="1" x14ac:dyDescent="0.2">
      <c r="A134" s="88"/>
      <c r="B134" s="91"/>
      <c r="C134" s="92" t="s">
        <v>354</v>
      </c>
      <c r="D134" s="92"/>
      <c r="E134" s="92"/>
      <c r="F134" s="92"/>
      <c r="G134" s="92"/>
      <c r="H134" s="92"/>
      <c r="I134" s="71"/>
      <c r="J134" s="88"/>
      <c r="K134" s="69"/>
      <c r="L134" s="71">
        <f>SUMIF(CD52:CD119, 4, AO52:AO119)</f>
        <v>0</v>
      </c>
    </row>
    <row r="135" spans="1:12" ht="14.25" hidden="1" x14ac:dyDescent="0.2">
      <c r="A135" s="88"/>
      <c r="B135" s="91"/>
      <c r="C135" s="102" t="s">
        <v>356</v>
      </c>
      <c r="D135" s="92"/>
      <c r="E135" s="92"/>
      <c r="F135" s="92"/>
      <c r="G135" s="92"/>
      <c r="H135" s="92"/>
      <c r="I135" s="71"/>
      <c r="J135" s="88"/>
      <c r="K135" s="69"/>
      <c r="L135" s="71"/>
    </row>
    <row r="136" spans="1:12" ht="14.25" hidden="1" x14ac:dyDescent="0.2">
      <c r="A136" s="88"/>
      <c r="B136" s="91"/>
      <c r="C136" s="92" t="s">
        <v>365</v>
      </c>
      <c r="D136" s="92"/>
      <c r="E136" s="92"/>
      <c r="F136" s="92"/>
      <c r="G136" s="92"/>
      <c r="H136" s="92"/>
      <c r="I136" s="71"/>
      <c r="J136" s="88"/>
      <c r="K136" s="69"/>
      <c r="L136" s="71">
        <f>SUMIF(CD52:CD119, 4, AT52:AT119)</f>
        <v>0</v>
      </c>
    </row>
    <row r="137" spans="1:12" ht="14.25" hidden="1" x14ac:dyDescent="0.2">
      <c r="A137" s="88"/>
      <c r="B137" s="91"/>
      <c r="C137" s="92" t="s">
        <v>357</v>
      </c>
      <c r="D137" s="92"/>
      <c r="E137" s="92"/>
      <c r="F137" s="92"/>
      <c r="G137" s="92"/>
      <c r="H137" s="92"/>
      <c r="I137" s="71"/>
      <c r="J137" s="88"/>
      <c r="K137" s="69"/>
      <c r="L137" s="71">
        <f>SUMIF(CD52:CD119, 4, AV52:AV119)</f>
        <v>0</v>
      </c>
    </row>
    <row r="138" spans="1:12" ht="14.25" hidden="1" x14ac:dyDescent="0.2">
      <c r="A138" s="88"/>
      <c r="B138" s="91"/>
      <c r="C138" s="92" t="s">
        <v>358</v>
      </c>
      <c r="D138" s="92"/>
      <c r="E138" s="92"/>
      <c r="F138" s="92"/>
      <c r="G138" s="92"/>
      <c r="H138" s="92"/>
      <c r="I138" s="71"/>
      <c r="J138" s="88"/>
      <c r="K138" s="69"/>
      <c r="L138" s="71">
        <f>L140+L141</f>
        <v>0</v>
      </c>
    </row>
    <row r="139" spans="1:12" ht="14.25" hidden="1" x14ac:dyDescent="0.2">
      <c r="A139" s="88"/>
      <c r="B139" s="91"/>
      <c r="C139" s="102" t="s">
        <v>355</v>
      </c>
      <c r="D139" s="92"/>
      <c r="E139" s="92"/>
      <c r="F139" s="92"/>
      <c r="G139" s="92"/>
      <c r="H139" s="92"/>
      <c r="I139" s="71"/>
      <c r="J139" s="88"/>
      <c r="K139" s="69"/>
      <c r="L139" s="71"/>
    </row>
    <row r="140" spans="1:12" ht="14.25" hidden="1" x14ac:dyDescent="0.2">
      <c r="A140" s="88"/>
      <c r="B140" s="91"/>
      <c r="C140" s="92" t="s">
        <v>359</v>
      </c>
      <c r="D140" s="92"/>
      <c r="E140" s="92"/>
      <c r="F140" s="92"/>
      <c r="G140" s="92"/>
      <c r="H140" s="92"/>
      <c r="I140" s="71"/>
      <c r="J140" s="88"/>
      <c r="K140" s="69"/>
      <c r="L140" s="71">
        <f>SUMIF(CD52:CD119, 4, AW52:AW119)-SUMIF(CD52:CD119, 4, BK52:BK119)</f>
        <v>0</v>
      </c>
    </row>
    <row r="141" spans="1:12" ht="14.25" hidden="1" x14ac:dyDescent="0.2">
      <c r="A141" s="88"/>
      <c r="B141" s="91"/>
      <c r="C141" s="92" t="s">
        <v>360</v>
      </c>
      <c r="D141" s="92"/>
      <c r="E141" s="92"/>
      <c r="F141" s="92"/>
      <c r="G141" s="92"/>
      <c r="H141" s="92"/>
      <c r="I141" s="71"/>
      <c r="J141" s="88"/>
      <c r="K141" s="69"/>
      <c r="L141" s="71">
        <f>SUMIF(CD52:CD119, 4, BC52:BC119)</f>
        <v>0</v>
      </c>
    </row>
    <row r="142" spans="1:12" ht="14.25" hidden="1" x14ac:dyDescent="0.2">
      <c r="A142" s="88"/>
      <c r="B142" s="91"/>
      <c r="C142" s="92" t="s">
        <v>361</v>
      </c>
      <c r="D142" s="92"/>
      <c r="E142" s="92"/>
      <c r="F142" s="92"/>
      <c r="G142" s="92"/>
      <c r="H142" s="92"/>
      <c r="I142" s="71"/>
      <c r="J142" s="88"/>
      <c r="K142" s="69"/>
      <c r="L142" s="71">
        <f>SUMIF(CD52:CD119, 4, BB52:BB119)</f>
        <v>0</v>
      </c>
    </row>
    <row r="143" spans="1:12" ht="14.25" hidden="1" x14ac:dyDescent="0.2">
      <c r="A143" s="88"/>
      <c r="B143" s="91"/>
      <c r="C143" s="92" t="s">
        <v>362</v>
      </c>
      <c r="D143" s="92"/>
      <c r="E143" s="92"/>
      <c r="F143" s="92"/>
      <c r="G143" s="92"/>
      <c r="H143" s="92"/>
      <c r="I143" s="71"/>
      <c r="J143" s="88"/>
      <c r="K143" s="69"/>
      <c r="L143" s="71">
        <f>SUMIF(CD52:CD119, 4, AR52:AR119)+SUMIF(CD52:CD119, 4, AT52:AT119)+SUMIF(CD52:CD119, 4, AV52:AV119)</f>
        <v>0</v>
      </c>
    </row>
    <row r="144" spans="1:12" ht="14.25" hidden="1" x14ac:dyDescent="0.2">
      <c r="A144" s="88"/>
      <c r="B144" s="91"/>
      <c r="C144" s="92" t="s">
        <v>363</v>
      </c>
      <c r="D144" s="92"/>
      <c r="E144" s="92"/>
      <c r="F144" s="92"/>
      <c r="G144" s="92"/>
      <c r="H144" s="92"/>
      <c r="I144" s="71"/>
      <c r="J144" s="88"/>
      <c r="K144" s="69"/>
      <c r="L144" s="71">
        <f>SUMIF(CD52:CD119, 4, AZ52:AZ119)</f>
        <v>0</v>
      </c>
    </row>
    <row r="145" spans="1:12" ht="14.25" hidden="1" x14ac:dyDescent="0.2">
      <c r="A145" s="88"/>
      <c r="B145" s="91"/>
      <c r="C145" s="92" t="s">
        <v>364</v>
      </c>
      <c r="D145" s="92"/>
      <c r="E145" s="92"/>
      <c r="F145" s="92"/>
      <c r="G145" s="92"/>
      <c r="H145" s="92"/>
      <c r="I145" s="71"/>
      <c r="J145" s="88"/>
      <c r="K145" s="69"/>
      <c r="L145" s="71">
        <f>SUMIF(CD52:CD119, 4, BA52:BA119)</f>
        <v>0</v>
      </c>
    </row>
    <row r="147" spans="1:12" ht="15" x14ac:dyDescent="0.2">
      <c r="A147" s="93"/>
      <c r="B147" s="94"/>
      <c r="C147" s="95" t="s">
        <v>375</v>
      </c>
      <c r="D147" s="95"/>
      <c r="E147" s="95"/>
      <c r="F147" s="95"/>
      <c r="G147" s="95"/>
      <c r="H147" s="95"/>
      <c r="I147" s="73"/>
      <c r="J147" s="93"/>
      <c r="K147" s="96"/>
      <c r="L147" s="73">
        <f>L76+L96+L116+L121</f>
        <v>180009.22</v>
      </c>
    </row>
    <row r="148" spans="1:12" ht="14.25" x14ac:dyDescent="0.2">
      <c r="A148" s="88"/>
      <c r="B148" s="91"/>
      <c r="C148" s="102" t="s">
        <v>351</v>
      </c>
      <c r="D148" s="92"/>
      <c r="E148" s="92"/>
      <c r="F148" s="92"/>
      <c r="G148" s="92"/>
      <c r="H148" s="92"/>
      <c r="I148" s="71"/>
      <c r="J148" s="88"/>
      <c r="K148" s="69"/>
      <c r="L148" s="71"/>
    </row>
    <row r="149" spans="1:12" ht="14.25" x14ac:dyDescent="0.2">
      <c r="A149" s="88"/>
      <c r="B149" s="91"/>
      <c r="C149" s="92" t="s">
        <v>352</v>
      </c>
      <c r="D149" s="92"/>
      <c r="E149" s="92"/>
      <c r="F149" s="92"/>
      <c r="G149" s="92"/>
      <c r="H149" s="92"/>
      <c r="I149" s="71"/>
      <c r="J149" s="88"/>
      <c r="K149" s="69"/>
      <c r="L149" s="71">
        <f>L151+L152+L158+L162</f>
        <v>48843.81</v>
      </c>
    </row>
    <row r="150" spans="1:12" ht="14.25" x14ac:dyDescent="0.2">
      <c r="A150" s="88"/>
      <c r="B150" s="91"/>
      <c r="C150" s="102" t="s">
        <v>351</v>
      </c>
      <c r="D150" s="92"/>
      <c r="E150" s="92"/>
      <c r="F150" s="92"/>
      <c r="G150" s="92"/>
      <c r="H150" s="92"/>
      <c r="I150" s="71"/>
      <c r="J150" s="88"/>
      <c r="K150" s="69"/>
      <c r="L150" s="71"/>
    </row>
    <row r="151" spans="1:12" ht="14.25" x14ac:dyDescent="0.2">
      <c r="A151" s="88"/>
      <c r="B151" s="91"/>
      <c r="C151" s="92" t="s">
        <v>353</v>
      </c>
      <c r="D151" s="92"/>
      <c r="E151" s="92"/>
      <c r="F151" s="92"/>
      <c r="G151" s="92"/>
      <c r="H151" s="92"/>
      <c r="I151" s="71"/>
      <c r="J151" s="88"/>
      <c r="K151" s="69"/>
      <c r="L151" s="71">
        <f>SUM(AR52:AR145)</f>
        <v>47421.17</v>
      </c>
    </row>
    <row r="152" spans="1:12" ht="14.25" hidden="1" x14ac:dyDescent="0.2">
      <c r="A152" s="88"/>
      <c r="B152" s="91"/>
      <c r="C152" s="92" t="s">
        <v>354</v>
      </c>
      <c r="D152" s="92"/>
      <c r="E152" s="92"/>
      <c r="F152" s="92"/>
      <c r="G152" s="92"/>
      <c r="H152" s="92"/>
      <c r="I152" s="71"/>
      <c r="J152" s="88"/>
      <c r="K152" s="69"/>
      <c r="L152" s="71">
        <f>L154+L157+L156</f>
        <v>0</v>
      </c>
    </row>
    <row r="153" spans="1:12" ht="14.25" hidden="1" x14ac:dyDescent="0.2">
      <c r="A153" s="88"/>
      <c r="B153" s="91"/>
      <c r="C153" s="102" t="s">
        <v>355</v>
      </c>
      <c r="D153" s="92"/>
      <c r="E153" s="92"/>
      <c r="F153" s="92"/>
      <c r="G153" s="92"/>
      <c r="H153" s="92"/>
      <c r="I153" s="71"/>
      <c r="J153" s="88"/>
      <c r="K153" s="69"/>
      <c r="L153" s="71"/>
    </row>
    <row r="154" spans="1:12" ht="14.25" hidden="1" x14ac:dyDescent="0.2">
      <c r="A154" s="88"/>
      <c r="B154" s="91"/>
      <c r="C154" s="92" t="s">
        <v>354</v>
      </c>
      <c r="D154" s="92"/>
      <c r="E154" s="92"/>
      <c r="F154" s="92"/>
      <c r="G154" s="92"/>
      <c r="H154" s="92"/>
      <c r="I154" s="71"/>
      <c r="J154" s="88"/>
      <c r="K154" s="69"/>
      <c r="L154" s="71">
        <f>SUM(AO52:AO145)</f>
        <v>0</v>
      </c>
    </row>
    <row r="155" spans="1:12" ht="14.25" hidden="1" x14ac:dyDescent="0.2">
      <c r="A155" s="88"/>
      <c r="B155" s="91"/>
      <c r="C155" s="102" t="s">
        <v>356</v>
      </c>
      <c r="D155" s="92"/>
      <c r="E155" s="92"/>
      <c r="F155" s="92"/>
      <c r="G155" s="92"/>
      <c r="H155" s="92"/>
      <c r="I155" s="71"/>
      <c r="J155" s="88"/>
      <c r="K155" s="69"/>
      <c r="L155" s="71"/>
    </row>
    <row r="156" spans="1:12" ht="14.25" hidden="1" x14ac:dyDescent="0.2">
      <c r="A156" s="88"/>
      <c r="B156" s="91"/>
      <c r="C156" s="92" t="s">
        <v>365</v>
      </c>
      <c r="D156" s="92"/>
      <c r="E156" s="92"/>
      <c r="F156" s="92"/>
      <c r="G156" s="92"/>
      <c r="H156" s="92"/>
      <c r="I156" s="71"/>
      <c r="J156" s="88"/>
      <c r="K156" s="69"/>
      <c r="L156" s="71">
        <f>SUM(AT52:AT145)</f>
        <v>0</v>
      </c>
    </row>
    <row r="157" spans="1:12" ht="14.25" hidden="1" x14ac:dyDescent="0.2">
      <c r="A157" s="88"/>
      <c r="B157" s="91"/>
      <c r="C157" s="92" t="s">
        <v>357</v>
      </c>
      <c r="D157" s="92"/>
      <c r="E157" s="92"/>
      <c r="F157" s="92"/>
      <c r="G157" s="92"/>
      <c r="H157" s="92"/>
      <c r="I157" s="71"/>
      <c r="J157" s="88"/>
      <c r="K157" s="69"/>
      <c r="L157" s="71">
        <f>SUM(AV52:AV145)</f>
        <v>0</v>
      </c>
    </row>
    <row r="158" spans="1:12" ht="14.25" x14ac:dyDescent="0.2">
      <c r="A158" s="88"/>
      <c r="B158" s="91"/>
      <c r="C158" s="92" t="s">
        <v>358</v>
      </c>
      <c r="D158" s="92"/>
      <c r="E158" s="92"/>
      <c r="F158" s="92"/>
      <c r="G158" s="92"/>
      <c r="H158" s="92"/>
      <c r="I158" s="71"/>
      <c r="J158" s="88"/>
      <c r="K158" s="69"/>
      <c r="L158" s="71">
        <f>L160+L161</f>
        <v>1422.6399999999994</v>
      </c>
    </row>
    <row r="159" spans="1:12" ht="14.25" x14ac:dyDescent="0.2">
      <c r="A159" s="88"/>
      <c r="B159" s="91"/>
      <c r="C159" s="102" t="s">
        <v>355</v>
      </c>
      <c r="D159" s="92"/>
      <c r="E159" s="92"/>
      <c r="F159" s="92"/>
      <c r="G159" s="92"/>
      <c r="H159" s="92"/>
      <c r="I159" s="71"/>
      <c r="J159" s="88"/>
      <c r="K159" s="69"/>
      <c r="L159" s="71"/>
    </row>
    <row r="160" spans="1:12" ht="14.25" x14ac:dyDescent="0.2">
      <c r="A160" s="88"/>
      <c r="B160" s="91"/>
      <c r="C160" s="92" t="s">
        <v>359</v>
      </c>
      <c r="D160" s="92"/>
      <c r="E160" s="92"/>
      <c r="F160" s="92"/>
      <c r="G160" s="92"/>
      <c r="H160" s="92"/>
      <c r="I160" s="71"/>
      <c r="J160" s="88"/>
      <c r="K160" s="69"/>
      <c r="L160" s="71">
        <f>SUM(AW52:AW145)-SUM(BK52:BK145)</f>
        <v>1422.6399999999994</v>
      </c>
    </row>
    <row r="161" spans="1:12" ht="14.25" hidden="1" x14ac:dyDescent="0.2">
      <c r="A161" s="88"/>
      <c r="B161" s="91"/>
      <c r="C161" s="92" t="s">
        <v>360</v>
      </c>
      <c r="D161" s="92"/>
      <c r="E161" s="92"/>
      <c r="F161" s="92"/>
      <c r="G161" s="92"/>
      <c r="H161" s="92"/>
      <c r="I161" s="71"/>
      <c r="J161" s="88"/>
      <c r="K161" s="69"/>
      <c r="L161" s="71">
        <f>SUM(BC52:BC145)</f>
        <v>0</v>
      </c>
    </row>
    <row r="162" spans="1:12" ht="14.25" hidden="1" x14ac:dyDescent="0.2">
      <c r="A162" s="88"/>
      <c r="B162" s="91"/>
      <c r="C162" s="92" t="s">
        <v>361</v>
      </c>
      <c r="D162" s="92"/>
      <c r="E162" s="92"/>
      <c r="F162" s="92"/>
      <c r="G162" s="92"/>
      <c r="H162" s="92"/>
      <c r="I162" s="71"/>
      <c r="J162" s="88"/>
      <c r="K162" s="69"/>
      <c r="L162" s="71">
        <f>SUM(BB52:BB145)</f>
        <v>0</v>
      </c>
    </row>
    <row r="163" spans="1:12" ht="14.25" x14ac:dyDescent="0.2">
      <c r="A163" s="88"/>
      <c r="B163" s="91"/>
      <c r="C163" s="92" t="s">
        <v>376</v>
      </c>
      <c r="D163" s="92"/>
      <c r="E163" s="92"/>
      <c r="F163" s="92"/>
      <c r="G163" s="92"/>
      <c r="H163" s="92"/>
      <c r="I163" s="71"/>
      <c r="J163" s="88"/>
      <c r="K163" s="69"/>
      <c r="L163" s="71">
        <f>SUM(AR52:AR145)+SUM(AT52:AT145)+SUM(AV52:AV145)</f>
        <v>47421.17</v>
      </c>
    </row>
    <row r="164" spans="1:12" ht="14.25" x14ac:dyDescent="0.2">
      <c r="A164" s="88"/>
      <c r="B164" s="91"/>
      <c r="C164" s="92" t="s">
        <v>377</v>
      </c>
      <c r="D164" s="92"/>
      <c r="E164" s="92"/>
      <c r="F164" s="92"/>
      <c r="G164" s="92"/>
      <c r="H164" s="92"/>
      <c r="I164" s="71"/>
      <c r="J164" s="88"/>
      <c r="K164" s="69"/>
      <c r="L164" s="71">
        <f>SUM(AZ52:AZ145)</f>
        <v>42204.84</v>
      </c>
    </row>
    <row r="165" spans="1:12" ht="14.25" x14ac:dyDescent="0.2">
      <c r="A165" s="88"/>
      <c r="B165" s="91"/>
      <c r="C165" s="92" t="s">
        <v>378</v>
      </c>
      <c r="D165" s="92"/>
      <c r="E165" s="92"/>
      <c r="F165" s="92"/>
      <c r="G165" s="92"/>
      <c r="H165" s="92"/>
      <c r="I165" s="71"/>
      <c r="J165" s="88"/>
      <c r="K165" s="69"/>
      <c r="L165" s="71">
        <f>SUM(BA52:BA145)</f>
        <v>20865.309999999998</v>
      </c>
    </row>
    <row r="166" spans="1:12" ht="14.25" x14ac:dyDescent="0.2">
      <c r="A166" s="88"/>
      <c r="B166" s="91"/>
      <c r="C166" s="92" t="s">
        <v>379</v>
      </c>
      <c r="D166" s="92"/>
      <c r="E166" s="92"/>
      <c r="F166" s="92"/>
      <c r="G166" s="92"/>
      <c r="H166" s="92"/>
      <c r="I166" s="71"/>
      <c r="J166" s="88"/>
      <c r="K166" s="69"/>
      <c r="L166" s="71">
        <f>L168+L169</f>
        <v>68095.260000000009</v>
      </c>
    </row>
    <row r="167" spans="1:12" ht="14.25" x14ac:dyDescent="0.2">
      <c r="A167" s="88"/>
      <c r="B167" s="91"/>
      <c r="C167" s="102" t="s">
        <v>351</v>
      </c>
      <c r="D167" s="92"/>
      <c r="E167" s="92"/>
      <c r="F167" s="92"/>
      <c r="G167" s="92"/>
      <c r="H167" s="92"/>
      <c r="I167" s="71"/>
      <c r="J167" s="88"/>
      <c r="K167" s="69"/>
      <c r="L167" s="71"/>
    </row>
    <row r="168" spans="1:12" ht="14.25" x14ac:dyDescent="0.2">
      <c r="A168" s="88"/>
      <c r="B168" s="91"/>
      <c r="C168" s="92" t="s">
        <v>368</v>
      </c>
      <c r="D168" s="92"/>
      <c r="E168" s="92"/>
      <c r="F168" s="92"/>
      <c r="G168" s="92"/>
      <c r="H168" s="92"/>
      <c r="I168" s="71"/>
      <c r="J168" s="88"/>
      <c r="K168" s="69"/>
      <c r="L168" s="71">
        <f>SUM(BK52:BK145)</f>
        <v>68095.260000000009</v>
      </c>
    </row>
    <row r="169" spans="1:12" ht="14.25" hidden="1" x14ac:dyDescent="0.2">
      <c r="A169" s="88"/>
      <c r="B169" s="91"/>
      <c r="C169" s="92" t="s">
        <v>369</v>
      </c>
      <c r="D169" s="92"/>
      <c r="E169" s="92"/>
      <c r="F169" s="92"/>
      <c r="G169" s="92"/>
      <c r="H169" s="92"/>
      <c r="I169" s="71"/>
      <c r="J169" s="88"/>
      <c r="K169" s="69"/>
      <c r="L169" s="71">
        <f>SUM(BD52:BD145)</f>
        <v>0</v>
      </c>
    </row>
    <row r="170" spans="1:12" ht="14.25" hidden="1" x14ac:dyDescent="0.2">
      <c r="A170" s="88"/>
      <c r="B170" s="91"/>
      <c r="C170" s="92" t="s">
        <v>380</v>
      </c>
      <c r="D170" s="92"/>
      <c r="E170" s="92"/>
      <c r="F170" s="92"/>
      <c r="G170" s="92"/>
      <c r="H170" s="92"/>
      <c r="I170" s="71"/>
      <c r="J170" s="88"/>
      <c r="K170" s="69"/>
      <c r="L170" s="71">
        <f>L121</f>
        <v>0</v>
      </c>
    </row>
    <row r="171" spans="1:12" ht="14.25" x14ac:dyDescent="0.2">
      <c r="A171" s="88"/>
      <c r="B171" s="91"/>
      <c r="C171" s="95" t="s">
        <v>381</v>
      </c>
      <c r="D171" s="92"/>
      <c r="E171" s="92"/>
      <c r="F171" s="92"/>
      <c r="G171" s="92"/>
      <c r="H171" s="92"/>
      <c r="I171" s="71"/>
      <c r="J171" s="88"/>
      <c r="K171" s="69"/>
      <c r="L171" s="71"/>
    </row>
    <row r="172" spans="1:12" ht="14.25" hidden="1" x14ac:dyDescent="0.2">
      <c r="A172" s="88"/>
      <c r="B172" s="91"/>
      <c r="C172" s="92" t="s">
        <v>382</v>
      </c>
      <c r="D172" s="92"/>
      <c r="E172" s="92"/>
      <c r="F172" s="92"/>
      <c r="G172" s="92"/>
      <c r="H172" s="92"/>
      <c r="I172" s="71"/>
      <c r="J172" s="88"/>
      <c r="K172" s="69"/>
      <c r="L172" s="71">
        <f>SUM(AX52:AX145)</f>
        <v>0</v>
      </c>
    </row>
    <row r="173" spans="1:12" ht="14.25" x14ac:dyDescent="0.2">
      <c r="A173" s="88"/>
      <c r="B173" s="91"/>
      <c r="C173" s="92" t="s">
        <v>383</v>
      </c>
      <c r="D173" s="92"/>
      <c r="E173" s="92"/>
      <c r="F173" s="92"/>
      <c r="G173" s="92"/>
      <c r="H173" s="92"/>
      <c r="I173" s="71"/>
      <c r="J173" s="88"/>
      <c r="K173" s="69"/>
      <c r="L173" s="71">
        <f>SUM(AY52:AY145)</f>
        <v>68095.260000000009</v>
      </c>
    </row>
    <row r="174" spans="1:12" ht="14.25" x14ac:dyDescent="0.2">
      <c r="A174" s="88"/>
      <c r="B174" s="91"/>
      <c r="C174" s="92" t="s">
        <v>384</v>
      </c>
      <c r="D174" s="92"/>
      <c r="E174" s="92"/>
      <c r="F174" s="103"/>
      <c r="G174" s="72">
        <f>Source!F74</f>
        <v>67.42</v>
      </c>
      <c r="H174" s="88"/>
      <c r="I174" s="88"/>
      <c r="J174" s="88"/>
      <c r="K174" s="88"/>
      <c r="L174" s="88"/>
    </row>
    <row r="175" spans="1:12" ht="14.25" hidden="1" customHeight="1" x14ac:dyDescent="0.2">
      <c r="A175" s="88"/>
      <c r="B175" s="91"/>
      <c r="C175" s="92" t="s">
        <v>385</v>
      </c>
      <c r="D175" s="92"/>
      <c r="E175" s="92"/>
      <c r="F175" s="103"/>
      <c r="G175" s="72">
        <f>Source!F75</f>
        <v>0</v>
      </c>
      <c r="H175" s="88"/>
      <c r="I175" s="88"/>
      <c r="J175" s="88"/>
      <c r="K175" s="88"/>
      <c r="L175" s="88"/>
    </row>
    <row r="177" spans="1:12" ht="14.25" x14ac:dyDescent="0.2">
      <c r="C177" s="104" t="str">
        <f>Source!H81</f>
        <v>НДС 22%</v>
      </c>
      <c r="D177" s="104"/>
      <c r="E177" s="104"/>
      <c r="F177" s="104"/>
      <c r="G177" s="104"/>
      <c r="H177" s="104"/>
      <c r="I177" s="104"/>
      <c r="J177" s="104"/>
      <c r="K177" s="104"/>
      <c r="L177" s="80">
        <f>IF(Source!Y81=0, "", Source!Y81)</f>
        <v>39602.03</v>
      </c>
    </row>
    <row r="178" spans="1:12" ht="14.25" x14ac:dyDescent="0.2">
      <c r="C178" s="104" t="str">
        <f>Source!H82</f>
        <v>Итого с НДС</v>
      </c>
      <c r="D178" s="104"/>
      <c r="E178" s="104"/>
      <c r="F178" s="104"/>
      <c r="G178" s="104"/>
      <c r="H178" s="104"/>
      <c r="I178" s="104"/>
      <c r="J178" s="104"/>
      <c r="K178" s="104"/>
      <c r="L178" s="80">
        <f>IF(Source!Y82=0, "", Source!Y82)</f>
        <v>219611.25</v>
      </c>
    </row>
    <row r="179" spans="1:12" ht="14.25" x14ac:dyDescent="0.2">
      <c r="C179" s="64" t="s">
        <v>396</v>
      </c>
      <c r="L179" s="80">
        <f>146500</f>
        <v>146500</v>
      </c>
    </row>
    <row r="180" spans="1:12" ht="14.25" x14ac:dyDescent="0.2">
      <c r="C180" s="64" t="s">
        <v>397</v>
      </c>
      <c r="L180" s="80">
        <f>L179/1.22*22%</f>
        <v>26418.032786885247</v>
      </c>
    </row>
    <row r="183" spans="1:12" ht="14.25" customHeight="1" x14ac:dyDescent="0.2">
      <c r="A183" s="110"/>
      <c r="B183" s="111" t="s">
        <v>386</v>
      </c>
      <c r="C183" s="113" t="str">
        <f>IF(Source!AC12&lt;&gt;"", Source!AC12," ")</f>
        <v xml:space="preserve"> </v>
      </c>
      <c r="D183" s="43"/>
      <c r="E183" s="43"/>
      <c r="F183" s="43"/>
      <c r="G183" s="43"/>
      <c r="H183" s="112" t="str">
        <f>IF(Source!AB12&lt;&gt;"", Source!AB12," ")</f>
        <v xml:space="preserve"> </v>
      </c>
      <c r="I183" s="31"/>
      <c r="J183" s="31"/>
      <c r="K183" s="59"/>
      <c r="L183" s="59"/>
    </row>
    <row r="184" spans="1:12" ht="14.25" customHeight="1" x14ac:dyDescent="0.2">
      <c r="A184" s="110"/>
      <c r="B184" s="114"/>
      <c r="C184" s="115" t="s">
        <v>387</v>
      </c>
      <c r="D184" s="115"/>
      <c r="E184" s="115"/>
      <c r="F184" s="115"/>
      <c r="G184" s="115"/>
      <c r="H184" s="31"/>
      <c r="I184" s="31"/>
      <c r="J184" s="31"/>
      <c r="K184" s="59"/>
      <c r="L184" s="59"/>
    </row>
    <row r="185" spans="1:12" ht="14.25" customHeight="1" x14ac:dyDescent="0.2">
      <c r="A185" s="110"/>
      <c r="B185" s="114"/>
      <c r="C185" s="26"/>
      <c r="D185" s="26"/>
      <c r="E185" s="26"/>
      <c r="F185" s="26"/>
      <c r="G185" s="26"/>
      <c r="H185" s="31"/>
      <c r="I185" s="31"/>
      <c r="J185" s="31"/>
      <c r="K185" s="59"/>
      <c r="L185" s="59"/>
    </row>
    <row r="186" spans="1:12" ht="14.25" customHeight="1" x14ac:dyDescent="0.2">
      <c r="A186" s="110"/>
      <c r="B186" s="111" t="s">
        <v>388</v>
      </c>
      <c r="C186" s="113" t="str">
        <f>IF(Source!AE12&lt;&gt;"", Source!AE12," ")</f>
        <v xml:space="preserve"> </v>
      </c>
      <c r="D186" s="43"/>
      <c r="E186" s="43"/>
      <c r="F186" s="43"/>
      <c r="G186" s="43"/>
      <c r="H186" s="112" t="str">
        <f>IF(Source!AD12&lt;&gt;"", Source!AD12," ")</f>
        <v xml:space="preserve"> </v>
      </c>
      <c r="I186" s="31"/>
      <c r="J186" s="31"/>
      <c r="K186" s="59"/>
      <c r="L186" s="59"/>
    </row>
    <row r="187" spans="1:12" ht="14.25" customHeight="1" x14ac:dyDescent="0.2">
      <c r="A187" s="26"/>
      <c r="B187" s="26"/>
      <c r="C187" s="115" t="s">
        <v>387</v>
      </c>
      <c r="D187" s="115"/>
      <c r="E187" s="115"/>
      <c r="F187" s="115"/>
      <c r="G187" s="115"/>
      <c r="H187" s="31"/>
      <c r="I187" s="31"/>
      <c r="J187" s="31"/>
      <c r="K187" s="59"/>
      <c r="L187" s="59"/>
    </row>
  </sheetData>
  <mergeCells count="143">
    <mergeCell ref="C175:F175"/>
    <mergeCell ref="C177:K177"/>
    <mergeCell ref="C178:K178"/>
    <mergeCell ref="C184:G184"/>
    <mergeCell ref="C187:G187"/>
    <mergeCell ref="C169:H169"/>
    <mergeCell ref="C170:H170"/>
    <mergeCell ref="C171:H171"/>
    <mergeCell ref="C172:H172"/>
    <mergeCell ref="C173:H173"/>
    <mergeCell ref="C174:F174"/>
    <mergeCell ref="C163:H163"/>
    <mergeCell ref="C164:H164"/>
    <mergeCell ref="C165:H165"/>
    <mergeCell ref="C166:H166"/>
    <mergeCell ref="C167:H167"/>
    <mergeCell ref="C168:H168"/>
    <mergeCell ref="C157:H157"/>
    <mergeCell ref="C158:H158"/>
    <mergeCell ref="C159:H159"/>
    <mergeCell ref="C160:H160"/>
    <mergeCell ref="C161:H161"/>
    <mergeCell ref="C162:H162"/>
    <mergeCell ref="C151:H151"/>
    <mergeCell ref="C152:H152"/>
    <mergeCell ref="C153:H153"/>
    <mergeCell ref="C154:H154"/>
    <mergeCell ref="C155:H155"/>
    <mergeCell ref="C156:H156"/>
    <mergeCell ref="C144:H144"/>
    <mergeCell ref="C145:H145"/>
    <mergeCell ref="C147:H147"/>
    <mergeCell ref="C148:H148"/>
    <mergeCell ref="C149:H149"/>
    <mergeCell ref="C150:H150"/>
    <mergeCell ref="C138:H138"/>
    <mergeCell ref="C139:H139"/>
    <mergeCell ref="C140:H140"/>
    <mergeCell ref="C141:H141"/>
    <mergeCell ref="C142:H142"/>
    <mergeCell ref="C143:H143"/>
    <mergeCell ref="C132:H132"/>
    <mergeCell ref="C133:H133"/>
    <mergeCell ref="C134:H134"/>
    <mergeCell ref="C135:H135"/>
    <mergeCell ref="C136:H136"/>
    <mergeCell ref="C137:H137"/>
    <mergeCell ref="C126:H126"/>
    <mergeCell ref="C127:H127"/>
    <mergeCell ref="C128:H128"/>
    <mergeCell ref="C129:H129"/>
    <mergeCell ref="C130:H130"/>
    <mergeCell ref="C131:H131"/>
    <mergeCell ref="C119:H119"/>
    <mergeCell ref="C121:H121"/>
    <mergeCell ref="C122:H122"/>
    <mergeCell ref="C123:H123"/>
    <mergeCell ref="C124:H124"/>
    <mergeCell ref="C125:H125"/>
    <mergeCell ref="C112:H112"/>
    <mergeCell ref="C113:H113"/>
    <mergeCell ref="C114:H114"/>
    <mergeCell ref="C116:H116"/>
    <mergeCell ref="C117:H117"/>
    <mergeCell ref="C118:H118"/>
    <mergeCell ref="C106:H106"/>
    <mergeCell ref="C107:H107"/>
    <mergeCell ref="C108:H108"/>
    <mergeCell ref="C109:H109"/>
    <mergeCell ref="C110:H110"/>
    <mergeCell ref="C111:H111"/>
    <mergeCell ref="C100:H100"/>
    <mergeCell ref="C101:H101"/>
    <mergeCell ref="C102:H102"/>
    <mergeCell ref="C103:H103"/>
    <mergeCell ref="C104:H104"/>
    <mergeCell ref="C105:H105"/>
    <mergeCell ref="C93:H93"/>
    <mergeCell ref="C94:H94"/>
    <mergeCell ref="C96:H96"/>
    <mergeCell ref="C97:H97"/>
    <mergeCell ref="C98:H98"/>
    <mergeCell ref="C99:H99"/>
    <mergeCell ref="C87:H87"/>
    <mergeCell ref="C88:H88"/>
    <mergeCell ref="C89:H89"/>
    <mergeCell ref="C90:H90"/>
    <mergeCell ref="C91:H91"/>
    <mergeCell ref="C92:H92"/>
    <mergeCell ref="C81:H81"/>
    <mergeCell ref="C82:H82"/>
    <mergeCell ref="C83:H83"/>
    <mergeCell ref="C84:H84"/>
    <mergeCell ref="C85:H85"/>
    <mergeCell ref="C86:H86"/>
    <mergeCell ref="C74:H74"/>
    <mergeCell ref="C76:H76"/>
    <mergeCell ref="C77:H77"/>
    <mergeCell ref="C78:H78"/>
    <mergeCell ref="C79:H79"/>
    <mergeCell ref="C80:H80"/>
    <mergeCell ref="C61:H61"/>
    <mergeCell ref="I61:J61"/>
    <mergeCell ref="K61:L61"/>
    <mergeCell ref="C72:H72"/>
    <mergeCell ref="I72:J72"/>
    <mergeCell ref="K72:L72"/>
    <mergeCell ref="A46:A50"/>
    <mergeCell ref="B46:B50"/>
    <mergeCell ref="C46:C50"/>
    <mergeCell ref="D46:D50"/>
    <mergeCell ref="E46:G49"/>
    <mergeCell ref="H46:L49"/>
    <mergeCell ref="C34:L34"/>
    <mergeCell ref="C38:D38"/>
    <mergeCell ref="C41:D41"/>
    <mergeCell ref="C42:D42"/>
    <mergeCell ref="C43:D43"/>
    <mergeCell ref="C44:D44"/>
    <mergeCell ref="A22:L22"/>
    <mergeCell ref="A23:L23"/>
    <mergeCell ref="A25:L25"/>
    <mergeCell ref="A27:L27"/>
    <mergeCell ref="A28:L28"/>
    <mergeCell ref="C33:L33"/>
    <mergeCell ref="A14:E14"/>
    <mergeCell ref="F14:L14"/>
    <mergeCell ref="A16:E16"/>
    <mergeCell ref="F16:L16"/>
    <mergeCell ref="A19:L19"/>
    <mergeCell ref="A20:L20"/>
    <mergeCell ref="A8:E8"/>
    <mergeCell ref="F8:L8"/>
    <mergeCell ref="A10:E10"/>
    <mergeCell ref="F10:L10"/>
    <mergeCell ref="A12:E12"/>
    <mergeCell ref="F12:L12"/>
    <mergeCell ref="A2:E2"/>
    <mergeCell ref="F2:L2"/>
    <mergeCell ref="A4:E4"/>
    <mergeCell ref="F4:L4"/>
    <mergeCell ref="A6:E6"/>
    <mergeCell ref="F6:L6"/>
  </mergeCells>
  <pageMargins left="0.4" right="0.2" top="0.2" bottom="0.4" header="0.2" footer="0.2"/>
  <pageSetup paperSize="9" scale="70" fitToHeight="0" orientation="landscape" horizontalDpi="0" verticalDpi="0" r:id="rId1"/>
  <headerFooter>
    <oddHeader>&amp;L&amp;8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97378-470F-40A9-9A4A-1BF2448E3A20}">
  <sheetPr>
    <pageSetUpPr fitToPage="1"/>
  </sheetPr>
  <dimension ref="A1:AF25"/>
  <sheetViews>
    <sheetView zoomScaleNormal="100" workbookViewId="0">
      <selection activeCell="B13" sqref="B13:H13"/>
    </sheetView>
  </sheetViews>
  <sheetFormatPr defaultRowHeight="12.75" x14ac:dyDescent="0.2"/>
  <cols>
    <col min="1" max="2" width="6.7109375" customWidth="1"/>
    <col min="3" max="3" width="75.7109375" customWidth="1"/>
    <col min="4" max="8" width="15.7109375" customWidth="1"/>
    <col min="30" max="30" width="0" hidden="1" customWidth="1"/>
    <col min="31" max="31" width="114.7109375" hidden="1" customWidth="1"/>
    <col min="32" max="32" width="165.7109375" hidden="1" customWidth="1"/>
  </cols>
  <sheetData>
    <row r="1" spans="1:31" x14ac:dyDescent="0.2">
      <c r="A1" s="13" t="str">
        <f>Source!B1</f>
        <v>Smeta.RU Flash  (495) 974-1589</v>
      </c>
    </row>
    <row r="2" spans="1:31" ht="14.25" x14ac:dyDescent="0.2">
      <c r="D2" s="64"/>
      <c r="E2" s="64"/>
    </row>
    <row r="3" spans="1:31" ht="15" x14ac:dyDescent="0.25">
      <c r="D3" s="64"/>
      <c r="E3" s="116" t="s">
        <v>389</v>
      </c>
    </row>
    <row r="4" spans="1:31" ht="15" x14ac:dyDescent="0.25">
      <c r="D4" s="116"/>
      <c r="E4" s="116"/>
    </row>
    <row r="5" spans="1:31" ht="15" x14ac:dyDescent="0.25">
      <c r="D5" s="117" t="s">
        <v>390</v>
      </c>
      <c r="E5" s="117"/>
    </row>
    <row r="6" spans="1:31" ht="15" x14ac:dyDescent="0.25">
      <c r="D6" s="118"/>
      <c r="E6" s="118"/>
    </row>
    <row r="7" spans="1:31" ht="15" x14ac:dyDescent="0.25">
      <c r="D7" s="117" t="s">
        <v>390</v>
      </c>
      <c r="E7" s="117"/>
    </row>
    <row r="8" spans="1:31" ht="15" x14ac:dyDescent="0.25">
      <c r="D8" s="118"/>
      <c r="E8" s="118"/>
    </row>
    <row r="9" spans="1:31" ht="15" x14ac:dyDescent="0.25">
      <c r="D9" s="116" t="s">
        <v>391</v>
      </c>
      <c r="E9" s="64"/>
    </row>
    <row r="10" spans="1:31" ht="14.25" x14ac:dyDescent="0.2">
      <c r="D10" s="64"/>
      <c r="E10" s="64"/>
    </row>
    <row r="12" spans="1:31" ht="15.75" x14ac:dyDescent="0.2">
      <c r="B12" s="119" t="str">
        <f>CONCATENATE("Ведомость объемов работ ", IF(Source!AN15&lt;&gt;"", Source!AN15," "))</f>
        <v xml:space="preserve">Ведомость объемов работ  </v>
      </c>
      <c r="C12" s="119"/>
      <c r="D12" s="119"/>
      <c r="E12" s="119"/>
    </row>
    <row r="13" spans="1:31" ht="30" customHeight="1" x14ac:dyDescent="0.2">
      <c r="B13" s="120" t="str">
        <f>Source!G12</f>
        <v>Замена оборудования пассажирского лифта № 59327 по адресу: г. Москва, Петроверигский пер., д.10, стр.3</v>
      </c>
      <c r="C13" s="120"/>
      <c r="D13" s="120"/>
      <c r="E13" s="120"/>
      <c r="F13" s="120"/>
      <c r="G13" s="120"/>
      <c r="H13" s="120"/>
      <c r="AE13" s="121" t="str">
        <f>Source!G12</f>
        <v>Замена оборудования пассажирского лифта № 59327 по адресу: г. Москва, Петроверигский пер., д.10, стр.3</v>
      </c>
    </row>
    <row r="14" spans="1:31" hidden="1" x14ac:dyDescent="0.2"/>
    <row r="16" spans="1:31" ht="99.75" x14ac:dyDescent="0.2">
      <c r="A16" s="123" t="s">
        <v>315</v>
      </c>
      <c r="B16" s="123" t="s">
        <v>392</v>
      </c>
      <c r="C16" s="123" t="s">
        <v>317</v>
      </c>
      <c r="D16" s="123" t="s">
        <v>318</v>
      </c>
      <c r="E16" s="123" t="s">
        <v>319</v>
      </c>
      <c r="F16" s="123" t="s">
        <v>393</v>
      </c>
      <c r="G16" s="123" t="s">
        <v>394</v>
      </c>
      <c r="H16" s="123" t="s">
        <v>395</v>
      </c>
    </row>
    <row r="17" spans="1:32" ht="14.25" x14ac:dyDescent="0.2">
      <c r="A17" s="123">
        <v>1</v>
      </c>
      <c r="B17" s="123">
        <v>2</v>
      </c>
      <c r="C17" s="123">
        <v>3</v>
      </c>
      <c r="D17" s="123">
        <v>4</v>
      </c>
      <c r="E17" s="123">
        <v>5</v>
      </c>
      <c r="F17" s="123">
        <v>6</v>
      </c>
      <c r="G17" s="123">
        <v>7</v>
      </c>
      <c r="H17" s="123">
        <v>8</v>
      </c>
    </row>
    <row r="18" spans="1:32" ht="16.5" x14ac:dyDescent="0.25">
      <c r="A18" s="125" t="s">
        <v>6</v>
      </c>
      <c r="B18" s="125"/>
      <c r="C18" s="125"/>
      <c r="D18" s="125"/>
      <c r="E18" s="125"/>
      <c r="F18" s="125"/>
      <c r="G18" s="125"/>
      <c r="H18" s="125"/>
      <c r="AF18" s="124" t="str">
        <f>CONCATENATE("Локальная смета: ", Source!G20)</f>
        <v>Локальная смета: Замена оборудования пассажирского лифта № 59327 по адресу: г. Москва, Петроверигский пер., д.10, стр.3</v>
      </c>
    </row>
    <row r="19" spans="1:32" ht="14.25" x14ac:dyDescent="0.2">
      <c r="A19" s="123">
        <v>1</v>
      </c>
      <c r="B19" s="123" t="str">
        <f>Source!E26</f>
        <v>1</v>
      </c>
      <c r="C19" s="128" t="str">
        <f>Source!G26</f>
        <v>Ремонт тормозного устройства лифтовой лебедки</v>
      </c>
      <c r="D19" s="123" t="s">
        <v>18</v>
      </c>
      <c r="E19" s="129">
        <f>Source!I26</f>
        <v>1</v>
      </c>
      <c r="F19" s="123" t="str">
        <f>Source!J20</f>
        <v/>
      </c>
      <c r="G19" s="123">
        <f>Source!I26</f>
        <v>1</v>
      </c>
      <c r="H19" s="128"/>
    </row>
    <row r="20" spans="1:32" ht="28.5" x14ac:dyDescent="0.2">
      <c r="A20" s="122">
        <v>2</v>
      </c>
      <c r="B20" s="122" t="str">
        <f>Source!E43</f>
        <v>2</v>
      </c>
      <c r="C20" s="126" t="str">
        <f>Source!G43</f>
        <v>Замена контактора или магнитного пускателя станции (шкафа) управления, количество лифтов в подъезде: 2, одиночная работа</v>
      </c>
      <c r="D20" s="122" t="s">
        <v>18</v>
      </c>
      <c r="E20" s="127">
        <f>Source!I43</f>
        <v>7</v>
      </c>
      <c r="F20" s="122" t="str">
        <f>Source!J20</f>
        <v/>
      </c>
      <c r="G20" s="122">
        <f>Source!I43</f>
        <v>7</v>
      </c>
      <c r="H20" s="126"/>
    </row>
    <row r="23" spans="1:32" ht="15" x14ac:dyDescent="0.25">
      <c r="C23" s="130"/>
      <c r="D23" s="130" t="str">
        <f>IF(Source!X12&lt;&gt;"", Source!X12," ")</f>
        <v xml:space="preserve"> </v>
      </c>
      <c r="E23" s="131"/>
    </row>
    <row r="24" spans="1:32" ht="15" x14ac:dyDescent="0.25">
      <c r="C24" s="64"/>
      <c r="D24" s="131"/>
      <c r="E24" s="131"/>
    </row>
    <row r="25" spans="1:32" ht="15" x14ac:dyDescent="0.25">
      <c r="C25" s="132"/>
      <c r="D25" s="132" t="str">
        <f>IF(Source!AB12&lt;&gt;"", Source!AB12," ")</f>
        <v xml:space="preserve"> </v>
      </c>
      <c r="E25" s="131"/>
    </row>
  </sheetData>
  <mergeCells count="5">
    <mergeCell ref="D5:E5"/>
    <mergeCell ref="D7:E7"/>
    <mergeCell ref="B12:E12"/>
    <mergeCell ref="A18:H18"/>
    <mergeCell ref="B13:H13"/>
  </mergeCells>
  <pageMargins left="0.4" right="0.2" top="0.2" bottom="0.4" header="0.2" footer="0.2"/>
  <pageSetup paperSize="9" scale="59" fitToHeight="0" orientation="portrait" horizontalDpi="0" verticalDpi="0" r:id="rId1"/>
  <headerFooter>
    <oddHeader>&amp;L&amp;8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149"/>
  <sheetViews>
    <sheetView workbookViewId="0">
      <selection activeCell="A145" sqref="A145:AX145"/>
    </sheetView>
  </sheetViews>
  <sheetFormatPr defaultColWidth="9.140625" defaultRowHeight="12.75" x14ac:dyDescent="0.2"/>
  <cols>
    <col min="1" max="256" width="9.140625" customWidth="1"/>
  </cols>
  <sheetData>
    <row r="1" spans="1:133" x14ac:dyDescent="0.2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74933</v>
      </c>
      <c r="M1">
        <v>10</v>
      </c>
      <c r="N1">
        <v>12</v>
      </c>
      <c r="O1">
        <v>1</v>
      </c>
      <c r="P1">
        <v>0</v>
      </c>
      <c r="Q1">
        <v>2</v>
      </c>
    </row>
    <row r="4" spans="1:133" x14ac:dyDescent="0.2">
      <c r="A4" s="1">
        <v>1</v>
      </c>
      <c r="B4" s="1">
        <v>1</v>
      </c>
      <c r="C4" s="1">
        <v>-1</v>
      </c>
      <c r="D4" s="1"/>
      <c r="E4" s="1"/>
      <c r="F4" s="1"/>
      <c r="G4" s="1" t="s">
        <v>4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>
        <v>0</v>
      </c>
    </row>
    <row r="12" spans="1:133" x14ac:dyDescent="0.2">
      <c r="A12" s="1">
        <v>1</v>
      </c>
      <c r="B12" s="1">
        <v>143</v>
      </c>
      <c r="C12" s="1">
        <v>0</v>
      </c>
      <c r="D12" s="1">
        <f>ROW(A84)</f>
        <v>84</v>
      </c>
      <c r="E12" s="1">
        <v>0</v>
      </c>
      <c r="F12" s="1" t="s">
        <v>5</v>
      </c>
      <c r="G12" s="1" t="s">
        <v>6</v>
      </c>
      <c r="H12" s="1" t="s">
        <v>3</v>
      </c>
      <c r="I12" s="1">
        <v>0</v>
      </c>
      <c r="J12" s="1" t="s">
        <v>3</v>
      </c>
      <c r="K12" s="1">
        <v>0</v>
      </c>
      <c r="L12" s="1">
        <v>0</v>
      </c>
      <c r="M12" s="1">
        <v>523</v>
      </c>
      <c r="N12" s="1"/>
      <c r="O12" s="1">
        <v>0</v>
      </c>
      <c r="P12" s="1">
        <v>0</v>
      </c>
      <c r="Q12" s="1">
        <v>7</v>
      </c>
      <c r="R12" s="1">
        <v>0</v>
      </c>
      <c r="S12" s="1"/>
      <c r="T12" s="1">
        <v>4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7</v>
      </c>
      <c r="BI12" s="1" t="s">
        <v>8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9</v>
      </c>
      <c r="BZ12" s="1" t="s">
        <v>10</v>
      </c>
      <c r="CA12" s="1" t="s">
        <v>11</v>
      </c>
      <c r="CB12" s="1" t="s">
        <v>11</v>
      </c>
      <c r="CC12" s="1" t="s">
        <v>11</v>
      </c>
      <c r="CD12" s="1" t="s">
        <v>11</v>
      </c>
      <c r="CE12" s="1" t="s">
        <v>12</v>
      </c>
      <c r="CF12" s="1">
        <v>0</v>
      </c>
      <c r="CG12" s="1">
        <v>0</v>
      </c>
      <c r="CH12" s="1">
        <v>487096328</v>
      </c>
      <c r="CI12" s="1" t="s">
        <v>3</v>
      </c>
      <c r="CJ12" s="1" t="s">
        <v>3</v>
      </c>
      <c r="CK12" s="1">
        <v>18</v>
      </c>
      <c r="CL12" s="1"/>
      <c r="CM12" s="1"/>
      <c r="CN12" s="1"/>
      <c r="CO12" s="1"/>
      <c r="CP12" s="1"/>
      <c r="CQ12" s="1" t="s">
        <v>13</v>
      </c>
      <c r="CR12" s="1" t="s">
        <v>14</v>
      </c>
      <c r="CS12" s="1">
        <v>46161</v>
      </c>
      <c r="CT12" s="1">
        <v>567</v>
      </c>
      <c r="CU12" s="1">
        <v>18</v>
      </c>
      <c r="CV12" s="1" t="s">
        <v>288</v>
      </c>
      <c r="CW12" s="1"/>
      <c r="CX12" s="1"/>
      <c r="CY12" s="1">
        <v>0</v>
      </c>
      <c r="CZ12" s="1" t="s">
        <v>3</v>
      </c>
      <c r="DA12" s="1" t="s">
        <v>3</v>
      </c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5" spans="1:133" x14ac:dyDescent="0.2">
      <c r="A15" s="1">
        <v>15</v>
      </c>
      <c r="B15" s="1">
        <v>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</row>
    <row r="18" spans="1:255" x14ac:dyDescent="0.2">
      <c r="A18" s="3">
        <v>52</v>
      </c>
      <c r="B18" s="3">
        <f t="shared" ref="B18:G18" si="0">B84</f>
        <v>143</v>
      </c>
      <c r="C18" s="3">
        <f t="shared" si="0"/>
        <v>1</v>
      </c>
      <c r="D18" s="3">
        <f t="shared" si="0"/>
        <v>12</v>
      </c>
      <c r="E18" s="3">
        <f t="shared" si="0"/>
        <v>0</v>
      </c>
      <c r="F18" s="3" t="str">
        <f t="shared" si="0"/>
        <v>Новый объект</v>
      </c>
      <c r="G18" s="3" t="str">
        <f t="shared" si="0"/>
        <v>Замена оборудования пассажирского лифта № 59327 по адресу: г. Москва, Петроверигский пер., д.10, стр.3</v>
      </c>
      <c r="H18" s="3"/>
      <c r="I18" s="3"/>
      <c r="J18" s="3"/>
      <c r="K18" s="3"/>
      <c r="L18" s="3"/>
      <c r="M18" s="3"/>
      <c r="N18" s="3"/>
      <c r="O18" s="3">
        <f t="shared" ref="O18:AT18" si="1">O84</f>
        <v>116939.07</v>
      </c>
      <c r="P18" s="3">
        <f t="shared" si="1"/>
        <v>69517.899999999994</v>
      </c>
      <c r="Q18" s="3">
        <f t="shared" si="1"/>
        <v>0</v>
      </c>
      <c r="R18" s="3">
        <f t="shared" si="1"/>
        <v>0</v>
      </c>
      <c r="S18" s="3">
        <f t="shared" si="1"/>
        <v>47421.17</v>
      </c>
      <c r="T18" s="3">
        <f t="shared" si="1"/>
        <v>0</v>
      </c>
      <c r="U18" s="3">
        <f t="shared" si="1"/>
        <v>67.42</v>
      </c>
      <c r="V18" s="3">
        <f t="shared" si="1"/>
        <v>0</v>
      </c>
      <c r="W18" s="3">
        <f t="shared" si="1"/>
        <v>0</v>
      </c>
      <c r="X18" s="3">
        <f t="shared" si="1"/>
        <v>42204.84</v>
      </c>
      <c r="Y18" s="3">
        <f t="shared" si="1"/>
        <v>20865.310000000001</v>
      </c>
      <c r="Z18" s="3">
        <f t="shared" si="1"/>
        <v>0</v>
      </c>
      <c r="AA18" s="3">
        <f t="shared" si="1"/>
        <v>0</v>
      </c>
      <c r="AB18" s="3">
        <f t="shared" si="1"/>
        <v>0</v>
      </c>
      <c r="AC18" s="3">
        <f t="shared" si="1"/>
        <v>0</v>
      </c>
      <c r="AD18" s="3">
        <f t="shared" si="1"/>
        <v>0</v>
      </c>
      <c r="AE18" s="3">
        <f t="shared" si="1"/>
        <v>0</v>
      </c>
      <c r="AF18" s="3">
        <f t="shared" si="1"/>
        <v>0</v>
      </c>
      <c r="AG18" s="3">
        <f t="shared" si="1"/>
        <v>0</v>
      </c>
      <c r="AH18" s="3">
        <f t="shared" si="1"/>
        <v>0</v>
      </c>
      <c r="AI18" s="3">
        <f t="shared" si="1"/>
        <v>0</v>
      </c>
      <c r="AJ18" s="3">
        <f t="shared" si="1"/>
        <v>0</v>
      </c>
      <c r="AK18" s="3">
        <f t="shared" si="1"/>
        <v>0</v>
      </c>
      <c r="AL18" s="3">
        <f t="shared" si="1"/>
        <v>0</v>
      </c>
      <c r="AM18" s="3">
        <f t="shared" si="1"/>
        <v>0</v>
      </c>
      <c r="AN18" s="3">
        <f t="shared" si="1"/>
        <v>0</v>
      </c>
      <c r="AO18" s="3">
        <f t="shared" si="1"/>
        <v>0</v>
      </c>
      <c r="AP18" s="3">
        <f t="shared" si="1"/>
        <v>68095.259999999995</v>
      </c>
      <c r="AQ18" s="3">
        <f t="shared" si="1"/>
        <v>0</v>
      </c>
      <c r="AR18" s="3">
        <f t="shared" si="1"/>
        <v>180009.22</v>
      </c>
      <c r="AS18" s="3">
        <f t="shared" si="1"/>
        <v>0</v>
      </c>
      <c r="AT18" s="3">
        <f t="shared" si="1"/>
        <v>111913.96</v>
      </c>
      <c r="AU18" s="3">
        <f t="shared" ref="AU18:BZ18" si="2">AU84</f>
        <v>0</v>
      </c>
      <c r="AV18" s="3">
        <f t="shared" si="2"/>
        <v>69517.899999999994</v>
      </c>
      <c r="AW18" s="3">
        <f t="shared" si="2"/>
        <v>1422.64</v>
      </c>
      <c r="AX18" s="3">
        <f t="shared" si="2"/>
        <v>0</v>
      </c>
      <c r="AY18" s="3">
        <f t="shared" si="2"/>
        <v>1422.64</v>
      </c>
      <c r="AZ18" s="3">
        <f t="shared" si="2"/>
        <v>68095.259999999995</v>
      </c>
      <c r="BA18" s="3">
        <f t="shared" si="2"/>
        <v>0</v>
      </c>
      <c r="BB18" s="3">
        <f t="shared" si="2"/>
        <v>0</v>
      </c>
      <c r="BC18" s="3">
        <f t="shared" si="2"/>
        <v>0</v>
      </c>
      <c r="BD18" s="3">
        <f t="shared" si="2"/>
        <v>0</v>
      </c>
      <c r="BE18" s="3">
        <f t="shared" si="2"/>
        <v>0</v>
      </c>
      <c r="BF18" s="3">
        <f t="shared" si="2"/>
        <v>0</v>
      </c>
      <c r="BG18" s="3">
        <f t="shared" si="2"/>
        <v>0</v>
      </c>
      <c r="BH18" s="3">
        <f t="shared" si="2"/>
        <v>0</v>
      </c>
      <c r="BI18" s="3">
        <f t="shared" si="2"/>
        <v>0</v>
      </c>
      <c r="BJ18" s="3">
        <f t="shared" si="2"/>
        <v>0</v>
      </c>
      <c r="BK18" s="3">
        <f t="shared" si="2"/>
        <v>0</v>
      </c>
      <c r="BL18" s="3">
        <f t="shared" si="2"/>
        <v>0</v>
      </c>
      <c r="BM18" s="3">
        <f t="shared" si="2"/>
        <v>0</v>
      </c>
      <c r="BN18" s="3">
        <f t="shared" si="2"/>
        <v>0</v>
      </c>
      <c r="BO18" s="3">
        <f t="shared" si="2"/>
        <v>0</v>
      </c>
      <c r="BP18" s="3">
        <f t="shared" si="2"/>
        <v>0</v>
      </c>
      <c r="BQ18" s="3">
        <f t="shared" si="2"/>
        <v>0</v>
      </c>
      <c r="BR18" s="3">
        <f t="shared" si="2"/>
        <v>0</v>
      </c>
      <c r="BS18" s="3">
        <f t="shared" si="2"/>
        <v>0</v>
      </c>
      <c r="BT18" s="3">
        <f t="shared" si="2"/>
        <v>0</v>
      </c>
      <c r="BU18" s="3">
        <f t="shared" si="2"/>
        <v>0</v>
      </c>
      <c r="BV18" s="3">
        <f t="shared" si="2"/>
        <v>0</v>
      </c>
      <c r="BW18" s="3">
        <f t="shared" si="2"/>
        <v>0</v>
      </c>
      <c r="BX18" s="3">
        <f t="shared" si="2"/>
        <v>0</v>
      </c>
      <c r="BY18" s="3">
        <f t="shared" si="2"/>
        <v>0</v>
      </c>
      <c r="BZ18" s="3">
        <f t="shared" si="2"/>
        <v>0</v>
      </c>
      <c r="CA18" s="3">
        <f t="shared" ref="CA18:DF18" si="3">CA84</f>
        <v>0</v>
      </c>
      <c r="CB18" s="3">
        <f t="shared" si="3"/>
        <v>0</v>
      </c>
      <c r="CC18" s="3">
        <f t="shared" si="3"/>
        <v>0</v>
      </c>
      <c r="CD18" s="3">
        <f t="shared" si="3"/>
        <v>0</v>
      </c>
      <c r="CE18" s="3">
        <f t="shared" si="3"/>
        <v>0</v>
      </c>
      <c r="CF18" s="3">
        <f t="shared" si="3"/>
        <v>0</v>
      </c>
      <c r="CG18" s="3">
        <f t="shared" si="3"/>
        <v>0</v>
      </c>
      <c r="CH18" s="3">
        <f t="shared" si="3"/>
        <v>0</v>
      </c>
      <c r="CI18" s="3">
        <f t="shared" si="3"/>
        <v>0</v>
      </c>
      <c r="CJ18" s="3">
        <f t="shared" si="3"/>
        <v>0</v>
      </c>
      <c r="CK18" s="3">
        <f t="shared" si="3"/>
        <v>0</v>
      </c>
      <c r="CL18" s="3">
        <f t="shared" si="3"/>
        <v>0</v>
      </c>
      <c r="CM18" s="3">
        <f t="shared" si="3"/>
        <v>0</v>
      </c>
      <c r="CN18" s="3">
        <f t="shared" si="3"/>
        <v>0</v>
      </c>
      <c r="CO18" s="3">
        <f t="shared" si="3"/>
        <v>0</v>
      </c>
      <c r="CP18" s="3">
        <f t="shared" si="3"/>
        <v>0</v>
      </c>
      <c r="CQ18" s="3">
        <f t="shared" si="3"/>
        <v>0</v>
      </c>
      <c r="CR18" s="3">
        <f t="shared" si="3"/>
        <v>0</v>
      </c>
      <c r="CS18" s="3">
        <f t="shared" si="3"/>
        <v>0</v>
      </c>
      <c r="CT18" s="3">
        <f t="shared" si="3"/>
        <v>0</v>
      </c>
      <c r="CU18" s="3">
        <f t="shared" si="3"/>
        <v>0</v>
      </c>
      <c r="CV18" s="3">
        <f t="shared" si="3"/>
        <v>0</v>
      </c>
      <c r="CW18" s="3">
        <f t="shared" si="3"/>
        <v>0</v>
      </c>
      <c r="CX18" s="3">
        <f t="shared" si="3"/>
        <v>0</v>
      </c>
      <c r="CY18" s="3">
        <f t="shared" si="3"/>
        <v>0</v>
      </c>
      <c r="CZ18" s="3">
        <f t="shared" si="3"/>
        <v>0</v>
      </c>
      <c r="DA18" s="3">
        <f t="shared" si="3"/>
        <v>0</v>
      </c>
      <c r="DB18" s="3">
        <f t="shared" si="3"/>
        <v>0</v>
      </c>
      <c r="DC18" s="3">
        <f t="shared" si="3"/>
        <v>0</v>
      </c>
      <c r="DD18" s="3">
        <f t="shared" si="3"/>
        <v>0</v>
      </c>
      <c r="DE18" s="3">
        <f t="shared" si="3"/>
        <v>0</v>
      </c>
      <c r="DF18" s="3">
        <f t="shared" si="3"/>
        <v>0</v>
      </c>
      <c r="DG18" s="4">
        <f t="shared" ref="DG18:EL18" si="4">DG84</f>
        <v>0</v>
      </c>
      <c r="DH18" s="4">
        <f t="shared" si="4"/>
        <v>0</v>
      </c>
      <c r="DI18" s="4">
        <f t="shared" si="4"/>
        <v>0</v>
      </c>
      <c r="DJ18" s="4">
        <f t="shared" si="4"/>
        <v>0</v>
      </c>
      <c r="DK18" s="4">
        <f t="shared" si="4"/>
        <v>0</v>
      </c>
      <c r="DL18" s="4">
        <f t="shared" si="4"/>
        <v>0</v>
      </c>
      <c r="DM18" s="4">
        <f t="shared" si="4"/>
        <v>0</v>
      </c>
      <c r="DN18" s="4">
        <f t="shared" si="4"/>
        <v>0</v>
      </c>
      <c r="DO18" s="4">
        <f t="shared" si="4"/>
        <v>0</v>
      </c>
      <c r="DP18" s="4">
        <f t="shared" si="4"/>
        <v>0</v>
      </c>
      <c r="DQ18" s="4">
        <f t="shared" si="4"/>
        <v>0</v>
      </c>
      <c r="DR18" s="4">
        <f t="shared" si="4"/>
        <v>0</v>
      </c>
      <c r="DS18" s="4">
        <f t="shared" si="4"/>
        <v>0</v>
      </c>
      <c r="DT18" s="4">
        <f t="shared" si="4"/>
        <v>0</v>
      </c>
      <c r="DU18" s="4">
        <f t="shared" si="4"/>
        <v>0</v>
      </c>
      <c r="DV18" s="4">
        <f t="shared" si="4"/>
        <v>0</v>
      </c>
      <c r="DW18" s="4">
        <f t="shared" si="4"/>
        <v>0</v>
      </c>
      <c r="DX18" s="4">
        <f t="shared" si="4"/>
        <v>0</v>
      </c>
      <c r="DY18" s="4">
        <f t="shared" si="4"/>
        <v>0</v>
      </c>
      <c r="DZ18" s="4">
        <f t="shared" si="4"/>
        <v>0</v>
      </c>
      <c r="EA18" s="4">
        <f t="shared" si="4"/>
        <v>0</v>
      </c>
      <c r="EB18" s="4">
        <f t="shared" si="4"/>
        <v>0</v>
      </c>
      <c r="EC18" s="4">
        <f t="shared" si="4"/>
        <v>0</v>
      </c>
      <c r="ED18" s="4">
        <f t="shared" si="4"/>
        <v>0</v>
      </c>
      <c r="EE18" s="4">
        <f t="shared" si="4"/>
        <v>0</v>
      </c>
      <c r="EF18" s="4">
        <f t="shared" si="4"/>
        <v>0</v>
      </c>
      <c r="EG18" s="4">
        <f t="shared" si="4"/>
        <v>0</v>
      </c>
      <c r="EH18" s="4">
        <f t="shared" si="4"/>
        <v>0</v>
      </c>
      <c r="EI18" s="4">
        <f t="shared" si="4"/>
        <v>0</v>
      </c>
      <c r="EJ18" s="4">
        <f t="shared" si="4"/>
        <v>0</v>
      </c>
      <c r="EK18" s="4">
        <f t="shared" si="4"/>
        <v>0</v>
      </c>
      <c r="EL18" s="4">
        <f t="shared" si="4"/>
        <v>0</v>
      </c>
      <c r="EM18" s="4">
        <f t="shared" ref="EM18:FR18" si="5">EM84</f>
        <v>0</v>
      </c>
      <c r="EN18" s="4">
        <f t="shared" si="5"/>
        <v>0</v>
      </c>
      <c r="EO18" s="4">
        <f t="shared" si="5"/>
        <v>0</v>
      </c>
      <c r="EP18" s="4">
        <f t="shared" si="5"/>
        <v>0</v>
      </c>
      <c r="EQ18" s="4">
        <f t="shared" si="5"/>
        <v>0</v>
      </c>
      <c r="ER18" s="4">
        <f t="shared" si="5"/>
        <v>0</v>
      </c>
      <c r="ES18" s="4">
        <f t="shared" si="5"/>
        <v>0</v>
      </c>
      <c r="ET18" s="4">
        <f t="shared" si="5"/>
        <v>0</v>
      </c>
      <c r="EU18" s="4">
        <f t="shared" si="5"/>
        <v>0</v>
      </c>
      <c r="EV18" s="4">
        <f t="shared" si="5"/>
        <v>0</v>
      </c>
      <c r="EW18" s="4">
        <f t="shared" si="5"/>
        <v>0</v>
      </c>
      <c r="EX18" s="4">
        <f t="shared" si="5"/>
        <v>0</v>
      </c>
      <c r="EY18" s="4">
        <f t="shared" si="5"/>
        <v>0</v>
      </c>
      <c r="EZ18" s="4">
        <f t="shared" si="5"/>
        <v>0</v>
      </c>
      <c r="FA18" s="4">
        <f t="shared" si="5"/>
        <v>0</v>
      </c>
      <c r="FB18" s="4">
        <f t="shared" si="5"/>
        <v>0</v>
      </c>
      <c r="FC18" s="4">
        <f t="shared" si="5"/>
        <v>0</v>
      </c>
      <c r="FD18" s="4">
        <f t="shared" si="5"/>
        <v>0</v>
      </c>
      <c r="FE18" s="4">
        <f t="shared" si="5"/>
        <v>0</v>
      </c>
      <c r="FF18" s="4">
        <f t="shared" si="5"/>
        <v>0</v>
      </c>
      <c r="FG18" s="4">
        <f t="shared" si="5"/>
        <v>0</v>
      </c>
      <c r="FH18" s="4">
        <f t="shared" si="5"/>
        <v>0</v>
      </c>
      <c r="FI18" s="4">
        <f t="shared" si="5"/>
        <v>0</v>
      </c>
      <c r="FJ18" s="4">
        <f t="shared" si="5"/>
        <v>0</v>
      </c>
      <c r="FK18" s="4">
        <f t="shared" si="5"/>
        <v>0</v>
      </c>
      <c r="FL18" s="4">
        <f t="shared" si="5"/>
        <v>0</v>
      </c>
      <c r="FM18" s="4">
        <f t="shared" si="5"/>
        <v>0</v>
      </c>
      <c r="FN18" s="4">
        <f t="shared" si="5"/>
        <v>0</v>
      </c>
      <c r="FO18" s="4">
        <f t="shared" si="5"/>
        <v>0</v>
      </c>
      <c r="FP18" s="4">
        <f t="shared" si="5"/>
        <v>0</v>
      </c>
      <c r="FQ18" s="4">
        <f t="shared" si="5"/>
        <v>0</v>
      </c>
      <c r="FR18" s="4">
        <f t="shared" si="5"/>
        <v>0</v>
      </c>
      <c r="FS18" s="4">
        <f t="shared" ref="FS18:GX18" si="6">FS84</f>
        <v>0</v>
      </c>
      <c r="FT18" s="4">
        <f t="shared" si="6"/>
        <v>0</v>
      </c>
      <c r="FU18" s="4">
        <f t="shared" si="6"/>
        <v>0</v>
      </c>
      <c r="FV18" s="4">
        <f t="shared" si="6"/>
        <v>0</v>
      </c>
      <c r="FW18" s="4">
        <f t="shared" si="6"/>
        <v>0</v>
      </c>
      <c r="FX18" s="4">
        <f t="shared" si="6"/>
        <v>0</v>
      </c>
      <c r="FY18" s="4">
        <f t="shared" si="6"/>
        <v>0</v>
      </c>
      <c r="FZ18" s="4">
        <f t="shared" si="6"/>
        <v>0</v>
      </c>
      <c r="GA18" s="4">
        <f t="shared" si="6"/>
        <v>0</v>
      </c>
      <c r="GB18" s="4">
        <f t="shared" si="6"/>
        <v>0</v>
      </c>
      <c r="GC18" s="4">
        <f t="shared" si="6"/>
        <v>0</v>
      </c>
      <c r="GD18" s="4">
        <f t="shared" si="6"/>
        <v>0</v>
      </c>
      <c r="GE18" s="4">
        <f t="shared" si="6"/>
        <v>0</v>
      </c>
      <c r="GF18" s="4">
        <f t="shared" si="6"/>
        <v>0</v>
      </c>
      <c r="GG18" s="4">
        <f t="shared" si="6"/>
        <v>0</v>
      </c>
      <c r="GH18" s="4">
        <f t="shared" si="6"/>
        <v>0</v>
      </c>
      <c r="GI18" s="4">
        <f t="shared" si="6"/>
        <v>0</v>
      </c>
      <c r="GJ18" s="4">
        <f t="shared" si="6"/>
        <v>0</v>
      </c>
      <c r="GK18" s="4">
        <f t="shared" si="6"/>
        <v>0</v>
      </c>
      <c r="GL18" s="4">
        <f t="shared" si="6"/>
        <v>0</v>
      </c>
      <c r="GM18" s="4">
        <f t="shared" si="6"/>
        <v>0</v>
      </c>
      <c r="GN18" s="4">
        <f t="shared" si="6"/>
        <v>0</v>
      </c>
      <c r="GO18" s="4">
        <f t="shared" si="6"/>
        <v>0</v>
      </c>
      <c r="GP18" s="4">
        <f t="shared" si="6"/>
        <v>0</v>
      </c>
      <c r="GQ18" s="4">
        <f t="shared" si="6"/>
        <v>0</v>
      </c>
      <c r="GR18" s="4">
        <f t="shared" si="6"/>
        <v>0</v>
      </c>
      <c r="GS18" s="4">
        <f t="shared" si="6"/>
        <v>0</v>
      </c>
      <c r="GT18" s="4">
        <f t="shared" si="6"/>
        <v>0</v>
      </c>
      <c r="GU18" s="4">
        <f t="shared" si="6"/>
        <v>0</v>
      </c>
      <c r="GV18" s="4">
        <f t="shared" si="6"/>
        <v>0</v>
      </c>
      <c r="GW18" s="4">
        <f t="shared" si="6"/>
        <v>0</v>
      </c>
      <c r="GX18" s="4">
        <f t="shared" si="6"/>
        <v>0</v>
      </c>
    </row>
    <row r="20" spans="1:255" x14ac:dyDescent="0.2">
      <c r="A20" s="1">
        <v>3</v>
      </c>
      <c r="B20" s="1">
        <v>1</v>
      </c>
      <c r="C20" s="1"/>
      <c r="D20" s="1">
        <f>ROW(A52)</f>
        <v>52</v>
      </c>
      <c r="E20" s="1"/>
      <c r="F20" s="1" t="s">
        <v>15</v>
      </c>
      <c r="G20" s="1" t="s">
        <v>6</v>
      </c>
      <c r="H20" s="1" t="s">
        <v>3</v>
      </c>
      <c r="I20" s="1">
        <v>0</v>
      </c>
      <c r="J20" s="1" t="s">
        <v>3</v>
      </c>
      <c r="K20" s="1">
        <v>-1</v>
      </c>
      <c r="L20" s="1" t="s">
        <v>15</v>
      </c>
      <c r="M20" s="1" t="s">
        <v>3</v>
      </c>
      <c r="N20" s="1"/>
      <c r="O20" s="1"/>
      <c r="P20" s="1"/>
      <c r="Q20" s="1"/>
      <c r="R20" s="1"/>
      <c r="S20" s="1">
        <v>0</v>
      </c>
      <c r="T20" s="1"/>
      <c r="U20" s="1" t="s">
        <v>3</v>
      </c>
      <c r="V20" s="1">
        <v>0</v>
      </c>
      <c r="W20" s="1"/>
      <c r="X20" s="1"/>
      <c r="Y20" s="1"/>
      <c r="Z20" s="1"/>
      <c r="AA20" s="1"/>
      <c r="AB20" s="1" t="s">
        <v>3</v>
      </c>
      <c r="AC20" s="1" t="s">
        <v>3</v>
      </c>
      <c r="AD20" s="1" t="s">
        <v>3</v>
      </c>
      <c r="AE20" s="1" t="s">
        <v>3</v>
      </c>
      <c r="AF20" s="1" t="s">
        <v>3</v>
      </c>
      <c r="AG20" s="1" t="s">
        <v>3</v>
      </c>
      <c r="AH20" s="1"/>
      <c r="AI20" s="1"/>
      <c r="AJ20" s="1"/>
      <c r="AK20" s="1"/>
      <c r="AL20" s="1"/>
      <c r="AM20" s="1"/>
      <c r="AN20" s="1"/>
      <c r="AO20" s="1"/>
      <c r="AP20" s="1" t="s">
        <v>3</v>
      </c>
      <c r="AQ20" s="1" t="s">
        <v>3</v>
      </c>
      <c r="AR20" s="1" t="s">
        <v>3</v>
      </c>
      <c r="AS20" s="1"/>
      <c r="AT20" s="1"/>
      <c r="AU20" s="1"/>
      <c r="AV20" s="1"/>
      <c r="AW20" s="1"/>
      <c r="AX20" s="1"/>
      <c r="AY20" s="1"/>
      <c r="AZ20" s="1" t="s">
        <v>3</v>
      </c>
      <c r="BA20" s="1"/>
      <c r="BB20" s="1" t="s">
        <v>3</v>
      </c>
      <c r="BC20" s="1" t="s">
        <v>3</v>
      </c>
      <c r="BD20" s="1" t="s">
        <v>3</v>
      </c>
      <c r="BE20" s="1" t="s">
        <v>3</v>
      </c>
      <c r="BF20" s="1" t="s">
        <v>3</v>
      </c>
      <c r="BG20" s="1" t="s">
        <v>3</v>
      </c>
      <c r="BH20" s="1" t="s">
        <v>3</v>
      </c>
      <c r="BI20" s="1" t="s">
        <v>3</v>
      </c>
      <c r="BJ20" s="1" t="s">
        <v>3</v>
      </c>
      <c r="BK20" s="1" t="s">
        <v>3</v>
      </c>
      <c r="BL20" s="1" t="s">
        <v>3</v>
      </c>
      <c r="BM20" s="1" t="s">
        <v>3</v>
      </c>
      <c r="BN20" s="1" t="s">
        <v>3</v>
      </c>
      <c r="BO20" s="1" t="s">
        <v>3</v>
      </c>
      <c r="BP20" s="1" t="s">
        <v>3</v>
      </c>
      <c r="BQ20" s="1"/>
      <c r="BR20" s="1"/>
      <c r="BS20" s="1"/>
      <c r="BT20" s="1"/>
      <c r="BU20" s="1"/>
      <c r="BV20" s="1"/>
      <c r="BW20" s="1"/>
      <c r="BX20" s="1">
        <v>0</v>
      </c>
      <c r="BY20" s="1"/>
      <c r="BZ20" s="1"/>
      <c r="CA20" s="1"/>
      <c r="CB20" s="1"/>
      <c r="CC20" s="1"/>
      <c r="CD20" s="1"/>
      <c r="CE20" s="1"/>
      <c r="CF20" s="1">
        <v>0</v>
      </c>
      <c r="CG20" s="1">
        <v>0</v>
      </c>
      <c r="CH20" s="1"/>
      <c r="CI20" s="1" t="s">
        <v>3</v>
      </c>
      <c r="CJ20" s="1" t="s">
        <v>3</v>
      </c>
      <c r="CK20" t="s">
        <v>3</v>
      </c>
      <c r="CL20" t="s">
        <v>3</v>
      </c>
      <c r="CM20" t="s">
        <v>3</v>
      </c>
      <c r="CN20" t="s">
        <v>3</v>
      </c>
      <c r="CO20" t="s">
        <v>3</v>
      </c>
      <c r="CP20" t="s">
        <v>3</v>
      </c>
      <c r="CQ20" t="s">
        <v>3</v>
      </c>
    </row>
    <row r="22" spans="1:255" x14ac:dyDescent="0.2">
      <c r="A22" s="3">
        <v>52</v>
      </c>
      <c r="B22" s="3">
        <f t="shared" ref="B22:G22" si="7">B52</f>
        <v>1</v>
      </c>
      <c r="C22" s="3">
        <f t="shared" si="7"/>
        <v>3</v>
      </c>
      <c r="D22" s="3">
        <f t="shared" si="7"/>
        <v>20</v>
      </c>
      <c r="E22" s="3">
        <f t="shared" si="7"/>
        <v>0</v>
      </c>
      <c r="F22" s="3" t="str">
        <f t="shared" si="7"/>
        <v>Новая локальная смета</v>
      </c>
      <c r="G22" s="3" t="str">
        <f t="shared" si="7"/>
        <v>Замена оборудования пассажирского лифта № 59327 по адресу: г. Москва, Петроверигский пер., д.10, стр.3</v>
      </c>
      <c r="H22" s="3"/>
      <c r="I22" s="3"/>
      <c r="J22" s="3"/>
      <c r="K22" s="3"/>
      <c r="L22" s="3"/>
      <c r="M22" s="3"/>
      <c r="N22" s="3"/>
      <c r="O22" s="3">
        <f t="shared" ref="O22:AT22" si="8">O52</f>
        <v>116939.07</v>
      </c>
      <c r="P22" s="3">
        <f t="shared" si="8"/>
        <v>69517.899999999994</v>
      </c>
      <c r="Q22" s="3">
        <f t="shared" si="8"/>
        <v>0</v>
      </c>
      <c r="R22" s="3">
        <f t="shared" si="8"/>
        <v>0</v>
      </c>
      <c r="S22" s="3">
        <f t="shared" si="8"/>
        <v>47421.17</v>
      </c>
      <c r="T22" s="3">
        <f t="shared" si="8"/>
        <v>0</v>
      </c>
      <c r="U22" s="3">
        <f t="shared" si="8"/>
        <v>67.42</v>
      </c>
      <c r="V22" s="3">
        <f t="shared" si="8"/>
        <v>0</v>
      </c>
      <c r="W22" s="3">
        <f t="shared" si="8"/>
        <v>0</v>
      </c>
      <c r="X22" s="3">
        <f t="shared" si="8"/>
        <v>42204.84</v>
      </c>
      <c r="Y22" s="3">
        <f t="shared" si="8"/>
        <v>20865.310000000001</v>
      </c>
      <c r="Z22" s="3">
        <f t="shared" si="8"/>
        <v>0</v>
      </c>
      <c r="AA22" s="3">
        <f t="shared" si="8"/>
        <v>0</v>
      </c>
      <c r="AB22" s="3">
        <f t="shared" si="8"/>
        <v>116939.07</v>
      </c>
      <c r="AC22" s="3">
        <f t="shared" si="8"/>
        <v>69517.899999999994</v>
      </c>
      <c r="AD22" s="3">
        <f t="shared" si="8"/>
        <v>0</v>
      </c>
      <c r="AE22" s="3">
        <f t="shared" si="8"/>
        <v>0</v>
      </c>
      <c r="AF22" s="3">
        <f t="shared" si="8"/>
        <v>47421.17</v>
      </c>
      <c r="AG22" s="3">
        <f t="shared" si="8"/>
        <v>0</v>
      </c>
      <c r="AH22" s="3">
        <f t="shared" si="8"/>
        <v>67.42</v>
      </c>
      <c r="AI22" s="3">
        <f t="shared" si="8"/>
        <v>0</v>
      </c>
      <c r="AJ22" s="3">
        <f t="shared" si="8"/>
        <v>0</v>
      </c>
      <c r="AK22" s="3">
        <f t="shared" si="8"/>
        <v>42204.84</v>
      </c>
      <c r="AL22" s="3">
        <f t="shared" si="8"/>
        <v>20865.310000000001</v>
      </c>
      <c r="AM22" s="3">
        <f t="shared" si="8"/>
        <v>0</v>
      </c>
      <c r="AN22" s="3">
        <f t="shared" si="8"/>
        <v>0</v>
      </c>
      <c r="AO22" s="3">
        <f t="shared" si="8"/>
        <v>0</v>
      </c>
      <c r="AP22" s="3">
        <f t="shared" si="8"/>
        <v>68095.259999999995</v>
      </c>
      <c r="AQ22" s="3">
        <f t="shared" si="8"/>
        <v>0</v>
      </c>
      <c r="AR22" s="3">
        <f t="shared" si="8"/>
        <v>180009.22</v>
      </c>
      <c r="AS22" s="3">
        <f t="shared" si="8"/>
        <v>0</v>
      </c>
      <c r="AT22" s="3">
        <f t="shared" si="8"/>
        <v>111913.96</v>
      </c>
      <c r="AU22" s="3">
        <f t="shared" ref="AU22:BZ22" si="9">AU52</f>
        <v>0</v>
      </c>
      <c r="AV22" s="3">
        <f t="shared" si="9"/>
        <v>69517.899999999994</v>
      </c>
      <c r="AW22" s="3">
        <f t="shared" si="9"/>
        <v>1422.64</v>
      </c>
      <c r="AX22" s="3">
        <f t="shared" si="9"/>
        <v>0</v>
      </c>
      <c r="AY22" s="3">
        <f t="shared" si="9"/>
        <v>1422.64</v>
      </c>
      <c r="AZ22" s="3">
        <f t="shared" si="9"/>
        <v>68095.259999999995</v>
      </c>
      <c r="BA22" s="3">
        <f t="shared" si="9"/>
        <v>0</v>
      </c>
      <c r="BB22" s="3">
        <f t="shared" si="9"/>
        <v>0</v>
      </c>
      <c r="BC22" s="3">
        <f t="shared" si="9"/>
        <v>0</v>
      </c>
      <c r="BD22" s="3">
        <f t="shared" si="9"/>
        <v>0</v>
      </c>
      <c r="BE22" s="3">
        <f t="shared" si="9"/>
        <v>0</v>
      </c>
      <c r="BF22" s="3">
        <f t="shared" si="9"/>
        <v>0</v>
      </c>
      <c r="BG22" s="3">
        <f t="shared" si="9"/>
        <v>0</v>
      </c>
      <c r="BH22" s="3">
        <f t="shared" si="9"/>
        <v>0</v>
      </c>
      <c r="BI22" s="3">
        <f t="shared" si="9"/>
        <v>0</v>
      </c>
      <c r="BJ22" s="3">
        <f t="shared" si="9"/>
        <v>0</v>
      </c>
      <c r="BK22" s="3">
        <f t="shared" si="9"/>
        <v>0</v>
      </c>
      <c r="BL22" s="3">
        <f t="shared" si="9"/>
        <v>0</v>
      </c>
      <c r="BM22" s="3">
        <f t="shared" si="9"/>
        <v>0</v>
      </c>
      <c r="BN22" s="3">
        <f t="shared" si="9"/>
        <v>0</v>
      </c>
      <c r="BO22" s="3">
        <f t="shared" si="9"/>
        <v>0</v>
      </c>
      <c r="BP22" s="3">
        <f t="shared" si="9"/>
        <v>0</v>
      </c>
      <c r="BQ22" s="3">
        <f t="shared" si="9"/>
        <v>0</v>
      </c>
      <c r="BR22" s="3">
        <f t="shared" si="9"/>
        <v>0</v>
      </c>
      <c r="BS22" s="3">
        <f t="shared" si="9"/>
        <v>0</v>
      </c>
      <c r="BT22" s="3">
        <f t="shared" si="9"/>
        <v>0</v>
      </c>
      <c r="BU22" s="3">
        <f t="shared" si="9"/>
        <v>0</v>
      </c>
      <c r="BV22" s="3">
        <f t="shared" si="9"/>
        <v>0</v>
      </c>
      <c r="BW22" s="3">
        <f t="shared" si="9"/>
        <v>0</v>
      </c>
      <c r="BX22" s="3">
        <f t="shared" si="9"/>
        <v>0</v>
      </c>
      <c r="BY22" s="3">
        <f t="shared" si="9"/>
        <v>68095.259999999995</v>
      </c>
      <c r="BZ22" s="3">
        <f t="shared" si="9"/>
        <v>0</v>
      </c>
      <c r="CA22" s="3">
        <f t="shared" ref="CA22:DF22" si="10">CA52</f>
        <v>180009.22</v>
      </c>
      <c r="CB22" s="3">
        <f t="shared" si="10"/>
        <v>0</v>
      </c>
      <c r="CC22" s="3">
        <f t="shared" si="10"/>
        <v>111913.96</v>
      </c>
      <c r="CD22" s="3">
        <f t="shared" si="10"/>
        <v>0</v>
      </c>
      <c r="CE22" s="3">
        <f t="shared" si="10"/>
        <v>69517.899999999994</v>
      </c>
      <c r="CF22" s="3">
        <f t="shared" si="10"/>
        <v>1422.6399999999994</v>
      </c>
      <c r="CG22" s="3">
        <f t="shared" si="10"/>
        <v>0</v>
      </c>
      <c r="CH22" s="3">
        <f t="shared" si="10"/>
        <v>1422.6399999999994</v>
      </c>
      <c r="CI22" s="3">
        <f t="shared" si="10"/>
        <v>68095.259999999995</v>
      </c>
      <c r="CJ22" s="3">
        <f t="shared" si="10"/>
        <v>0</v>
      </c>
      <c r="CK22" s="3">
        <f t="shared" si="10"/>
        <v>0</v>
      </c>
      <c r="CL22" s="3">
        <f t="shared" si="10"/>
        <v>0</v>
      </c>
      <c r="CM22" s="3">
        <f t="shared" si="10"/>
        <v>0</v>
      </c>
      <c r="CN22" s="3">
        <f t="shared" si="10"/>
        <v>0</v>
      </c>
      <c r="CO22" s="3">
        <f t="shared" si="10"/>
        <v>0</v>
      </c>
      <c r="CP22" s="3">
        <f t="shared" si="10"/>
        <v>0</v>
      </c>
      <c r="CQ22" s="3">
        <f t="shared" si="10"/>
        <v>0</v>
      </c>
      <c r="CR22" s="3">
        <f t="shared" si="10"/>
        <v>0</v>
      </c>
      <c r="CS22" s="3">
        <f t="shared" si="10"/>
        <v>0</v>
      </c>
      <c r="CT22" s="3">
        <f t="shared" si="10"/>
        <v>0</v>
      </c>
      <c r="CU22" s="3">
        <f t="shared" si="10"/>
        <v>0</v>
      </c>
      <c r="CV22" s="3">
        <f t="shared" si="10"/>
        <v>0</v>
      </c>
      <c r="CW22" s="3">
        <f t="shared" si="10"/>
        <v>0</v>
      </c>
      <c r="CX22" s="3">
        <f t="shared" si="10"/>
        <v>0</v>
      </c>
      <c r="CY22" s="3">
        <f t="shared" si="10"/>
        <v>0</v>
      </c>
      <c r="CZ22" s="3">
        <f t="shared" si="10"/>
        <v>0</v>
      </c>
      <c r="DA22" s="3">
        <f t="shared" si="10"/>
        <v>0</v>
      </c>
      <c r="DB22" s="3">
        <f t="shared" si="10"/>
        <v>0</v>
      </c>
      <c r="DC22" s="3">
        <f t="shared" si="10"/>
        <v>0</v>
      </c>
      <c r="DD22" s="3">
        <f t="shared" si="10"/>
        <v>0</v>
      </c>
      <c r="DE22" s="3">
        <f t="shared" si="10"/>
        <v>0</v>
      </c>
      <c r="DF22" s="3">
        <f t="shared" si="10"/>
        <v>0</v>
      </c>
      <c r="DG22" s="4">
        <f t="shared" ref="DG22:EL22" si="11">DG52</f>
        <v>0</v>
      </c>
      <c r="DH22" s="4">
        <f t="shared" si="11"/>
        <v>0</v>
      </c>
      <c r="DI22" s="4">
        <f t="shared" si="11"/>
        <v>0</v>
      </c>
      <c r="DJ22" s="4">
        <f t="shared" si="11"/>
        <v>0</v>
      </c>
      <c r="DK22" s="4">
        <f t="shared" si="11"/>
        <v>0</v>
      </c>
      <c r="DL22" s="4">
        <f t="shared" si="11"/>
        <v>0</v>
      </c>
      <c r="DM22" s="4">
        <f t="shared" si="11"/>
        <v>0</v>
      </c>
      <c r="DN22" s="4">
        <f t="shared" si="11"/>
        <v>0</v>
      </c>
      <c r="DO22" s="4">
        <f t="shared" si="11"/>
        <v>0</v>
      </c>
      <c r="DP22" s="4">
        <f t="shared" si="11"/>
        <v>0</v>
      </c>
      <c r="DQ22" s="4">
        <f t="shared" si="11"/>
        <v>0</v>
      </c>
      <c r="DR22" s="4">
        <f t="shared" si="11"/>
        <v>0</v>
      </c>
      <c r="DS22" s="4">
        <f t="shared" si="11"/>
        <v>0</v>
      </c>
      <c r="DT22" s="4">
        <f t="shared" si="11"/>
        <v>0</v>
      </c>
      <c r="DU22" s="4">
        <f t="shared" si="11"/>
        <v>0</v>
      </c>
      <c r="DV22" s="4">
        <f t="shared" si="11"/>
        <v>0</v>
      </c>
      <c r="DW22" s="4">
        <f t="shared" si="11"/>
        <v>0</v>
      </c>
      <c r="DX22" s="4">
        <f t="shared" si="11"/>
        <v>0</v>
      </c>
      <c r="DY22" s="4">
        <f t="shared" si="11"/>
        <v>0</v>
      </c>
      <c r="DZ22" s="4">
        <f t="shared" si="11"/>
        <v>0</v>
      </c>
      <c r="EA22" s="4">
        <f t="shared" si="11"/>
        <v>0</v>
      </c>
      <c r="EB22" s="4">
        <f t="shared" si="11"/>
        <v>0</v>
      </c>
      <c r="EC22" s="4">
        <f t="shared" si="11"/>
        <v>0</v>
      </c>
      <c r="ED22" s="4">
        <f t="shared" si="11"/>
        <v>0</v>
      </c>
      <c r="EE22" s="4">
        <f t="shared" si="11"/>
        <v>0</v>
      </c>
      <c r="EF22" s="4">
        <f t="shared" si="11"/>
        <v>0</v>
      </c>
      <c r="EG22" s="4">
        <f t="shared" si="11"/>
        <v>0</v>
      </c>
      <c r="EH22" s="4">
        <f t="shared" si="11"/>
        <v>0</v>
      </c>
      <c r="EI22" s="4">
        <f t="shared" si="11"/>
        <v>0</v>
      </c>
      <c r="EJ22" s="4">
        <f t="shared" si="11"/>
        <v>0</v>
      </c>
      <c r="EK22" s="4">
        <f t="shared" si="11"/>
        <v>0</v>
      </c>
      <c r="EL22" s="4">
        <f t="shared" si="11"/>
        <v>0</v>
      </c>
      <c r="EM22" s="4">
        <f t="shared" ref="EM22:FR22" si="12">EM52</f>
        <v>0</v>
      </c>
      <c r="EN22" s="4">
        <f t="shared" si="12"/>
        <v>0</v>
      </c>
      <c r="EO22" s="4">
        <f t="shared" si="12"/>
        <v>0</v>
      </c>
      <c r="EP22" s="4">
        <f t="shared" si="12"/>
        <v>0</v>
      </c>
      <c r="EQ22" s="4">
        <f t="shared" si="12"/>
        <v>0</v>
      </c>
      <c r="ER22" s="4">
        <f t="shared" si="12"/>
        <v>0</v>
      </c>
      <c r="ES22" s="4">
        <f t="shared" si="12"/>
        <v>0</v>
      </c>
      <c r="ET22" s="4">
        <f t="shared" si="12"/>
        <v>0</v>
      </c>
      <c r="EU22" s="4">
        <f t="shared" si="12"/>
        <v>0</v>
      </c>
      <c r="EV22" s="4">
        <f t="shared" si="12"/>
        <v>0</v>
      </c>
      <c r="EW22" s="4">
        <f t="shared" si="12"/>
        <v>0</v>
      </c>
      <c r="EX22" s="4">
        <f t="shared" si="12"/>
        <v>0</v>
      </c>
      <c r="EY22" s="4">
        <f t="shared" si="12"/>
        <v>0</v>
      </c>
      <c r="EZ22" s="4">
        <f t="shared" si="12"/>
        <v>0</v>
      </c>
      <c r="FA22" s="4">
        <f t="shared" si="12"/>
        <v>0</v>
      </c>
      <c r="FB22" s="4">
        <f t="shared" si="12"/>
        <v>0</v>
      </c>
      <c r="FC22" s="4">
        <f t="shared" si="12"/>
        <v>0</v>
      </c>
      <c r="FD22" s="4">
        <f t="shared" si="12"/>
        <v>0</v>
      </c>
      <c r="FE22" s="4">
        <f t="shared" si="12"/>
        <v>0</v>
      </c>
      <c r="FF22" s="4">
        <f t="shared" si="12"/>
        <v>0</v>
      </c>
      <c r="FG22" s="4">
        <f t="shared" si="12"/>
        <v>0</v>
      </c>
      <c r="FH22" s="4">
        <f t="shared" si="12"/>
        <v>0</v>
      </c>
      <c r="FI22" s="4">
        <f t="shared" si="12"/>
        <v>0</v>
      </c>
      <c r="FJ22" s="4">
        <f t="shared" si="12"/>
        <v>0</v>
      </c>
      <c r="FK22" s="4">
        <f t="shared" si="12"/>
        <v>0</v>
      </c>
      <c r="FL22" s="4">
        <f t="shared" si="12"/>
        <v>0</v>
      </c>
      <c r="FM22" s="4">
        <f t="shared" si="12"/>
        <v>0</v>
      </c>
      <c r="FN22" s="4">
        <f t="shared" si="12"/>
        <v>0</v>
      </c>
      <c r="FO22" s="4">
        <f t="shared" si="12"/>
        <v>0</v>
      </c>
      <c r="FP22" s="4">
        <f t="shared" si="12"/>
        <v>0</v>
      </c>
      <c r="FQ22" s="4">
        <f t="shared" si="12"/>
        <v>0</v>
      </c>
      <c r="FR22" s="4">
        <f t="shared" si="12"/>
        <v>0</v>
      </c>
      <c r="FS22" s="4">
        <f t="shared" ref="FS22:GX22" si="13">FS52</f>
        <v>0</v>
      </c>
      <c r="FT22" s="4">
        <f t="shared" si="13"/>
        <v>0</v>
      </c>
      <c r="FU22" s="4">
        <f t="shared" si="13"/>
        <v>0</v>
      </c>
      <c r="FV22" s="4">
        <f t="shared" si="13"/>
        <v>0</v>
      </c>
      <c r="FW22" s="4">
        <f t="shared" si="13"/>
        <v>0</v>
      </c>
      <c r="FX22" s="4">
        <f t="shared" si="13"/>
        <v>0</v>
      </c>
      <c r="FY22" s="4">
        <f t="shared" si="13"/>
        <v>0</v>
      </c>
      <c r="FZ22" s="4">
        <f t="shared" si="13"/>
        <v>0</v>
      </c>
      <c r="GA22" s="4">
        <f t="shared" si="13"/>
        <v>0</v>
      </c>
      <c r="GB22" s="4">
        <f t="shared" si="13"/>
        <v>0</v>
      </c>
      <c r="GC22" s="4">
        <f t="shared" si="13"/>
        <v>0</v>
      </c>
      <c r="GD22" s="4">
        <f t="shared" si="13"/>
        <v>0</v>
      </c>
      <c r="GE22" s="4">
        <f t="shared" si="13"/>
        <v>0</v>
      </c>
      <c r="GF22" s="4">
        <f t="shared" si="13"/>
        <v>0</v>
      </c>
      <c r="GG22" s="4">
        <f t="shared" si="13"/>
        <v>0</v>
      </c>
      <c r="GH22" s="4">
        <f t="shared" si="13"/>
        <v>0</v>
      </c>
      <c r="GI22" s="4">
        <f t="shared" si="13"/>
        <v>0</v>
      </c>
      <c r="GJ22" s="4">
        <f t="shared" si="13"/>
        <v>0</v>
      </c>
      <c r="GK22" s="4">
        <f t="shared" si="13"/>
        <v>0</v>
      </c>
      <c r="GL22" s="4">
        <f t="shared" si="13"/>
        <v>0</v>
      </c>
      <c r="GM22" s="4">
        <f t="shared" si="13"/>
        <v>0</v>
      </c>
      <c r="GN22" s="4">
        <f t="shared" si="13"/>
        <v>0</v>
      </c>
      <c r="GO22" s="4">
        <f t="shared" si="13"/>
        <v>0</v>
      </c>
      <c r="GP22" s="4">
        <f t="shared" si="13"/>
        <v>0</v>
      </c>
      <c r="GQ22" s="4">
        <f t="shared" si="13"/>
        <v>0</v>
      </c>
      <c r="GR22" s="4">
        <f t="shared" si="13"/>
        <v>0</v>
      </c>
      <c r="GS22" s="4">
        <f t="shared" si="13"/>
        <v>0</v>
      </c>
      <c r="GT22" s="4">
        <f t="shared" si="13"/>
        <v>0</v>
      </c>
      <c r="GU22" s="4">
        <f t="shared" si="13"/>
        <v>0</v>
      </c>
      <c r="GV22" s="4">
        <f t="shared" si="13"/>
        <v>0</v>
      </c>
      <c r="GW22" s="4">
        <f t="shared" si="13"/>
        <v>0</v>
      </c>
      <c r="GX22" s="4">
        <f t="shared" si="13"/>
        <v>0</v>
      </c>
    </row>
    <row r="24" spans="1:255" x14ac:dyDescent="0.2">
      <c r="A24" s="2">
        <v>17</v>
      </c>
      <c r="B24" s="2">
        <v>1</v>
      </c>
      <c r="C24" s="2">
        <f>ROW(SmtRes!A2)</f>
        <v>2</v>
      </c>
      <c r="D24" s="2">
        <f>ROW(EtalonRes!A2)</f>
        <v>2</v>
      </c>
      <c r="E24" s="2" t="s">
        <v>3</v>
      </c>
      <c r="F24" s="2" t="s">
        <v>16</v>
      </c>
      <c r="G24" s="2" t="s">
        <v>17</v>
      </c>
      <c r="H24" s="2" t="s">
        <v>18</v>
      </c>
      <c r="I24" s="2">
        <f>ROUND(1,7)</f>
        <v>1</v>
      </c>
      <c r="J24" s="2">
        <v>0</v>
      </c>
      <c r="K24" s="2">
        <f>ROUND(1,7)</f>
        <v>1</v>
      </c>
      <c r="L24" s="2"/>
      <c r="M24" s="2"/>
      <c r="N24" s="2"/>
      <c r="O24" s="2">
        <f>ROUND(CP24,2)</f>
        <v>5544.82</v>
      </c>
      <c r="P24" s="2">
        <f>SUMIF(SmtRes!AQ1:'SmtRes'!AQ2,"=1",SmtRes!DF1:'SmtRes'!DF2)</f>
        <v>0</v>
      </c>
      <c r="Q24" s="2">
        <f>SUMIF(SmtRes!AQ1:'SmtRes'!AQ2,"=1",SmtRes!DG1:'SmtRes'!DG2)</f>
        <v>0</v>
      </c>
      <c r="R24" s="2">
        <f>SUMIF(SmtRes!AQ1:'SmtRes'!AQ2,"=1",SmtRes!DH1:'SmtRes'!DH2)</f>
        <v>0</v>
      </c>
      <c r="S24" s="2">
        <f>SUMIF(SmtRes!AQ1:'SmtRes'!AQ2,"=1",SmtRes!DI1:'SmtRes'!DI2)</f>
        <v>5544.82</v>
      </c>
      <c r="T24" s="2">
        <f t="shared" ref="T24:T50" si="14">ROUND(CU24*I24,2)</f>
        <v>0</v>
      </c>
      <c r="U24" s="2">
        <f>SUMIF(SmtRes!AQ1:'SmtRes'!AQ2,"=1",SmtRes!CV1:'SmtRes'!CV2)</f>
        <v>7.94</v>
      </c>
      <c r="V24" s="2">
        <f>SUMIF(SmtRes!AQ1:'SmtRes'!AQ2,"=1",SmtRes!CW1:'SmtRes'!CW2)</f>
        <v>0</v>
      </c>
      <c r="W24" s="2">
        <f t="shared" ref="W24:W50" si="15">ROUND(CX24*I24,2)</f>
        <v>0</v>
      </c>
      <c r="X24" s="2">
        <f t="shared" ref="X24:X50" si="16">ROUND(CY24,2)</f>
        <v>4934.8900000000003</v>
      </c>
      <c r="Y24" s="2">
        <f t="shared" ref="Y24:Y50" si="17">ROUND(CZ24,2)</f>
        <v>2439.7199999999998</v>
      </c>
      <c r="Z24" s="2"/>
      <c r="AA24" s="2">
        <v>-1</v>
      </c>
      <c r="AB24" s="2">
        <f t="shared" ref="AB24:AB50" si="18">ROUND((AC24+AD24+AF24),6)</f>
        <v>5544.8195999999998</v>
      </c>
      <c r="AC24" s="2">
        <f>ROUND((0),6)</f>
        <v>0</v>
      </c>
      <c r="AD24" s="2">
        <f>ROUND((((0)-(0))+AE24),6)</f>
        <v>0</v>
      </c>
      <c r="AE24" s="2">
        <f>ROUND((0),6)</f>
        <v>0</v>
      </c>
      <c r="AF24" s="2">
        <f>ROUND((SUM(SmtRes!BT1:'SmtRes'!BT2)),6)</f>
        <v>5544.8195999999998</v>
      </c>
      <c r="AG24" s="2">
        <f t="shared" ref="AG24:AG50" si="19">ROUND((AP24),6)</f>
        <v>0</v>
      </c>
      <c r="AH24" s="2">
        <f>(SUM(SmtRes!BU1:'SmtRes'!BU2))</f>
        <v>7.94</v>
      </c>
      <c r="AI24" s="2">
        <f>(0)</f>
        <v>0</v>
      </c>
      <c r="AJ24" s="2">
        <f t="shared" ref="AJ24:AJ50" si="20">(AS24)</f>
        <v>0</v>
      </c>
      <c r="AK24" s="2">
        <v>5544.8196000000007</v>
      </c>
      <c r="AL24" s="2">
        <v>0</v>
      </c>
      <c r="AM24" s="2">
        <v>0</v>
      </c>
      <c r="AN24" s="2">
        <v>0</v>
      </c>
      <c r="AO24" s="2">
        <v>5544.8196000000007</v>
      </c>
      <c r="AP24" s="2">
        <v>0</v>
      </c>
      <c r="AQ24" s="2">
        <v>7.94</v>
      </c>
      <c r="AR24" s="2">
        <v>0</v>
      </c>
      <c r="AS24" s="2">
        <v>0</v>
      </c>
      <c r="AT24" s="2">
        <v>89</v>
      </c>
      <c r="AU24" s="2">
        <v>44</v>
      </c>
      <c r="AV24" s="2">
        <v>1</v>
      </c>
      <c r="AW24" s="2">
        <v>1</v>
      </c>
      <c r="AX24" s="2"/>
      <c r="AY24" s="2"/>
      <c r="AZ24" s="2">
        <v>1</v>
      </c>
      <c r="BA24" s="2">
        <v>1</v>
      </c>
      <c r="BB24" s="2">
        <v>1</v>
      </c>
      <c r="BC24" s="2">
        <v>1</v>
      </c>
      <c r="BD24" s="2" t="s">
        <v>3</v>
      </c>
      <c r="BE24" s="2" t="s">
        <v>3</v>
      </c>
      <c r="BF24" s="2" t="s">
        <v>3</v>
      </c>
      <c r="BG24" s="2" t="s">
        <v>3</v>
      </c>
      <c r="BH24" s="2">
        <v>0</v>
      </c>
      <c r="BI24" s="2">
        <v>2</v>
      </c>
      <c r="BJ24" s="2" t="s">
        <v>19</v>
      </c>
      <c r="BK24" s="2"/>
      <c r="BL24" s="2"/>
      <c r="BM24" s="2">
        <v>141001</v>
      </c>
      <c r="BN24" s="2">
        <v>0</v>
      </c>
      <c r="BO24" s="2" t="s">
        <v>3</v>
      </c>
      <c r="BP24" s="2">
        <v>0</v>
      </c>
      <c r="BQ24" s="2">
        <v>3</v>
      </c>
      <c r="BR24" s="2">
        <v>0</v>
      </c>
      <c r="BS24" s="2">
        <v>1</v>
      </c>
      <c r="BT24" s="2">
        <v>1</v>
      </c>
      <c r="BU24" s="2">
        <v>1</v>
      </c>
      <c r="BV24" s="2">
        <v>1</v>
      </c>
      <c r="BW24" s="2">
        <v>1</v>
      </c>
      <c r="BX24" s="2">
        <v>1</v>
      </c>
      <c r="BY24" s="2" t="s">
        <v>3</v>
      </c>
      <c r="BZ24" s="2">
        <v>89</v>
      </c>
      <c r="CA24" s="2">
        <v>44</v>
      </c>
      <c r="CB24" s="2" t="s">
        <v>3</v>
      </c>
      <c r="CC24" s="2"/>
      <c r="CD24" s="2"/>
      <c r="CE24" s="2">
        <v>0</v>
      </c>
      <c r="CF24" s="2">
        <v>0</v>
      </c>
      <c r="CG24" s="2">
        <v>0</v>
      </c>
      <c r="CH24" s="2"/>
      <c r="CI24" s="2"/>
      <c r="CJ24" s="2"/>
      <c r="CK24" s="2"/>
      <c r="CL24" s="2"/>
      <c r="CM24" s="2">
        <v>0</v>
      </c>
      <c r="CN24" s="2" t="s">
        <v>3</v>
      </c>
      <c r="CO24" s="2">
        <v>0</v>
      </c>
      <c r="CP24" s="2">
        <f>(P24+Q24+S24+R24)</f>
        <v>5544.82</v>
      </c>
      <c r="CQ24" s="2">
        <f>SUMIF(SmtRes!AQ1:'SmtRes'!AQ2,"=1",SmtRes!AA1:'SmtRes'!AA2)</f>
        <v>0</v>
      </c>
      <c r="CR24" s="2">
        <f>SUMIF(SmtRes!AQ1:'SmtRes'!AQ2,"=1",SmtRes!AB1:'SmtRes'!AB2)</f>
        <v>0</v>
      </c>
      <c r="CS24" s="2">
        <f>SUMIF(SmtRes!AQ1:'SmtRes'!AQ2,"=1",SmtRes!AC1:'SmtRes'!AC2)</f>
        <v>0</v>
      </c>
      <c r="CT24" s="2">
        <f>SUMIF(SmtRes!AQ1:'SmtRes'!AQ2,"=1",SmtRes!AD1:'SmtRes'!AD2)</f>
        <v>698.34</v>
      </c>
      <c r="CU24" s="2">
        <f>AG24</f>
        <v>0</v>
      </c>
      <c r="CV24" s="2">
        <f>SUMIF(SmtRes!AQ1:'SmtRes'!AQ2,"=1",SmtRes!BU1:'SmtRes'!BU2)</f>
        <v>7.94</v>
      </c>
      <c r="CW24" s="2">
        <f>SUMIF(SmtRes!AQ1:'SmtRes'!AQ2,"=1",SmtRes!BV1:'SmtRes'!BV2)</f>
        <v>0</v>
      </c>
      <c r="CX24" s="2">
        <f>AJ24</f>
        <v>0</v>
      </c>
      <c r="CY24" s="2">
        <f>(((S24+R24)*AT24)/100)</f>
        <v>4934.8897999999999</v>
      </c>
      <c r="CZ24" s="2">
        <f>(((S24+R24)*AU24)/100)</f>
        <v>2439.7208000000001</v>
      </c>
      <c r="DA24" s="2"/>
      <c r="DB24" s="2"/>
      <c r="DC24" s="2" t="s">
        <v>3</v>
      </c>
      <c r="DD24" s="2" t="s">
        <v>3</v>
      </c>
      <c r="DE24" s="2" t="s">
        <v>3</v>
      </c>
      <c r="DF24" s="2" t="s">
        <v>3</v>
      </c>
      <c r="DG24" s="2" t="s">
        <v>3</v>
      </c>
      <c r="DH24" s="2" t="s">
        <v>3</v>
      </c>
      <c r="DI24" s="2" t="s">
        <v>3</v>
      </c>
      <c r="DJ24" s="2" t="s">
        <v>3</v>
      </c>
      <c r="DK24" s="2" t="s">
        <v>3</v>
      </c>
      <c r="DL24" s="2" t="s">
        <v>3</v>
      </c>
      <c r="DM24" s="2" t="s">
        <v>3</v>
      </c>
      <c r="DN24" s="2">
        <v>0</v>
      </c>
      <c r="DO24" s="2">
        <v>0</v>
      </c>
      <c r="DP24" s="2">
        <v>1</v>
      </c>
      <c r="DQ24" s="2">
        <v>1</v>
      </c>
      <c r="DR24" s="2"/>
      <c r="DS24" s="2"/>
      <c r="DT24" s="2"/>
      <c r="DU24" s="2">
        <v>1013</v>
      </c>
      <c r="DV24" s="2" t="s">
        <v>18</v>
      </c>
      <c r="DW24" s="2" t="s">
        <v>18</v>
      </c>
      <c r="DX24" s="2">
        <v>1</v>
      </c>
      <c r="DY24" s="2"/>
      <c r="DZ24" s="2" t="s">
        <v>3</v>
      </c>
      <c r="EA24" s="2" t="s">
        <v>3</v>
      </c>
      <c r="EB24" s="2" t="s">
        <v>3</v>
      </c>
      <c r="EC24" s="2" t="s">
        <v>3</v>
      </c>
      <c r="ED24" s="2"/>
      <c r="EE24" s="2">
        <v>91082123</v>
      </c>
      <c r="EF24" s="2">
        <v>3</v>
      </c>
      <c r="EG24" s="2" t="s">
        <v>20</v>
      </c>
      <c r="EH24" s="2">
        <v>104</v>
      </c>
      <c r="EI24" s="2" t="s">
        <v>21</v>
      </c>
      <c r="EJ24" s="2">
        <v>2</v>
      </c>
      <c r="EK24" s="2">
        <v>141001</v>
      </c>
      <c r="EL24" s="2" t="s">
        <v>21</v>
      </c>
      <c r="EM24" s="2" t="s">
        <v>22</v>
      </c>
      <c r="EN24" s="2"/>
      <c r="EO24" s="2" t="s">
        <v>3</v>
      </c>
      <c r="EP24" s="2"/>
      <c r="EQ24" s="2">
        <v>1024</v>
      </c>
      <c r="ER24" s="2">
        <v>0</v>
      </c>
      <c r="ES24" s="2">
        <v>0</v>
      </c>
      <c r="ET24" s="2">
        <v>0</v>
      </c>
      <c r="EU24" s="2">
        <v>0</v>
      </c>
      <c r="EV24" s="2">
        <v>0</v>
      </c>
      <c r="EW24" s="2">
        <v>7.94</v>
      </c>
      <c r="EX24" s="2">
        <v>0</v>
      </c>
      <c r="EY24" s="2">
        <v>0</v>
      </c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>
        <v>0</v>
      </c>
      <c r="FR24" s="2">
        <v>0</v>
      </c>
      <c r="FS24" s="2">
        <v>0</v>
      </c>
      <c r="FT24" s="2"/>
      <c r="FU24" s="2"/>
      <c r="FV24" s="2"/>
      <c r="FW24" s="2"/>
      <c r="FX24" s="2">
        <v>89</v>
      </c>
      <c r="FY24" s="2">
        <v>44</v>
      </c>
      <c r="FZ24" s="2"/>
      <c r="GA24" s="2" t="s">
        <v>3</v>
      </c>
      <c r="GB24" s="2"/>
      <c r="GC24" s="2"/>
      <c r="GD24" s="2">
        <v>1</v>
      </c>
      <c r="GE24" s="2"/>
      <c r="GF24" s="2">
        <v>1768234826</v>
      </c>
      <c r="GG24" s="2">
        <v>2</v>
      </c>
      <c r="GH24" s="2">
        <v>1</v>
      </c>
      <c r="GI24" s="2">
        <v>-2</v>
      </c>
      <c r="GJ24" s="2">
        <v>0</v>
      </c>
      <c r="GK24" s="2">
        <v>0</v>
      </c>
      <c r="GL24" s="2">
        <f t="shared" ref="GL24:GL50" si="21">ROUND(IF(AND(BH24=3,BI24=3,FS24&lt;&gt;0),P24,0),2)</f>
        <v>0</v>
      </c>
      <c r="GM24" s="2">
        <f t="shared" ref="GM24:GM50" si="22">ROUND(O24+X24+Y24,2)+GX24</f>
        <v>12919.43</v>
      </c>
      <c r="GN24" s="2">
        <f t="shared" ref="GN24:GN50" si="23">IF(OR(BI24=0,BI24=1),GM24-GX24,0)</f>
        <v>0</v>
      </c>
      <c r="GO24" s="2">
        <f t="shared" ref="GO24:GO50" si="24">IF(BI24=2,GM24-GX24,0)</f>
        <v>12919.43</v>
      </c>
      <c r="GP24" s="2">
        <f t="shared" ref="GP24:GP50" si="25">IF(BI24=4,GM24-GX24,0)</f>
        <v>0</v>
      </c>
      <c r="GQ24" s="2"/>
      <c r="GR24" s="2">
        <v>0</v>
      </c>
      <c r="GS24" s="2">
        <v>3</v>
      </c>
      <c r="GT24" s="2">
        <v>0</v>
      </c>
      <c r="GU24" s="2" t="s">
        <v>3</v>
      </c>
      <c r="GV24" s="2">
        <f t="shared" ref="GV24:GV50" si="26">ROUND((GT24),6)</f>
        <v>0</v>
      </c>
      <c r="GW24" s="2">
        <v>1</v>
      </c>
      <c r="GX24" s="2">
        <f t="shared" ref="GX24:GX50" si="27">ROUND(HC24*I24,2)</f>
        <v>0</v>
      </c>
      <c r="GY24" s="2"/>
      <c r="GZ24" s="2"/>
      <c r="HA24" s="2">
        <v>0</v>
      </c>
      <c r="HB24" s="2">
        <v>0</v>
      </c>
      <c r="HC24" s="2">
        <f>GV24*GW24</f>
        <v>0</v>
      </c>
      <c r="HD24" s="2"/>
      <c r="HE24" s="2" t="s">
        <v>3</v>
      </c>
      <c r="HF24" s="2" t="s">
        <v>3</v>
      </c>
      <c r="HG24" s="2"/>
      <c r="HH24" s="2"/>
      <c r="HI24" s="2"/>
      <c r="HJ24" s="2"/>
      <c r="HK24" s="2"/>
      <c r="HL24" s="2"/>
      <c r="HM24" s="2" t="s">
        <v>3</v>
      </c>
      <c r="HN24" s="2" t="s">
        <v>23</v>
      </c>
      <c r="HO24" s="2" t="s">
        <v>24</v>
      </c>
      <c r="HP24" s="2" t="s">
        <v>21</v>
      </c>
      <c r="HQ24" s="2" t="s">
        <v>21</v>
      </c>
      <c r="HR24" s="2"/>
      <c r="HS24" s="2">
        <v>0</v>
      </c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>
        <v>0</v>
      </c>
      <c r="IL24" s="2"/>
      <c r="IM24" s="2"/>
      <c r="IN24" s="2"/>
      <c r="IO24" s="2"/>
      <c r="IP24" s="2"/>
      <c r="IQ24" s="2"/>
      <c r="IR24" s="2"/>
      <c r="IS24" s="2"/>
      <c r="IT24" s="2"/>
      <c r="IU24" s="2"/>
    </row>
    <row r="25" spans="1:255" x14ac:dyDescent="0.2">
      <c r="A25" s="2">
        <v>18</v>
      </c>
      <c r="B25" s="2">
        <v>1</v>
      </c>
      <c r="C25" s="2">
        <v>2</v>
      </c>
      <c r="D25" s="2"/>
      <c r="E25" s="2" t="s">
        <v>3</v>
      </c>
      <c r="F25" s="2" t="s">
        <v>25</v>
      </c>
      <c r="G25" s="2" t="s">
        <v>26</v>
      </c>
      <c r="H25" s="2" t="s">
        <v>27</v>
      </c>
      <c r="I25" s="2">
        <f>J25</f>
        <v>3</v>
      </c>
      <c r="J25" s="2">
        <v>3</v>
      </c>
      <c r="K25" s="2">
        <v>3</v>
      </c>
      <c r="L25" s="2"/>
      <c r="M25" s="2"/>
      <c r="N25" s="2"/>
      <c r="O25" s="2">
        <f>ROUND(P25,2)</f>
        <v>166.34</v>
      </c>
      <c r="P25" s="2">
        <f>ROUND(ROUND(ROUND(SUMIF(SmtRes!AQ1:'SmtRes'!AQ2,"=1",SmtRes!CU1:'SmtRes'!CU2),2),2)*I25/100,2)</f>
        <v>166.34</v>
      </c>
      <c r="Q25" s="2">
        <f>ROUND(CR25*I25,2)</f>
        <v>0</v>
      </c>
      <c r="R25" s="2">
        <f>ROUND(CS25*I25,2)</f>
        <v>0</v>
      </c>
      <c r="S25" s="2">
        <f>ROUND(CT25*I25,2)</f>
        <v>0</v>
      </c>
      <c r="T25" s="2">
        <f t="shared" si="14"/>
        <v>0</v>
      </c>
      <c r="U25" s="2">
        <f>ROUND(CV25*I25,7)</f>
        <v>0</v>
      </c>
      <c r="V25" s="2">
        <f>ROUND(CW25*I25,7)</f>
        <v>0</v>
      </c>
      <c r="W25" s="2">
        <f t="shared" si="15"/>
        <v>0</v>
      </c>
      <c r="X25" s="2">
        <f t="shared" si="16"/>
        <v>0</v>
      </c>
      <c r="Y25" s="2">
        <f t="shared" si="17"/>
        <v>0</v>
      </c>
      <c r="Z25" s="2"/>
      <c r="AA25" s="2">
        <v>-1</v>
      </c>
      <c r="AB25" s="2">
        <f t="shared" si="18"/>
        <v>0</v>
      </c>
      <c r="AC25" s="2">
        <f>ROUND((ES25),6)</f>
        <v>0</v>
      </c>
      <c r="AD25" s="2">
        <f>ROUND((((ET25)-(EU25))+AE25),6)</f>
        <v>0</v>
      </c>
      <c r="AE25" s="2">
        <f>ROUND((EU25),6)</f>
        <v>0</v>
      </c>
      <c r="AF25" s="2">
        <f>ROUND((EV25),6)</f>
        <v>0</v>
      </c>
      <c r="AG25" s="2">
        <f t="shared" si="19"/>
        <v>0</v>
      </c>
      <c r="AH25" s="2">
        <f>(EW25)</f>
        <v>0</v>
      </c>
      <c r="AI25" s="2">
        <f>(EX25)</f>
        <v>0</v>
      </c>
      <c r="AJ25" s="2">
        <f t="shared" si="20"/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89</v>
      </c>
      <c r="AU25" s="2">
        <v>44</v>
      </c>
      <c r="AV25" s="2">
        <v>1</v>
      </c>
      <c r="AW25" s="2">
        <v>1</v>
      </c>
      <c r="AX25" s="2"/>
      <c r="AY25" s="2"/>
      <c r="AZ25" s="2">
        <v>1</v>
      </c>
      <c r="BA25" s="2">
        <v>1</v>
      </c>
      <c r="BB25" s="2">
        <v>1</v>
      </c>
      <c r="BC25" s="2">
        <v>1</v>
      </c>
      <c r="BD25" s="2" t="s">
        <v>3</v>
      </c>
      <c r="BE25" s="2" t="s">
        <v>3</v>
      </c>
      <c r="BF25" s="2" t="s">
        <v>3</v>
      </c>
      <c r="BG25" s="2" t="s">
        <v>3</v>
      </c>
      <c r="BH25" s="2">
        <v>3</v>
      </c>
      <c r="BI25" s="2">
        <v>2</v>
      </c>
      <c r="BJ25" s="2" t="s">
        <v>3</v>
      </c>
      <c r="BK25" s="2"/>
      <c r="BL25" s="2"/>
      <c r="BM25" s="2">
        <v>141001</v>
      </c>
      <c r="BN25" s="2">
        <v>0</v>
      </c>
      <c r="BO25" s="2" t="s">
        <v>3</v>
      </c>
      <c r="BP25" s="2">
        <v>0</v>
      </c>
      <c r="BQ25" s="2">
        <v>3</v>
      </c>
      <c r="BR25" s="2">
        <v>0</v>
      </c>
      <c r="BS25" s="2">
        <v>1</v>
      </c>
      <c r="BT25" s="2">
        <v>1</v>
      </c>
      <c r="BU25" s="2">
        <v>1</v>
      </c>
      <c r="BV25" s="2">
        <v>1</v>
      </c>
      <c r="BW25" s="2">
        <v>1</v>
      </c>
      <c r="BX25" s="2">
        <v>1</v>
      </c>
      <c r="BY25" s="2" t="s">
        <v>3</v>
      </c>
      <c r="BZ25" s="2">
        <v>89</v>
      </c>
      <c r="CA25" s="2">
        <v>44</v>
      </c>
      <c r="CB25" s="2" t="s">
        <v>3</v>
      </c>
      <c r="CC25" s="2"/>
      <c r="CD25" s="2"/>
      <c r="CE25" s="2">
        <v>0</v>
      </c>
      <c r="CF25" s="2">
        <v>0</v>
      </c>
      <c r="CG25" s="2">
        <v>0</v>
      </c>
      <c r="CH25" s="2"/>
      <c r="CI25" s="2"/>
      <c r="CJ25" s="2"/>
      <c r="CK25" s="2"/>
      <c r="CL25" s="2"/>
      <c r="CM25" s="2">
        <v>0</v>
      </c>
      <c r="CN25" s="2" t="s">
        <v>3</v>
      </c>
      <c r="CO25" s="2">
        <v>0</v>
      </c>
      <c r="CP25" s="2">
        <f>0</f>
        <v>0</v>
      </c>
      <c r="CQ25" s="2">
        <f>0</f>
        <v>0</v>
      </c>
      <c r="CR25" s="2">
        <f>0</f>
        <v>0</v>
      </c>
      <c r="CS25" s="2">
        <f>0</f>
        <v>0</v>
      </c>
      <c r="CT25" s="2">
        <f>0</f>
        <v>0</v>
      </c>
      <c r="CU25" s="2">
        <f>0</f>
        <v>0</v>
      </c>
      <c r="CV25" s="2">
        <f>0</f>
        <v>0</v>
      </c>
      <c r="CW25" s="2">
        <f>0</f>
        <v>0</v>
      </c>
      <c r="CX25" s="2">
        <f>0</f>
        <v>0</v>
      </c>
      <c r="CY25" s="2">
        <f>0</f>
        <v>0</v>
      </c>
      <c r="CZ25" s="2">
        <f>0</f>
        <v>0</v>
      </c>
      <c r="DA25" s="2"/>
      <c r="DB25" s="2"/>
      <c r="DC25" s="2" t="s">
        <v>3</v>
      </c>
      <c r="DD25" s="2" t="s">
        <v>3</v>
      </c>
      <c r="DE25" s="2" t="s">
        <v>3</v>
      </c>
      <c r="DF25" s="2" t="s">
        <v>3</v>
      </c>
      <c r="DG25" s="2" t="s">
        <v>3</v>
      </c>
      <c r="DH25" s="2" t="s">
        <v>3</v>
      </c>
      <c r="DI25" s="2" t="s">
        <v>3</v>
      </c>
      <c r="DJ25" s="2" t="s">
        <v>3</v>
      </c>
      <c r="DK25" s="2" t="s">
        <v>3</v>
      </c>
      <c r="DL25" s="2" t="s">
        <v>3</v>
      </c>
      <c r="DM25" s="2" t="s">
        <v>3</v>
      </c>
      <c r="DN25" s="2">
        <v>0</v>
      </c>
      <c r="DO25" s="2">
        <v>0</v>
      </c>
      <c r="DP25" s="2">
        <v>1</v>
      </c>
      <c r="DQ25" s="2">
        <v>1</v>
      </c>
      <c r="DR25" s="2"/>
      <c r="DS25" s="2"/>
      <c r="DT25" s="2"/>
      <c r="DU25" s="2">
        <v>1013</v>
      </c>
      <c r="DV25" s="2" t="s">
        <v>27</v>
      </c>
      <c r="DW25" s="2" t="s">
        <v>27</v>
      </c>
      <c r="DX25" s="2">
        <v>1</v>
      </c>
      <c r="DY25" s="2"/>
      <c r="DZ25" s="2" t="s">
        <v>3</v>
      </c>
      <c r="EA25" s="2" t="s">
        <v>3</v>
      </c>
      <c r="EB25" s="2" t="s">
        <v>3</v>
      </c>
      <c r="EC25" s="2" t="s">
        <v>3</v>
      </c>
      <c r="ED25" s="2"/>
      <c r="EE25" s="2">
        <v>91082123</v>
      </c>
      <c r="EF25" s="2">
        <v>3</v>
      </c>
      <c r="EG25" s="2" t="s">
        <v>20</v>
      </c>
      <c r="EH25" s="2">
        <v>104</v>
      </c>
      <c r="EI25" s="2" t="s">
        <v>21</v>
      </c>
      <c r="EJ25" s="2">
        <v>2</v>
      </c>
      <c r="EK25" s="2">
        <v>141001</v>
      </c>
      <c r="EL25" s="2" t="s">
        <v>21</v>
      </c>
      <c r="EM25" s="2" t="s">
        <v>22</v>
      </c>
      <c r="EN25" s="2"/>
      <c r="EO25" s="2" t="s">
        <v>3</v>
      </c>
      <c r="EP25" s="2"/>
      <c r="EQ25" s="2">
        <v>1024</v>
      </c>
      <c r="ER25" s="2">
        <v>0</v>
      </c>
      <c r="ES25" s="2">
        <v>0</v>
      </c>
      <c r="ET25" s="2">
        <v>0</v>
      </c>
      <c r="EU25" s="2">
        <v>0</v>
      </c>
      <c r="EV25" s="2">
        <v>0</v>
      </c>
      <c r="EW25" s="2">
        <v>0</v>
      </c>
      <c r="EX25" s="2">
        <v>0</v>
      </c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>
        <v>0</v>
      </c>
      <c r="FR25" s="2">
        <v>0</v>
      </c>
      <c r="FS25" s="2">
        <v>0</v>
      </c>
      <c r="FT25" s="2"/>
      <c r="FU25" s="2"/>
      <c r="FV25" s="2"/>
      <c r="FW25" s="2"/>
      <c r="FX25" s="2">
        <v>89</v>
      </c>
      <c r="FY25" s="2">
        <v>44</v>
      </c>
      <c r="FZ25" s="2"/>
      <c r="GA25" s="2" t="s">
        <v>3</v>
      </c>
      <c r="GB25" s="2"/>
      <c r="GC25" s="2"/>
      <c r="GD25" s="2">
        <v>1</v>
      </c>
      <c r="GE25" s="2"/>
      <c r="GF25" s="2">
        <v>-152123987</v>
      </c>
      <c r="GG25" s="2">
        <v>2</v>
      </c>
      <c r="GH25" s="2">
        <v>1</v>
      </c>
      <c r="GI25" s="2">
        <v>-2</v>
      </c>
      <c r="GJ25" s="2">
        <v>0</v>
      </c>
      <c r="GK25" s="2">
        <v>0</v>
      </c>
      <c r="GL25" s="2">
        <f t="shared" si="21"/>
        <v>0</v>
      </c>
      <c r="GM25" s="2">
        <f t="shared" si="22"/>
        <v>166.34</v>
      </c>
      <c r="GN25" s="2">
        <f t="shared" si="23"/>
        <v>0</v>
      </c>
      <c r="GO25" s="2">
        <f t="shared" si="24"/>
        <v>166.34</v>
      </c>
      <c r="GP25" s="2">
        <f t="shared" si="25"/>
        <v>0</v>
      </c>
      <c r="GQ25" s="2"/>
      <c r="GR25" s="2">
        <v>0</v>
      </c>
      <c r="GS25" s="2">
        <v>3</v>
      </c>
      <c r="GT25" s="2">
        <v>0</v>
      </c>
      <c r="GU25" s="2" t="s">
        <v>3</v>
      </c>
      <c r="GV25" s="2">
        <f t="shared" si="26"/>
        <v>0</v>
      </c>
      <c r="GW25" s="2">
        <v>1</v>
      </c>
      <c r="GX25" s="2">
        <f t="shared" si="27"/>
        <v>0</v>
      </c>
      <c r="GY25" s="2"/>
      <c r="GZ25" s="2"/>
      <c r="HA25" s="2">
        <v>0</v>
      </c>
      <c r="HB25" s="2">
        <v>0</v>
      </c>
      <c r="HC25" s="2">
        <f>0</f>
        <v>0</v>
      </c>
      <c r="HD25" s="2"/>
      <c r="HE25" s="2" t="s">
        <v>3</v>
      </c>
      <c r="HF25" s="2" t="s">
        <v>3</v>
      </c>
      <c r="HG25" s="2"/>
      <c r="HH25" s="2"/>
      <c r="HI25" s="2"/>
      <c r="HJ25" s="2"/>
      <c r="HK25" s="2"/>
      <c r="HL25" s="2"/>
      <c r="HM25" s="2" t="s">
        <v>3</v>
      </c>
      <c r="HN25" s="2" t="s">
        <v>23</v>
      </c>
      <c r="HO25" s="2" t="s">
        <v>24</v>
      </c>
      <c r="HP25" s="2" t="s">
        <v>21</v>
      </c>
      <c r="HQ25" s="2" t="s">
        <v>21</v>
      </c>
      <c r="HR25" s="2"/>
      <c r="HS25" s="2">
        <v>0</v>
      </c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>
        <v>0</v>
      </c>
      <c r="IL25" s="2"/>
      <c r="IM25" s="2"/>
      <c r="IN25" s="2"/>
      <c r="IO25" s="2"/>
      <c r="IP25" s="2"/>
      <c r="IQ25" s="2"/>
      <c r="IR25" s="2"/>
      <c r="IS25" s="2"/>
      <c r="IT25" s="2"/>
      <c r="IU25" s="2"/>
    </row>
    <row r="26" spans="1:255" x14ac:dyDescent="0.2">
      <c r="A26" s="2">
        <v>17</v>
      </c>
      <c r="B26" s="2">
        <v>1</v>
      </c>
      <c r="C26" s="2">
        <f>ROW(SmtRes!A5)</f>
        <v>5</v>
      </c>
      <c r="D26" s="2">
        <f>ROW(EtalonRes!A4)</f>
        <v>4</v>
      </c>
      <c r="E26" s="2" t="s">
        <v>28</v>
      </c>
      <c r="F26" s="2" t="s">
        <v>29</v>
      </c>
      <c r="G26" s="2" t="s">
        <v>30</v>
      </c>
      <c r="H26" s="2" t="s">
        <v>18</v>
      </c>
      <c r="I26" s="2">
        <f>ROUND(1,7)</f>
        <v>1</v>
      </c>
      <c r="J26" s="2">
        <v>0</v>
      </c>
      <c r="K26" s="2">
        <f>ROUND(1,7)</f>
        <v>1</v>
      </c>
      <c r="L26" s="2"/>
      <c r="M26" s="2"/>
      <c r="N26" s="2"/>
      <c r="O26" s="2">
        <f>ROUND(CP26,2)</f>
        <v>24730.53</v>
      </c>
      <c r="P26" s="2">
        <f>SUMIF(SmtRes!AQ3:'SmtRes'!AQ5,"=1",SmtRes!DF3:'SmtRes'!DF5)</f>
        <v>0</v>
      </c>
      <c r="Q26" s="2">
        <f>SUMIF(SmtRes!AQ3:'SmtRes'!AQ5,"=1",SmtRes!DG3:'SmtRes'!DG5)</f>
        <v>0</v>
      </c>
      <c r="R26" s="2">
        <f>SUMIF(SmtRes!AQ3:'SmtRes'!AQ5,"=1",SmtRes!DH3:'SmtRes'!DH5)</f>
        <v>0</v>
      </c>
      <c r="S26" s="2">
        <f>SUMIF(SmtRes!AQ3:'SmtRes'!AQ5,"=1",SmtRes!DI3:'SmtRes'!DI5)</f>
        <v>24730.53</v>
      </c>
      <c r="T26" s="2">
        <f t="shared" si="14"/>
        <v>0</v>
      </c>
      <c r="U26" s="2">
        <f>SUMIF(SmtRes!AQ3:'SmtRes'!AQ5,"=1",SmtRes!CV3:'SmtRes'!CV5)</f>
        <v>33.33</v>
      </c>
      <c r="V26" s="2">
        <f>SUMIF(SmtRes!AQ3:'SmtRes'!AQ5,"=1",SmtRes!CW3:'SmtRes'!CW5)</f>
        <v>0</v>
      </c>
      <c r="W26" s="2">
        <f t="shared" si="15"/>
        <v>0</v>
      </c>
      <c r="X26" s="2">
        <f t="shared" si="16"/>
        <v>22010.17</v>
      </c>
      <c r="Y26" s="2">
        <f t="shared" si="17"/>
        <v>10881.43</v>
      </c>
      <c r="Z26" s="2"/>
      <c r="AA26" s="2">
        <v>92678453</v>
      </c>
      <c r="AB26" s="2">
        <f t="shared" si="18"/>
        <v>24730.526699999999</v>
      </c>
      <c r="AC26" s="2">
        <f>ROUND((0),6)</f>
        <v>0</v>
      </c>
      <c r="AD26" s="2">
        <f>ROUND((((0)-(0))+AE26),6)</f>
        <v>0</v>
      </c>
      <c r="AE26" s="2">
        <f>ROUND((0),6)</f>
        <v>0</v>
      </c>
      <c r="AF26" s="2">
        <f>ROUND((SUM(SmtRes!BT3:'SmtRes'!BT5)),6)</f>
        <v>24730.526699999999</v>
      </c>
      <c r="AG26" s="2">
        <f t="shared" si="19"/>
        <v>0</v>
      </c>
      <c r="AH26" s="2">
        <f>(SUM(SmtRes!BU3:'SmtRes'!BU5))</f>
        <v>33.33</v>
      </c>
      <c r="AI26" s="2">
        <f>(0)</f>
        <v>0</v>
      </c>
      <c r="AJ26" s="2">
        <f t="shared" si="20"/>
        <v>0</v>
      </c>
      <c r="AK26" s="2">
        <v>24730.526699999999</v>
      </c>
      <c r="AL26" s="2">
        <v>0</v>
      </c>
      <c r="AM26" s="2">
        <v>0</v>
      </c>
      <c r="AN26" s="2">
        <v>0</v>
      </c>
      <c r="AO26" s="2">
        <v>24730.526699999999</v>
      </c>
      <c r="AP26" s="2">
        <v>0</v>
      </c>
      <c r="AQ26" s="2">
        <v>33.33</v>
      </c>
      <c r="AR26" s="2">
        <v>0</v>
      </c>
      <c r="AS26" s="2">
        <v>0</v>
      </c>
      <c r="AT26" s="2">
        <v>89</v>
      </c>
      <c r="AU26" s="2">
        <v>44</v>
      </c>
      <c r="AV26" s="2">
        <v>1</v>
      </c>
      <c r="AW26" s="2">
        <v>1</v>
      </c>
      <c r="AX26" s="2"/>
      <c r="AY26" s="2"/>
      <c r="AZ26" s="2">
        <v>1</v>
      </c>
      <c r="BA26" s="2">
        <v>1</v>
      </c>
      <c r="BB26" s="2">
        <v>1</v>
      </c>
      <c r="BC26" s="2">
        <v>1</v>
      </c>
      <c r="BD26" s="2" t="s">
        <v>3</v>
      </c>
      <c r="BE26" s="2" t="s">
        <v>3</v>
      </c>
      <c r="BF26" s="2" t="s">
        <v>3</v>
      </c>
      <c r="BG26" s="2" t="s">
        <v>3</v>
      </c>
      <c r="BH26" s="2">
        <v>0</v>
      </c>
      <c r="BI26" s="2">
        <v>2</v>
      </c>
      <c r="BJ26" s="2" t="s">
        <v>31</v>
      </c>
      <c r="BK26" s="2"/>
      <c r="BL26" s="2"/>
      <c r="BM26" s="2">
        <v>141002</v>
      </c>
      <c r="BN26" s="2">
        <v>0</v>
      </c>
      <c r="BO26" s="2" t="s">
        <v>3</v>
      </c>
      <c r="BP26" s="2">
        <v>0</v>
      </c>
      <c r="BQ26" s="2">
        <v>3</v>
      </c>
      <c r="BR26" s="2">
        <v>0</v>
      </c>
      <c r="BS26" s="2">
        <v>1</v>
      </c>
      <c r="BT26" s="2">
        <v>1</v>
      </c>
      <c r="BU26" s="2">
        <v>1</v>
      </c>
      <c r="BV26" s="2">
        <v>1</v>
      </c>
      <c r="BW26" s="2">
        <v>1</v>
      </c>
      <c r="BX26" s="2">
        <v>1</v>
      </c>
      <c r="BY26" s="2" t="s">
        <v>3</v>
      </c>
      <c r="BZ26" s="2">
        <v>89</v>
      </c>
      <c r="CA26" s="2">
        <v>44</v>
      </c>
      <c r="CB26" s="2" t="s">
        <v>3</v>
      </c>
      <c r="CC26" s="2"/>
      <c r="CD26" s="2"/>
      <c r="CE26" s="2">
        <v>0</v>
      </c>
      <c r="CF26" s="2">
        <v>0</v>
      </c>
      <c r="CG26" s="2">
        <v>0</v>
      </c>
      <c r="CH26" s="2"/>
      <c r="CI26" s="2"/>
      <c r="CJ26" s="2"/>
      <c r="CK26" s="2"/>
      <c r="CL26" s="2"/>
      <c r="CM26" s="2">
        <v>0</v>
      </c>
      <c r="CN26" s="2" t="s">
        <v>3</v>
      </c>
      <c r="CO26" s="2">
        <v>0</v>
      </c>
      <c r="CP26" s="2">
        <f>(P26+Q26+S26+R26)</f>
        <v>24730.53</v>
      </c>
      <c r="CQ26" s="2">
        <f>SUMIF(SmtRes!AQ3:'SmtRes'!AQ5,"=1",SmtRes!AA3:'SmtRes'!AA5)</f>
        <v>0</v>
      </c>
      <c r="CR26" s="2">
        <f>SUMIF(SmtRes!AQ3:'SmtRes'!AQ5,"=1",SmtRes!AB3:'SmtRes'!AB5)</f>
        <v>0</v>
      </c>
      <c r="CS26" s="2">
        <f>SUMIF(SmtRes!AQ3:'SmtRes'!AQ5,"=1",SmtRes!AC3:'SmtRes'!AC5)</f>
        <v>0</v>
      </c>
      <c r="CT26" s="2">
        <f>SUMIF(SmtRes!AQ3:'SmtRes'!AQ5,"=1",SmtRes!AD3:'SmtRes'!AD5)</f>
        <v>741.99</v>
      </c>
      <c r="CU26" s="2">
        <f>AG26</f>
        <v>0</v>
      </c>
      <c r="CV26" s="2">
        <f>SUMIF(SmtRes!AQ3:'SmtRes'!AQ5,"=1",SmtRes!BU3:'SmtRes'!BU5)</f>
        <v>33.33</v>
      </c>
      <c r="CW26" s="2">
        <f>SUMIF(SmtRes!AQ3:'SmtRes'!AQ5,"=1",SmtRes!BV3:'SmtRes'!BV5)</f>
        <v>0</v>
      </c>
      <c r="CX26" s="2">
        <f>AJ26</f>
        <v>0</v>
      </c>
      <c r="CY26" s="2">
        <f>(((S26+R26)*AT26)/100)</f>
        <v>22010.171699999999</v>
      </c>
      <c r="CZ26" s="2">
        <f>(((S26+R26)*AU26)/100)</f>
        <v>10881.433199999998</v>
      </c>
      <c r="DA26" s="2"/>
      <c r="DB26" s="2"/>
      <c r="DC26" s="2" t="s">
        <v>3</v>
      </c>
      <c r="DD26" s="2" t="s">
        <v>3</v>
      </c>
      <c r="DE26" s="2" t="s">
        <v>3</v>
      </c>
      <c r="DF26" s="2" t="s">
        <v>3</v>
      </c>
      <c r="DG26" s="2" t="s">
        <v>3</v>
      </c>
      <c r="DH26" s="2" t="s">
        <v>3</v>
      </c>
      <c r="DI26" s="2" t="s">
        <v>3</v>
      </c>
      <c r="DJ26" s="2" t="s">
        <v>3</v>
      </c>
      <c r="DK26" s="2" t="s">
        <v>3</v>
      </c>
      <c r="DL26" s="2" t="s">
        <v>3</v>
      </c>
      <c r="DM26" s="2" t="s">
        <v>3</v>
      </c>
      <c r="DN26" s="2">
        <v>0</v>
      </c>
      <c r="DO26" s="2">
        <v>0</v>
      </c>
      <c r="DP26" s="2">
        <v>1</v>
      </c>
      <c r="DQ26" s="2">
        <v>1</v>
      </c>
      <c r="DR26" s="2"/>
      <c r="DS26" s="2"/>
      <c r="DT26" s="2"/>
      <c r="DU26" s="2">
        <v>1013</v>
      </c>
      <c r="DV26" s="2" t="s">
        <v>18</v>
      </c>
      <c r="DW26" s="2" t="s">
        <v>18</v>
      </c>
      <c r="DX26" s="2">
        <v>1</v>
      </c>
      <c r="DY26" s="2"/>
      <c r="DZ26" s="2" t="s">
        <v>3</v>
      </c>
      <c r="EA26" s="2" t="s">
        <v>3</v>
      </c>
      <c r="EB26" s="2" t="s">
        <v>3</v>
      </c>
      <c r="EC26" s="2" t="s">
        <v>3</v>
      </c>
      <c r="ED26" s="2"/>
      <c r="EE26" s="2">
        <v>91082393</v>
      </c>
      <c r="EF26" s="2">
        <v>3</v>
      </c>
      <c r="EG26" s="2" t="s">
        <v>20</v>
      </c>
      <c r="EH26" s="2">
        <v>104</v>
      </c>
      <c r="EI26" s="2" t="s">
        <v>21</v>
      </c>
      <c r="EJ26" s="2">
        <v>2</v>
      </c>
      <c r="EK26" s="2">
        <v>141002</v>
      </c>
      <c r="EL26" s="2" t="s">
        <v>21</v>
      </c>
      <c r="EM26" s="2" t="s">
        <v>22</v>
      </c>
      <c r="EN26" s="2"/>
      <c r="EO26" s="2" t="s">
        <v>3</v>
      </c>
      <c r="EP26" s="2"/>
      <c r="EQ26" s="2">
        <v>0</v>
      </c>
      <c r="ER26" s="2">
        <v>0</v>
      </c>
      <c r="ES26" s="2">
        <v>0</v>
      </c>
      <c r="ET26" s="2">
        <v>0</v>
      </c>
      <c r="EU26" s="2">
        <v>0</v>
      </c>
      <c r="EV26" s="2">
        <v>0</v>
      </c>
      <c r="EW26" s="2">
        <v>33.33</v>
      </c>
      <c r="EX26" s="2">
        <v>0</v>
      </c>
      <c r="EY26" s="2">
        <v>0</v>
      </c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>
        <v>0</v>
      </c>
      <c r="FR26" s="2">
        <v>0</v>
      </c>
      <c r="FS26" s="2">
        <v>0</v>
      </c>
      <c r="FT26" s="2"/>
      <c r="FU26" s="2"/>
      <c r="FV26" s="2"/>
      <c r="FW26" s="2"/>
      <c r="FX26" s="2">
        <v>89</v>
      </c>
      <c r="FY26" s="2">
        <v>44</v>
      </c>
      <c r="FZ26" s="2"/>
      <c r="GA26" s="2" t="s">
        <v>3</v>
      </c>
      <c r="GB26" s="2"/>
      <c r="GC26" s="2"/>
      <c r="GD26" s="2">
        <v>1</v>
      </c>
      <c r="GE26" s="2"/>
      <c r="GF26" s="2">
        <v>-1274421231</v>
      </c>
      <c r="GG26" s="2">
        <v>2</v>
      </c>
      <c r="GH26" s="2">
        <v>1</v>
      </c>
      <c r="GI26" s="2">
        <v>-2</v>
      </c>
      <c r="GJ26" s="2">
        <v>0</v>
      </c>
      <c r="GK26" s="2">
        <v>0</v>
      </c>
      <c r="GL26" s="2">
        <f t="shared" si="21"/>
        <v>0</v>
      </c>
      <c r="GM26" s="2">
        <f t="shared" si="22"/>
        <v>57622.13</v>
      </c>
      <c r="GN26" s="2">
        <f t="shared" si="23"/>
        <v>0</v>
      </c>
      <c r="GO26" s="2">
        <f t="shared" si="24"/>
        <v>57622.13</v>
      </c>
      <c r="GP26" s="2">
        <f t="shared" si="25"/>
        <v>0</v>
      </c>
      <c r="GQ26" s="2"/>
      <c r="GR26" s="2">
        <v>0</v>
      </c>
      <c r="GS26" s="2">
        <v>3</v>
      </c>
      <c r="GT26" s="2">
        <v>0</v>
      </c>
      <c r="GU26" s="2" t="s">
        <v>3</v>
      </c>
      <c r="GV26" s="2">
        <f t="shared" si="26"/>
        <v>0</v>
      </c>
      <c r="GW26" s="2">
        <v>1</v>
      </c>
      <c r="GX26" s="2">
        <f t="shared" si="27"/>
        <v>0</v>
      </c>
      <c r="GY26" s="2"/>
      <c r="GZ26" s="2"/>
      <c r="HA26" s="2">
        <v>0</v>
      </c>
      <c r="HB26" s="2">
        <v>0</v>
      </c>
      <c r="HC26" s="2">
        <f>GV26*GW26</f>
        <v>0</v>
      </c>
      <c r="HD26" s="2"/>
      <c r="HE26" s="2" t="s">
        <v>3</v>
      </c>
      <c r="HF26" s="2" t="s">
        <v>3</v>
      </c>
      <c r="HG26" s="2"/>
      <c r="HH26" s="2"/>
      <c r="HI26" s="2"/>
      <c r="HJ26" s="2"/>
      <c r="HK26" s="2"/>
      <c r="HL26" s="2"/>
      <c r="HM26" s="2" t="s">
        <v>3</v>
      </c>
      <c r="HN26" s="2" t="s">
        <v>23</v>
      </c>
      <c r="HO26" s="2" t="s">
        <v>24</v>
      </c>
      <c r="HP26" s="2" t="s">
        <v>21</v>
      </c>
      <c r="HQ26" s="2" t="s">
        <v>21</v>
      </c>
      <c r="HR26" s="2"/>
      <c r="HS26" s="2">
        <v>0</v>
      </c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>
        <v>0</v>
      </c>
      <c r="IL26" s="2"/>
      <c r="IM26" s="2"/>
      <c r="IN26" s="2"/>
      <c r="IO26" s="2"/>
      <c r="IP26" s="2"/>
      <c r="IQ26" s="2"/>
      <c r="IR26" s="2"/>
      <c r="IS26" s="2"/>
      <c r="IT26" s="2"/>
      <c r="IU26" s="2"/>
    </row>
    <row r="27" spans="1:255" x14ac:dyDescent="0.2">
      <c r="A27" s="2">
        <v>18</v>
      </c>
      <c r="B27" s="2">
        <v>1</v>
      </c>
      <c r="C27" s="2">
        <v>5</v>
      </c>
      <c r="D27" s="2"/>
      <c r="E27" s="2" t="s">
        <v>32</v>
      </c>
      <c r="F27" s="2" t="s">
        <v>33</v>
      </c>
      <c r="G27" s="2" t="s">
        <v>34</v>
      </c>
      <c r="H27" s="2" t="s">
        <v>35</v>
      </c>
      <c r="I27" s="2">
        <f>I26*J27</f>
        <v>1</v>
      </c>
      <c r="J27" s="2">
        <v>1</v>
      </c>
      <c r="K27" s="2">
        <v>1</v>
      </c>
      <c r="L27" s="2"/>
      <c r="M27" s="2"/>
      <c r="N27" s="2"/>
      <c r="O27" s="2">
        <f>ROUND(CP27,2)</f>
        <v>18095.240000000002</v>
      </c>
      <c r="P27" s="2">
        <f>ROUND(CQ27*I27,2)</f>
        <v>18095.240000000002</v>
      </c>
      <c r="Q27" s="2">
        <f>ROUND(CR27*I27,2)</f>
        <v>0</v>
      </c>
      <c r="R27" s="2">
        <f>ROUND(CS27*I27,2)</f>
        <v>0</v>
      </c>
      <c r="S27" s="2">
        <f>ROUND(CT27*I27,2)</f>
        <v>0</v>
      </c>
      <c r="T27" s="2">
        <f t="shared" si="14"/>
        <v>0</v>
      </c>
      <c r="U27" s="2">
        <f>ROUND(CV27*I27,7)</f>
        <v>0</v>
      </c>
      <c r="V27" s="2">
        <f>ROUND(CW27*I27,7)</f>
        <v>0</v>
      </c>
      <c r="W27" s="2">
        <f t="shared" si="15"/>
        <v>0</v>
      </c>
      <c r="X27" s="2">
        <f t="shared" si="16"/>
        <v>0</v>
      </c>
      <c r="Y27" s="2">
        <f t="shared" si="17"/>
        <v>0</v>
      </c>
      <c r="Z27" s="2"/>
      <c r="AA27" s="2">
        <v>92678453</v>
      </c>
      <c r="AB27" s="2">
        <f t="shared" si="18"/>
        <v>18095.240000000002</v>
      </c>
      <c r="AC27" s="2">
        <f>ROUND((ES27),6)</f>
        <v>18095.240000000002</v>
      </c>
      <c r="AD27" s="2">
        <f>ROUND((((ET27)-(EU27))+AE27),6)</f>
        <v>0</v>
      </c>
      <c r="AE27" s="2">
        <f>ROUND((EU27),6)</f>
        <v>0</v>
      </c>
      <c r="AF27" s="2">
        <f>ROUND((EV27),6)</f>
        <v>0</v>
      </c>
      <c r="AG27" s="2">
        <f t="shared" si="19"/>
        <v>0</v>
      </c>
      <c r="AH27" s="2">
        <f>(EW27)</f>
        <v>0</v>
      </c>
      <c r="AI27" s="2">
        <f>(EX27)</f>
        <v>0</v>
      </c>
      <c r="AJ27" s="2">
        <f t="shared" si="20"/>
        <v>0</v>
      </c>
      <c r="AK27" s="2">
        <v>18095.240000000002</v>
      </c>
      <c r="AL27" s="2">
        <v>18095.240000000002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v>44</v>
      </c>
      <c r="AV27" s="2">
        <v>1</v>
      </c>
      <c r="AW27" s="2">
        <v>1</v>
      </c>
      <c r="AX27" s="2"/>
      <c r="AY27" s="2"/>
      <c r="AZ27" s="2">
        <v>1</v>
      </c>
      <c r="BA27" s="2">
        <v>1</v>
      </c>
      <c r="BB27" s="2">
        <v>1</v>
      </c>
      <c r="BC27" s="2">
        <v>1</v>
      </c>
      <c r="BD27" s="2" t="s">
        <v>3</v>
      </c>
      <c r="BE27" s="2" t="s">
        <v>3</v>
      </c>
      <c r="BF27" s="2" t="s">
        <v>3</v>
      </c>
      <c r="BG27" s="2" t="s">
        <v>3</v>
      </c>
      <c r="BH27" s="2">
        <v>3</v>
      </c>
      <c r="BI27" s="2">
        <v>3</v>
      </c>
      <c r="BJ27" s="2" t="s">
        <v>3</v>
      </c>
      <c r="BK27" s="2"/>
      <c r="BL27" s="2"/>
      <c r="BM27" s="2">
        <v>100</v>
      </c>
      <c r="BN27" s="2">
        <v>0</v>
      </c>
      <c r="BO27" s="2" t="s">
        <v>3</v>
      </c>
      <c r="BP27" s="2">
        <v>0</v>
      </c>
      <c r="BQ27" s="2">
        <v>5</v>
      </c>
      <c r="BR27" s="2">
        <v>0</v>
      </c>
      <c r="BS27" s="2">
        <v>1</v>
      </c>
      <c r="BT27" s="2">
        <v>1</v>
      </c>
      <c r="BU27" s="2">
        <v>1</v>
      </c>
      <c r="BV27" s="2">
        <v>1</v>
      </c>
      <c r="BW27" s="2">
        <v>1</v>
      </c>
      <c r="BX27" s="2">
        <v>1</v>
      </c>
      <c r="BY27" s="2" t="s">
        <v>3</v>
      </c>
      <c r="BZ27" s="2">
        <v>89</v>
      </c>
      <c r="CA27" s="2">
        <v>44</v>
      </c>
      <c r="CB27" s="2" t="s">
        <v>3</v>
      </c>
      <c r="CC27" s="2"/>
      <c r="CD27" s="2"/>
      <c r="CE27" s="2">
        <v>0</v>
      </c>
      <c r="CF27" s="2">
        <v>0</v>
      </c>
      <c r="CG27" s="2">
        <v>0</v>
      </c>
      <c r="CH27" s="2"/>
      <c r="CI27" s="2"/>
      <c r="CJ27" s="2"/>
      <c r="CK27" s="2"/>
      <c r="CL27" s="2"/>
      <c r="CM27" s="2">
        <v>0</v>
      </c>
      <c r="CN27" s="2" t="s">
        <v>3</v>
      </c>
      <c r="CO27" s="2">
        <v>0</v>
      </c>
      <c r="CP27" s="2">
        <f>(P27+Q27+S27+R27)</f>
        <v>18095.240000000002</v>
      </c>
      <c r="CQ27" s="2">
        <f>ROUND(AL27,2)</f>
        <v>18095.240000000002</v>
      </c>
      <c r="CR27" s="2">
        <f>ROUND(AM27,2)</f>
        <v>0</v>
      </c>
      <c r="CS27" s="2">
        <f>ROUND(AN27*BS27,2)</f>
        <v>0</v>
      </c>
      <c r="CT27" s="2">
        <f>ROUND(AO27*BA27,2)</f>
        <v>0</v>
      </c>
      <c r="CU27" s="2">
        <f>AG27</f>
        <v>0</v>
      </c>
      <c r="CV27" s="2">
        <f>AH27</f>
        <v>0</v>
      </c>
      <c r="CW27" s="2">
        <f>AI27</f>
        <v>0</v>
      </c>
      <c r="CX27" s="2">
        <f>AJ27</f>
        <v>0</v>
      </c>
      <c r="CY27" s="2">
        <f>0</f>
        <v>0</v>
      </c>
      <c r="CZ27" s="2">
        <f>0</f>
        <v>0</v>
      </c>
      <c r="DA27" s="2"/>
      <c r="DB27" s="2"/>
      <c r="DC27" s="2" t="s">
        <v>3</v>
      </c>
      <c r="DD27" s="2" t="s">
        <v>3</v>
      </c>
      <c r="DE27" s="2" t="s">
        <v>3</v>
      </c>
      <c r="DF27" s="2" t="s">
        <v>3</v>
      </c>
      <c r="DG27" s="2" t="s">
        <v>3</v>
      </c>
      <c r="DH27" s="2" t="s">
        <v>3</v>
      </c>
      <c r="DI27" s="2" t="s">
        <v>3</v>
      </c>
      <c r="DJ27" s="2" t="s">
        <v>3</v>
      </c>
      <c r="DK27" s="2" t="s">
        <v>3</v>
      </c>
      <c r="DL27" s="2" t="s">
        <v>3</v>
      </c>
      <c r="DM27" s="2" t="s">
        <v>3</v>
      </c>
      <c r="DN27" s="2">
        <v>0</v>
      </c>
      <c r="DO27" s="2">
        <v>0</v>
      </c>
      <c r="DP27" s="2">
        <v>1</v>
      </c>
      <c r="DQ27" s="2">
        <v>1</v>
      </c>
      <c r="DR27" s="2"/>
      <c r="DS27" s="2"/>
      <c r="DT27" s="2"/>
      <c r="DU27" s="2">
        <v>1013</v>
      </c>
      <c r="DV27" s="2" t="s">
        <v>35</v>
      </c>
      <c r="DW27" s="2" t="s">
        <v>35</v>
      </c>
      <c r="DX27" s="2">
        <v>1</v>
      </c>
      <c r="DY27" s="2"/>
      <c r="DZ27" s="2" t="s">
        <v>3</v>
      </c>
      <c r="EA27" s="2" t="s">
        <v>3</v>
      </c>
      <c r="EB27" s="2" t="s">
        <v>3</v>
      </c>
      <c r="EC27" s="2" t="s">
        <v>3</v>
      </c>
      <c r="ED27" s="2"/>
      <c r="EE27" s="2">
        <v>91082373</v>
      </c>
      <c r="EF27" s="2">
        <v>5</v>
      </c>
      <c r="EG27" s="2" t="s">
        <v>36</v>
      </c>
      <c r="EH27" s="2">
        <v>0</v>
      </c>
      <c r="EI27" s="2" t="s">
        <v>3</v>
      </c>
      <c r="EJ27" s="2">
        <v>3</v>
      </c>
      <c r="EK27" s="2">
        <v>100</v>
      </c>
      <c r="EL27" s="2" t="s">
        <v>37</v>
      </c>
      <c r="EM27" s="2" t="s">
        <v>38</v>
      </c>
      <c r="EN27" s="2"/>
      <c r="EO27" s="2" t="s">
        <v>3</v>
      </c>
      <c r="EP27" s="2"/>
      <c r="EQ27" s="2">
        <v>0</v>
      </c>
      <c r="ER27" s="2">
        <v>18095.240000000002</v>
      </c>
      <c r="ES27" s="2">
        <v>18095.240000000002</v>
      </c>
      <c r="ET27" s="2">
        <v>0</v>
      </c>
      <c r="EU27" s="2">
        <v>0</v>
      </c>
      <c r="EV27" s="2">
        <v>0</v>
      </c>
      <c r="EW27" s="2">
        <v>0</v>
      </c>
      <c r="EX27" s="2">
        <v>0</v>
      </c>
      <c r="EY27" s="2"/>
      <c r="EZ27" s="2">
        <v>5</v>
      </c>
      <c r="FA27" s="2"/>
      <c r="FB27" s="2"/>
      <c r="FC27" s="2">
        <v>1</v>
      </c>
      <c r="FD27" s="2">
        <v>18</v>
      </c>
      <c r="FE27" s="2"/>
      <c r="FF27" s="2">
        <v>22076.19</v>
      </c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>
        <v>0</v>
      </c>
      <c r="FR27" s="2">
        <f>P27</f>
        <v>18095.240000000002</v>
      </c>
      <c r="FS27" s="2">
        <v>0</v>
      </c>
      <c r="FT27" s="2"/>
      <c r="FU27" s="2"/>
      <c r="FV27" s="2"/>
      <c r="FW27" s="2"/>
      <c r="FX27" s="2">
        <v>89</v>
      </c>
      <c r="FY27" s="2">
        <v>44</v>
      </c>
      <c r="FZ27" s="2"/>
      <c r="GA27" s="2" t="s">
        <v>39</v>
      </c>
      <c r="GB27" s="2"/>
      <c r="GC27" s="2"/>
      <c r="GD27" s="2">
        <v>1</v>
      </c>
      <c r="GE27" s="2"/>
      <c r="GF27" s="2">
        <v>-1954255853</v>
      </c>
      <c r="GG27" s="2">
        <v>2</v>
      </c>
      <c r="GH27" s="2">
        <v>3</v>
      </c>
      <c r="GI27" s="2">
        <v>-2</v>
      </c>
      <c r="GJ27" s="2">
        <v>0</v>
      </c>
      <c r="GK27" s="2">
        <v>0</v>
      </c>
      <c r="GL27" s="2">
        <f t="shared" si="21"/>
        <v>0</v>
      </c>
      <c r="GM27" s="2">
        <f t="shared" si="22"/>
        <v>18095.240000000002</v>
      </c>
      <c r="GN27" s="2">
        <f t="shared" si="23"/>
        <v>0</v>
      </c>
      <c r="GO27" s="2">
        <f t="shared" si="24"/>
        <v>0</v>
      </c>
      <c r="GP27" s="2">
        <f t="shared" si="25"/>
        <v>0</v>
      </c>
      <c r="GQ27" s="2"/>
      <c r="GR27" s="2">
        <v>1</v>
      </c>
      <c r="GS27" s="2">
        <v>1</v>
      </c>
      <c r="GT27" s="2">
        <v>0</v>
      </c>
      <c r="GU27" s="2" t="s">
        <v>3</v>
      </c>
      <c r="GV27" s="2">
        <f t="shared" si="26"/>
        <v>0</v>
      </c>
      <c r="GW27" s="2">
        <v>1</v>
      </c>
      <c r="GX27" s="2">
        <f t="shared" si="27"/>
        <v>0</v>
      </c>
      <c r="GY27" s="2"/>
      <c r="GZ27" s="2"/>
      <c r="HA27" s="2">
        <v>0</v>
      </c>
      <c r="HB27" s="2">
        <v>0</v>
      </c>
      <c r="HC27" s="2">
        <f>GV27*GW27</f>
        <v>0</v>
      </c>
      <c r="HD27" s="2"/>
      <c r="HE27" s="2" t="s">
        <v>40</v>
      </c>
      <c r="HF27" s="2" t="s">
        <v>40</v>
      </c>
      <c r="HG27" s="2"/>
      <c r="HH27" s="2">
        <f>ROUND(ROUND(AL27,2)*I27,2)</f>
        <v>18095.240000000002</v>
      </c>
      <c r="HI27" s="2"/>
      <c r="HJ27" s="2"/>
      <c r="HK27" s="2"/>
      <c r="HL27" s="2"/>
      <c r="HM27" s="2" t="s">
        <v>3</v>
      </c>
      <c r="HN27" s="2" t="s">
        <v>3</v>
      </c>
      <c r="HO27" s="2" t="s">
        <v>3</v>
      </c>
      <c r="HP27" s="2" t="s">
        <v>3</v>
      </c>
      <c r="HQ27" s="2" t="s">
        <v>3</v>
      </c>
      <c r="HR27" s="2"/>
      <c r="HS27" s="2">
        <v>0</v>
      </c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>
        <v>0</v>
      </c>
      <c r="IL27" s="2"/>
      <c r="IM27" s="2"/>
      <c r="IN27" s="2"/>
      <c r="IO27" s="2"/>
      <c r="IP27" s="2"/>
      <c r="IQ27" s="2"/>
      <c r="IR27" s="2"/>
      <c r="IS27" s="2"/>
      <c r="IT27" s="2"/>
      <c r="IU27" s="2"/>
    </row>
    <row r="28" spans="1:255" x14ac:dyDescent="0.2">
      <c r="A28" s="2">
        <v>18</v>
      </c>
      <c r="B28" s="2">
        <v>1</v>
      </c>
      <c r="C28" s="2">
        <v>4</v>
      </c>
      <c r="D28" s="2"/>
      <c r="E28" s="2" t="s">
        <v>41</v>
      </c>
      <c r="F28" s="2" t="s">
        <v>25</v>
      </c>
      <c r="G28" s="2" t="s">
        <v>26</v>
      </c>
      <c r="H28" s="2" t="s">
        <v>27</v>
      </c>
      <c r="I28" s="2">
        <f>J28</f>
        <v>3</v>
      </c>
      <c r="J28" s="2">
        <v>3</v>
      </c>
      <c r="K28" s="2">
        <v>3</v>
      </c>
      <c r="L28" s="2"/>
      <c r="M28" s="2"/>
      <c r="N28" s="2"/>
      <c r="O28" s="2">
        <f>ROUND(P28,2)</f>
        <v>741.92</v>
      </c>
      <c r="P28" s="2">
        <f>ROUND(ROUND(ROUND(SUMIF(SmtRes!AQ3:'SmtRes'!AQ5,"=1",SmtRes!CU3:'SmtRes'!CU5),2),2)*I28/100,2)</f>
        <v>741.92</v>
      </c>
      <c r="Q28" s="2">
        <f>ROUND(CR28*I28,2)</f>
        <v>0</v>
      </c>
      <c r="R28" s="2">
        <f>ROUND(CS28*I28,2)</f>
        <v>0</v>
      </c>
      <c r="S28" s="2">
        <f>ROUND(CT28*I28,2)</f>
        <v>0</v>
      </c>
      <c r="T28" s="2">
        <f t="shared" si="14"/>
        <v>0</v>
      </c>
      <c r="U28" s="2">
        <f>ROUND(CV28*I28,7)</f>
        <v>0</v>
      </c>
      <c r="V28" s="2">
        <f>ROUND(CW28*I28,7)</f>
        <v>0</v>
      </c>
      <c r="W28" s="2">
        <f t="shared" si="15"/>
        <v>0</v>
      </c>
      <c r="X28" s="2">
        <f t="shared" si="16"/>
        <v>0</v>
      </c>
      <c r="Y28" s="2">
        <f t="shared" si="17"/>
        <v>0</v>
      </c>
      <c r="Z28" s="2"/>
      <c r="AA28" s="2">
        <v>92678453</v>
      </c>
      <c r="AB28" s="2">
        <f t="shared" si="18"/>
        <v>0</v>
      </c>
      <c r="AC28" s="2">
        <f>ROUND((ES28),6)</f>
        <v>0</v>
      </c>
      <c r="AD28" s="2">
        <f>ROUND((((ET28)-(EU28))+AE28),6)</f>
        <v>0</v>
      </c>
      <c r="AE28" s="2">
        <f>ROUND((EU28),6)</f>
        <v>0</v>
      </c>
      <c r="AF28" s="2">
        <f>ROUND((EV28),6)</f>
        <v>0</v>
      </c>
      <c r="AG28" s="2">
        <f t="shared" si="19"/>
        <v>0</v>
      </c>
      <c r="AH28" s="2">
        <f>(EW28)</f>
        <v>0</v>
      </c>
      <c r="AI28" s="2">
        <f>(EX28)</f>
        <v>0</v>
      </c>
      <c r="AJ28" s="2">
        <f t="shared" si="20"/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2">
        <v>89</v>
      </c>
      <c r="AU28" s="2">
        <v>44</v>
      </c>
      <c r="AV28" s="2">
        <v>1</v>
      </c>
      <c r="AW28" s="2">
        <v>1</v>
      </c>
      <c r="AX28" s="2"/>
      <c r="AY28" s="2"/>
      <c r="AZ28" s="2">
        <v>1</v>
      </c>
      <c r="BA28" s="2">
        <v>1</v>
      </c>
      <c r="BB28" s="2">
        <v>1</v>
      </c>
      <c r="BC28" s="2">
        <v>1</v>
      </c>
      <c r="BD28" s="2" t="s">
        <v>3</v>
      </c>
      <c r="BE28" s="2" t="s">
        <v>3</v>
      </c>
      <c r="BF28" s="2" t="s">
        <v>3</v>
      </c>
      <c r="BG28" s="2" t="s">
        <v>3</v>
      </c>
      <c r="BH28" s="2">
        <v>3</v>
      </c>
      <c r="BI28" s="2">
        <v>2</v>
      </c>
      <c r="BJ28" s="2" t="s">
        <v>3</v>
      </c>
      <c r="BK28" s="2"/>
      <c r="BL28" s="2"/>
      <c r="BM28" s="2">
        <v>141002</v>
      </c>
      <c r="BN28" s="2">
        <v>0</v>
      </c>
      <c r="BO28" s="2" t="s">
        <v>3</v>
      </c>
      <c r="BP28" s="2">
        <v>0</v>
      </c>
      <c r="BQ28" s="2">
        <v>3</v>
      </c>
      <c r="BR28" s="2">
        <v>0</v>
      </c>
      <c r="BS28" s="2">
        <v>1</v>
      </c>
      <c r="BT28" s="2">
        <v>1</v>
      </c>
      <c r="BU28" s="2">
        <v>1</v>
      </c>
      <c r="BV28" s="2">
        <v>1</v>
      </c>
      <c r="BW28" s="2">
        <v>1</v>
      </c>
      <c r="BX28" s="2">
        <v>1</v>
      </c>
      <c r="BY28" s="2" t="s">
        <v>3</v>
      </c>
      <c r="BZ28" s="2">
        <v>89</v>
      </c>
      <c r="CA28" s="2">
        <v>44</v>
      </c>
      <c r="CB28" s="2" t="s">
        <v>3</v>
      </c>
      <c r="CC28" s="2"/>
      <c r="CD28" s="2"/>
      <c r="CE28" s="2">
        <v>0</v>
      </c>
      <c r="CF28" s="2">
        <v>0</v>
      </c>
      <c r="CG28" s="2">
        <v>0</v>
      </c>
      <c r="CH28" s="2"/>
      <c r="CI28" s="2"/>
      <c r="CJ28" s="2"/>
      <c r="CK28" s="2"/>
      <c r="CL28" s="2"/>
      <c r="CM28" s="2">
        <v>0</v>
      </c>
      <c r="CN28" s="2" t="s">
        <v>3</v>
      </c>
      <c r="CO28" s="2">
        <v>0</v>
      </c>
      <c r="CP28" s="2">
        <f>0</f>
        <v>0</v>
      </c>
      <c r="CQ28" s="2">
        <f>0</f>
        <v>0</v>
      </c>
      <c r="CR28" s="2">
        <f>0</f>
        <v>0</v>
      </c>
      <c r="CS28" s="2">
        <f>0</f>
        <v>0</v>
      </c>
      <c r="CT28" s="2">
        <f>0</f>
        <v>0</v>
      </c>
      <c r="CU28" s="2">
        <f>0</f>
        <v>0</v>
      </c>
      <c r="CV28" s="2">
        <f>0</f>
        <v>0</v>
      </c>
      <c r="CW28" s="2">
        <f>0</f>
        <v>0</v>
      </c>
      <c r="CX28" s="2">
        <f>0</f>
        <v>0</v>
      </c>
      <c r="CY28" s="2">
        <f>0</f>
        <v>0</v>
      </c>
      <c r="CZ28" s="2">
        <f>0</f>
        <v>0</v>
      </c>
      <c r="DA28" s="2"/>
      <c r="DB28" s="2"/>
      <c r="DC28" s="2" t="s">
        <v>3</v>
      </c>
      <c r="DD28" s="2" t="s">
        <v>3</v>
      </c>
      <c r="DE28" s="2" t="s">
        <v>3</v>
      </c>
      <c r="DF28" s="2" t="s">
        <v>3</v>
      </c>
      <c r="DG28" s="2" t="s">
        <v>3</v>
      </c>
      <c r="DH28" s="2" t="s">
        <v>3</v>
      </c>
      <c r="DI28" s="2" t="s">
        <v>3</v>
      </c>
      <c r="DJ28" s="2" t="s">
        <v>3</v>
      </c>
      <c r="DK28" s="2" t="s">
        <v>3</v>
      </c>
      <c r="DL28" s="2" t="s">
        <v>3</v>
      </c>
      <c r="DM28" s="2" t="s">
        <v>3</v>
      </c>
      <c r="DN28" s="2">
        <v>0</v>
      </c>
      <c r="DO28" s="2">
        <v>0</v>
      </c>
      <c r="DP28" s="2">
        <v>1</v>
      </c>
      <c r="DQ28" s="2">
        <v>1</v>
      </c>
      <c r="DR28" s="2"/>
      <c r="DS28" s="2"/>
      <c r="DT28" s="2"/>
      <c r="DU28" s="2">
        <v>1013</v>
      </c>
      <c r="DV28" s="2" t="s">
        <v>27</v>
      </c>
      <c r="DW28" s="2" t="s">
        <v>27</v>
      </c>
      <c r="DX28" s="2">
        <v>1</v>
      </c>
      <c r="DY28" s="2"/>
      <c r="DZ28" s="2" t="s">
        <v>3</v>
      </c>
      <c r="EA28" s="2" t="s">
        <v>3</v>
      </c>
      <c r="EB28" s="2" t="s">
        <v>3</v>
      </c>
      <c r="EC28" s="2" t="s">
        <v>3</v>
      </c>
      <c r="ED28" s="2"/>
      <c r="EE28" s="2">
        <v>91082393</v>
      </c>
      <c r="EF28" s="2">
        <v>3</v>
      </c>
      <c r="EG28" s="2" t="s">
        <v>20</v>
      </c>
      <c r="EH28" s="2">
        <v>104</v>
      </c>
      <c r="EI28" s="2" t="s">
        <v>21</v>
      </c>
      <c r="EJ28" s="2">
        <v>2</v>
      </c>
      <c r="EK28" s="2">
        <v>141002</v>
      </c>
      <c r="EL28" s="2" t="s">
        <v>21</v>
      </c>
      <c r="EM28" s="2" t="s">
        <v>22</v>
      </c>
      <c r="EN28" s="2"/>
      <c r="EO28" s="2" t="s">
        <v>3</v>
      </c>
      <c r="EP28" s="2"/>
      <c r="EQ28" s="2">
        <v>0</v>
      </c>
      <c r="ER28" s="2">
        <v>0</v>
      </c>
      <c r="ES28" s="2">
        <v>0</v>
      </c>
      <c r="ET28" s="2">
        <v>0</v>
      </c>
      <c r="EU28" s="2">
        <v>0</v>
      </c>
      <c r="EV28" s="2">
        <v>0</v>
      </c>
      <c r="EW28" s="2">
        <v>0</v>
      </c>
      <c r="EX28" s="2">
        <v>0</v>
      </c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>
        <v>0</v>
      </c>
      <c r="FR28" s="2">
        <v>0</v>
      </c>
      <c r="FS28" s="2">
        <v>0</v>
      </c>
      <c r="FT28" s="2"/>
      <c r="FU28" s="2"/>
      <c r="FV28" s="2"/>
      <c r="FW28" s="2"/>
      <c r="FX28" s="2">
        <v>89</v>
      </c>
      <c r="FY28" s="2">
        <v>44</v>
      </c>
      <c r="FZ28" s="2"/>
      <c r="GA28" s="2" t="s">
        <v>3</v>
      </c>
      <c r="GB28" s="2"/>
      <c r="GC28" s="2"/>
      <c r="GD28" s="2">
        <v>1</v>
      </c>
      <c r="GE28" s="2"/>
      <c r="GF28" s="2">
        <v>-152123987</v>
      </c>
      <c r="GG28" s="2">
        <v>2</v>
      </c>
      <c r="GH28" s="2">
        <v>1</v>
      </c>
      <c r="GI28" s="2">
        <v>-2</v>
      </c>
      <c r="GJ28" s="2">
        <v>0</v>
      </c>
      <c r="GK28" s="2">
        <v>0</v>
      </c>
      <c r="GL28" s="2">
        <f t="shared" si="21"/>
        <v>0</v>
      </c>
      <c r="GM28" s="2">
        <f t="shared" si="22"/>
        <v>741.92</v>
      </c>
      <c r="GN28" s="2">
        <f t="shared" si="23"/>
        <v>0</v>
      </c>
      <c r="GO28" s="2">
        <f t="shared" si="24"/>
        <v>741.92</v>
      </c>
      <c r="GP28" s="2">
        <f t="shared" si="25"/>
        <v>0</v>
      </c>
      <c r="GQ28" s="2"/>
      <c r="GR28" s="2">
        <v>0</v>
      </c>
      <c r="GS28" s="2">
        <v>3</v>
      </c>
      <c r="GT28" s="2">
        <v>0</v>
      </c>
      <c r="GU28" s="2" t="s">
        <v>3</v>
      </c>
      <c r="GV28" s="2">
        <f t="shared" si="26"/>
        <v>0</v>
      </c>
      <c r="GW28" s="2">
        <v>1</v>
      </c>
      <c r="GX28" s="2">
        <f t="shared" si="27"/>
        <v>0</v>
      </c>
      <c r="GY28" s="2"/>
      <c r="GZ28" s="2"/>
      <c r="HA28" s="2">
        <v>0</v>
      </c>
      <c r="HB28" s="2">
        <v>0</v>
      </c>
      <c r="HC28" s="2">
        <f>0</f>
        <v>0</v>
      </c>
      <c r="HD28" s="2"/>
      <c r="HE28" s="2" t="s">
        <v>3</v>
      </c>
      <c r="HF28" s="2" t="s">
        <v>3</v>
      </c>
      <c r="HG28" s="2"/>
      <c r="HH28" s="2"/>
      <c r="HI28" s="2"/>
      <c r="HJ28" s="2"/>
      <c r="HK28" s="2"/>
      <c r="HL28" s="2"/>
      <c r="HM28" s="2" t="s">
        <v>3</v>
      </c>
      <c r="HN28" s="2" t="s">
        <v>23</v>
      </c>
      <c r="HO28" s="2" t="s">
        <v>24</v>
      </c>
      <c r="HP28" s="2" t="s">
        <v>21</v>
      </c>
      <c r="HQ28" s="2" t="s">
        <v>21</v>
      </c>
      <c r="HR28" s="2"/>
      <c r="HS28" s="2">
        <v>0</v>
      </c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>
        <v>0</v>
      </c>
      <c r="IL28" s="2"/>
      <c r="IM28" s="2"/>
      <c r="IN28" s="2"/>
      <c r="IO28" s="2"/>
      <c r="IP28" s="2"/>
      <c r="IQ28" s="2"/>
      <c r="IR28" s="2"/>
      <c r="IS28" s="2"/>
      <c r="IT28" s="2"/>
      <c r="IU28" s="2"/>
    </row>
    <row r="29" spans="1:255" x14ac:dyDescent="0.2">
      <c r="A29" s="2">
        <v>17</v>
      </c>
      <c r="B29" s="2">
        <v>1</v>
      </c>
      <c r="C29" s="2">
        <f>ROW(SmtRes!A8)</f>
        <v>8</v>
      </c>
      <c r="D29" s="2">
        <f>ROW(EtalonRes!A6)</f>
        <v>6</v>
      </c>
      <c r="E29" s="2" t="s">
        <v>3</v>
      </c>
      <c r="F29" s="2" t="s">
        <v>42</v>
      </c>
      <c r="G29" s="2" t="s">
        <v>43</v>
      </c>
      <c r="H29" s="2" t="s">
        <v>18</v>
      </c>
      <c r="I29" s="2">
        <f>ROUND(1,7)</f>
        <v>1</v>
      </c>
      <c r="J29" s="2">
        <v>0</v>
      </c>
      <c r="K29" s="2">
        <f>ROUND(1,7)</f>
        <v>1</v>
      </c>
      <c r="L29" s="2"/>
      <c r="M29" s="2"/>
      <c r="N29" s="2"/>
      <c r="O29" s="2">
        <f>ROUND(CP29,2)</f>
        <v>7378.4</v>
      </c>
      <c r="P29" s="2">
        <f>SUMIF(SmtRes!AQ6:'SmtRes'!AQ8,"=1",SmtRes!DF6:'SmtRes'!DF8)</f>
        <v>0</v>
      </c>
      <c r="Q29" s="2">
        <f>SUMIF(SmtRes!AQ6:'SmtRes'!AQ8,"=1",SmtRes!DG6:'SmtRes'!DG8)</f>
        <v>0</v>
      </c>
      <c r="R29" s="2">
        <f>SUMIF(SmtRes!AQ6:'SmtRes'!AQ8,"=1",SmtRes!DH6:'SmtRes'!DH8)</f>
        <v>0</v>
      </c>
      <c r="S29" s="2">
        <f>SUMIF(SmtRes!AQ6:'SmtRes'!AQ8,"=1",SmtRes!DI6:'SmtRes'!DI8)</f>
        <v>7378.4</v>
      </c>
      <c r="T29" s="2">
        <f t="shared" si="14"/>
        <v>0</v>
      </c>
      <c r="U29" s="2">
        <f>SUMIF(SmtRes!AQ6:'SmtRes'!AQ8,"=1",SmtRes!CV6:'SmtRes'!CV8)</f>
        <v>9.66</v>
      </c>
      <c r="V29" s="2">
        <f>SUMIF(SmtRes!AQ6:'SmtRes'!AQ8,"=1",SmtRes!CW6:'SmtRes'!CW8)</f>
        <v>0</v>
      </c>
      <c r="W29" s="2">
        <f t="shared" si="15"/>
        <v>0</v>
      </c>
      <c r="X29" s="2">
        <f t="shared" si="16"/>
        <v>6566.78</v>
      </c>
      <c r="Y29" s="2">
        <f t="shared" si="17"/>
        <v>3246.5</v>
      </c>
      <c r="Z29" s="2"/>
      <c r="AA29" s="2">
        <v>-1</v>
      </c>
      <c r="AB29" s="2">
        <f t="shared" si="18"/>
        <v>7378.4045999999998</v>
      </c>
      <c r="AC29" s="2">
        <f>ROUND((0),6)</f>
        <v>0</v>
      </c>
      <c r="AD29" s="2">
        <f>ROUND((((0)-(0))+AE29),6)</f>
        <v>0</v>
      </c>
      <c r="AE29" s="2">
        <f>ROUND((0),6)</f>
        <v>0</v>
      </c>
      <c r="AF29" s="2">
        <f>ROUND((SUM(SmtRes!BT6:'SmtRes'!BT8)),6)</f>
        <v>7378.4045999999998</v>
      </c>
      <c r="AG29" s="2">
        <f t="shared" si="19"/>
        <v>0</v>
      </c>
      <c r="AH29" s="2">
        <f>(SUM(SmtRes!BU6:'SmtRes'!BU8))</f>
        <v>9.66</v>
      </c>
      <c r="AI29" s="2">
        <f>(0)</f>
        <v>0</v>
      </c>
      <c r="AJ29" s="2">
        <f t="shared" si="20"/>
        <v>0</v>
      </c>
      <c r="AK29" s="2">
        <v>7378.4045999999998</v>
      </c>
      <c r="AL29" s="2">
        <v>0</v>
      </c>
      <c r="AM29" s="2">
        <v>0</v>
      </c>
      <c r="AN29" s="2">
        <v>0</v>
      </c>
      <c r="AO29" s="2">
        <v>7378.4045999999998</v>
      </c>
      <c r="AP29" s="2">
        <v>0</v>
      </c>
      <c r="AQ29" s="2">
        <v>9.66</v>
      </c>
      <c r="AR29" s="2">
        <v>0</v>
      </c>
      <c r="AS29" s="2">
        <v>0</v>
      </c>
      <c r="AT29" s="2">
        <v>89</v>
      </c>
      <c r="AU29" s="2">
        <v>44</v>
      </c>
      <c r="AV29" s="2">
        <v>1</v>
      </c>
      <c r="AW29" s="2">
        <v>1</v>
      </c>
      <c r="AX29" s="2"/>
      <c r="AY29" s="2"/>
      <c r="AZ29" s="2">
        <v>1</v>
      </c>
      <c r="BA29" s="2">
        <v>1</v>
      </c>
      <c r="BB29" s="2">
        <v>1</v>
      </c>
      <c r="BC29" s="2">
        <v>1</v>
      </c>
      <c r="BD29" s="2" t="s">
        <v>3</v>
      </c>
      <c r="BE29" s="2" t="s">
        <v>3</v>
      </c>
      <c r="BF29" s="2" t="s">
        <v>3</v>
      </c>
      <c r="BG29" s="2" t="s">
        <v>3</v>
      </c>
      <c r="BH29" s="2">
        <v>0</v>
      </c>
      <c r="BI29" s="2">
        <v>2</v>
      </c>
      <c r="BJ29" s="2" t="s">
        <v>44</v>
      </c>
      <c r="BK29" s="2"/>
      <c r="BL29" s="2"/>
      <c r="BM29" s="2">
        <v>141001</v>
      </c>
      <c r="BN29" s="2">
        <v>0</v>
      </c>
      <c r="BO29" s="2" t="s">
        <v>3</v>
      </c>
      <c r="BP29" s="2">
        <v>0</v>
      </c>
      <c r="BQ29" s="2">
        <v>3</v>
      </c>
      <c r="BR29" s="2">
        <v>0</v>
      </c>
      <c r="BS29" s="2">
        <v>1</v>
      </c>
      <c r="BT29" s="2">
        <v>1</v>
      </c>
      <c r="BU29" s="2">
        <v>1</v>
      </c>
      <c r="BV29" s="2">
        <v>1</v>
      </c>
      <c r="BW29" s="2">
        <v>1</v>
      </c>
      <c r="BX29" s="2">
        <v>1</v>
      </c>
      <c r="BY29" s="2" t="s">
        <v>3</v>
      </c>
      <c r="BZ29" s="2">
        <v>89</v>
      </c>
      <c r="CA29" s="2">
        <v>44</v>
      </c>
      <c r="CB29" s="2" t="s">
        <v>3</v>
      </c>
      <c r="CC29" s="2"/>
      <c r="CD29" s="2"/>
      <c r="CE29" s="2">
        <v>0</v>
      </c>
      <c r="CF29" s="2">
        <v>0</v>
      </c>
      <c r="CG29" s="2">
        <v>0</v>
      </c>
      <c r="CH29" s="2"/>
      <c r="CI29" s="2"/>
      <c r="CJ29" s="2"/>
      <c r="CK29" s="2"/>
      <c r="CL29" s="2"/>
      <c r="CM29" s="2">
        <v>0</v>
      </c>
      <c r="CN29" s="2" t="s">
        <v>3</v>
      </c>
      <c r="CO29" s="2">
        <v>0</v>
      </c>
      <c r="CP29" s="2">
        <f>(P29+Q29+S29+R29)</f>
        <v>7378.4</v>
      </c>
      <c r="CQ29" s="2">
        <f>SUMIF(SmtRes!AQ6:'SmtRes'!AQ8,"=1",SmtRes!AA6:'SmtRes'!AA8)</f>
        <v>0</v>
      </c>
      <c r="CR29" s="2">
        <f>SUMIF(SmtRes!AQ6:'SmtRes'!AQ8,"=1",SmtRes!AB6:'SmtRes'!AB8)</f>
        <v>0</v>
      </c>
      <c r="CS29" s="2">
        <f>SUMIF(SmtRes!AQ6:'SmtRes'!AQ8,"=1",SmtRes!AC6:'SmtRes'!AC8)</f>
        <v>0</v>
      </c>
      <c r="CT29" s="2">
        <f>SUMIF(SmtRes!AQ6:'SmtRes'!AQ8,"=1",SmtRes!AD6:'SmtRes'!AD8)</f>
        <v>763.81</v>
      </c>
      <c r="CU29" s="2">
        <f>AG29</f>
        <v>0</v>
      </c>
      <c r="CV29" s="2">
        <f>SUMIF(SmtRes!AQ6:'SmtRes'!AQ8,"=1",SmtRes!BU6:'SmtRes'!BU8)</f>
        <v>9.66</v>
      </c>
      <c r="CW29" s="2">
        <f>SUMIF(SmtRes!AQ6:'SmtRes'!AQ8,"=1",SmtRes!BV6:'SmtRes'!BV8)</f>
        <v>0</v>
      </c>
      <c r="CX29" s="2">
        <f>AJ29</f>
        <v>0</v>
      </c>
      <c r="CY29" s="2">
        <f>(((S29+R29)*AT29)/100)</f>
        <v>6566.7759999999998</v>
      </c>
      <c r="CZ29" s="2">
        <f>(((S29+R29)*AU29)/100)</f>
        <v>3246.4959999999996</v>
      </c>
      <c r="DA29" s="2"/>
      <c r="DB29" s="2"/>
      <c r="DC29" s="2" t="s">
        <v>3</v>
      </c>
      <c r="DD29" s="2" t="s">
        <v>3</v>
      </c>
      <c r="DE29" s="2" t="s">
        <v>3</v>
      </c>
      <c r="DF29" s="2" t="s">
        <v>3</v>
      </c>
      <c r="DG29" s="2" t="s">
        <v>3</v>
      </c>
      <c r="DH29" s="2" t="s">
        <v>3</v>
      </c>
      <c r="DI29" s="2" t="s">
        <v>3</v>
      </c>
      <c r="DJ29" s="2" t="s">
        <v>3</v>
      </c>
      <c r="DK29" s="2" t="s">
        <v>3</v>
      </c>
      <c r="DL29" s="2" t="s">
        <v>3</v>
      </c>
      <c r="DM29" s="2" t="s">
        <v>3</v>
      </c>
      <c r="DN29" s="2">
        <v>0</v>
      </c>
      <c r="DO29" s="2">
        <v>0</v>
      </c>
      <c r="DP29" s="2">
        <v>1</v>
      </c>
      <c r="DQ29" s="2">
        <v>1</v>
      </c>
      <c r="DR29" s="2"/>
      <c r="DS29" s="2"/>
      <c r="DT29" s="2"/>
      <c r="DU29" s="2">
        <v>1013</v>
      </c>
      <c r="DV29" s="2" t="s">
        <v>18</v>
      </c>
      <c r="DW29" s="2" t="s">
        <v>18</v>
      </c>
      <c r="DX29" s="2">
        <v>1</v>
      </c>
      <c r="DY29" s="2"/>
      <c r="DZ29" s="2" t="s">
        <v>3</v>
      </c>
      <c r="EA29" s="2" t="s">
        <v>3</v>
      </c>
      <c r="EB29" s="2" t="s">
        <v>3</v>
      </c>
      <c r="EC29" s="2" t="s">
        <v>3</v>
      </c>
      <c r="ED29" s="2"/>
      <c r="EE29" s="2">
        <v>91082123</v>
      </c>
      <c r="EF29" s="2">
        <v>3</v>
      </c>
      <c r="EG29" s="2" t="s">
        <v>20</v>
      </c>
      <c r="EH29" s="2">
        <v>104</v>
      </c>
      <c r="EI29" s="2" t="s">
        <v>21</v>
      </c>
      <c r="EJ29" s="2">
        <v>2</v>
      </c>
      <c r="EK29" s="2">
        <v>141001</v>
      </c>
      <c r="EL29" s="2" t="s">
        <v>21</v>
      </c>
      <c r="EM29" s="2" t="s">
        <v>22</v>
      </c>
      <c r="EN29" s="2"/>
      <c r="EO29" s="2" t="s">
        <v>3</v>
      </c>
      <c r="EP29" s="2"/>
      <c r="EQ29" s="2">
        <v>1024</v>
      </c>
      <c r="ER29" s="2">
        <v>0</v>
      </c>
      <c r="ES29" s="2">
        <v>0</v>
      </c>
      <c r="ET29" s="2">
        <v>0</v>
      </c>
      <c r="EU29" s="2">
        <v>0</v>
      </c>
      <c r="EV29" s="2">
        <v>0</v>
      </c>
      <c r="EW29" s="2">
        <v>9.66</v>
      </c>
      <c r="EX29" s="2">
        <v>0</v>
      </c>
      <c r="EY29" s="2">
        <v>0</v>
      </c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>
        <v>0</v>
      </c>
      <c r="FR29" s="2">
        <v>0</v>
      </c>
      <c r="FS29" s="2">
        <v>0</v>
      </c>
      <c r="FT29" s="2"/>
      <c r="FU29" s="2"/>
      <c r="FV29" s="2"/>
      <c r="FW29" s="2"/>
      <c r="FX29" s="2">
        <v>89</v>
      </c>
      <c r="FY29" s="2">
        <v>44</v>
      </c>
      <c r="FZ29" s="2"/>
      <c r="GA29" s="2" t="s">
        <v>3</v>
      </c>
      <c r="GB29" s="2"/>
      <c r="GC29" s="2"/>
      <c r="GD29" s="2">
        <v>1</v>
      </c>
      <c r="GE29" s="2"/>
      <c r="GF29" s="2">
        <v>1084743627</v>
      </c>
      <c r="GG29" s="2">
        <v>2</v>
      </c>
      <c r="GH29" s="2">
        <v>1</v>
      </c>
      <c r="GI29" s="2">
        <v>-2</v>
      </c>
      <c r="GJ29" s="2">
        <v>0</v>
      </c>
      <c r="GK29" s="2">
        <v>0</v>
      </c>
      <c r="GL29" s="2">
        <f t="shared" si="21"/>
        <v>0</v>
      </c>
      <c r="GM29" s="2">
        <f t="shared" si="22"/>
        <v>17191.68</v>
      </c>
      <c r="GN29" s="2">
        <f t="shared" si="23"/>
        <v>0</v>
      </c>
      <c r="GO29" s="2">
        <f t="shared" si="24"/>
        <v>17191.68</v>
      </c>
      <c r="GP29" s="2">
        <f t="shared" si="25"/>
        <v>0</v>
      </c>
      <c r="GQ29" s="2"/>
      <c r="GR29" s="2">
        <v>0</v>
      </c>
      <c r="GS29" s="2">
        <v>3</v>
      </c>
      <c r="GT29" s="2">
        <v>0</v>
      </c>
      <c r="GU29" s="2" t="s">
        <v>3</v>
      </c>
      <c r="GV29" s="2">
        <f t="shared" si="26"/>
        <v>0</v>
      </c>
      <c r="GW29" s="2">
        <v>1</v>
      </c>
      <c r="GX29" s="2">
        <f t="shared" si="27"/>
        <v>0</v>
      </c>
      <c r="GY29" s="2"/>
      <c r="GZ29" s="2"/>
      <c r="HA29" s="2">
        <v>0</v>
      </c>
      <c r="HB29" s="2">
        <v>0</v>
      </c>
      <c r="HC29" s="2">
        <f>GV29*GW29</f>
        <v>0</v>
      </c>
      <c r="HD29" s="2"/>
      <c r="HE29" s="2" t="s">
        <v>3</v>
      </c>
      <c r="HF29" s="2" t="s">
        <v>3</v>
      </c>
      <c r="HG29" s="2"/>
      <c r="HH29" s="2"/>
      <c r="HI29" s="2"/>
      <c r="HJ29" s="2"/>
      <c r="HK29" s="2"/>
      <c r="HL29" s="2"/>
      <c r="HM29" s="2" t="s">
        <v>3</v>
      </c>
      <c r="HN29" s="2" t="s">
        <v>23</v>
      </c>
      <c r="HO29" s="2" t="s">
        <v>24</v>
      </c>
      <c r="HP29" s="2" t="s">
        <v>21</v>
      </c>
      <c r="HQ29" s="2" t="s">
        <v>21</v>
      </c>
      <c r="HR29" s="2"/>
      <c r="HS29" s="2">
        <v>0</v>
      </c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>
        <v>0</v>
      </c>
      <c r="IL29" s="2"/>
      <c r="IM29" s="2"/>
      <c r="IN29" s="2"/>
      <c r="IO29" s="2"/>
      <c r="IP29" s="2"/>
      <c r="IQ29" s="2"/>
      <c r="IR29" s="2"/>
      <c r="IS29" s="2"/>
      <c r="IT29" s="2"/>
      <c r="IU29" s="2"/>
    </row>
    <row r="30" spans="1:255" x14ac:dyDescent="0.2">
      <c r="A30" s="2">
        <v>18</v>
      </c>
      <c r="B30" s="2">
        <v>1</v>
      </c>
      <c r="C30" s="2">
        <v>7</v>
      </c>
      <c r="D30" s="2"/>
      <c r="E30" s="2" t="s">
        <v>3</v>
      </c>
      <c r="F30" s="2" t="s">
        <v>25</v>
      </c>
      <c r="G30" s="2" t="s">
        <v>26</v>
      </c>
      <c r="H30" s="2" t="s">
        <v>27</v>
      </c>
      <c r="I30" s="2">
        <f>J30</f>
        <v>3</v>
      </c>
      <c r="J30" s="2">
        <v>3</v>
      </c>
      <c r="K30" s="2">
        <v>3</v>
      </c>
      <c r="L30" s="2"/>
      <c r="M30" s="2"/>
      <c r="N30" s="2"/>
      <c r="O30" s="2">
        <f>ROUND(P30,2)</f>
        <v>221.35</v>
      </c>
      <c r="P30" s="2">
        <f>ROUND(ROUND(ROUND(SUMIF(SmtRes!AQ6:'SmtRes'!AQ8,"=1",SmtRes!CU6:'SmtRes'!CU8),2),2)*I30/100,2)</f>
        <v>221.35</v>
      </c>
      <c r="Q30" s="2">
        <f>ROUND(CR30*I30,2)</f>
        <v>0</v>
      </c>
      <c r="R30" s="2">
        <f>ROUND(CS30*I30,2)</f>
        <v>0</v>
      </c>
      <c r="S30" s="2">
        <f>ROUND(CT30*I30,2)</f>
        <v>0</v>
      </c>
      <c r="T30" s="2">
        <f t="shared" si="14"/>
        <v>0</v>
      </c>
      <c r="U30" s="2">
        <f>ROUND(CV30*I30,7)</f>
        <v>0</v>
      </c>
      <c r="V30" s="2">
        <f>ROUND(CW30*I30,7)</f>
        <v>0</v>
      </c>
      <c r="W30" s="2">
        <f t="shared" si="15"/>
        <v>0</v>
      </c>
      <c r="X30" s="2">
        <f t="shared" si="16"/>
        <v>0</v>
      </c>
      <c r="Y30" s="2">
        <f t="shared" si="17"/>
        <v>0</v>
      </c>
      <c r="Z30" s="2"/>
      <c r="AA30" s="2">
        <v>-1</v>
      </c>
      <c r="AB30" s="2">
        <f t="shared" si="18"/>
        <v>0</v>
      </c>
      <c r="AC30" s="2">
        <f>ROUND((ES30),6)</f>
        <v>0</v>
      </c>
      <c r="AD30" s="2">
        <f>ROUND((((ET30)-(EU30))+AE30),6)</f>
        <v>0</v>
      </c>
      <c r="AE30" s="2">
        <f>ROUND((EU30),6)</f>
        <v>0</v>
      </c>
      <c r="AF30" s="2">
        <f>ROUND((EV30),6)</f>
        <v>0</v>
      </c>
      <c r="AG30" s="2">
        <f t="shared" si="19"/>
        <v>0</v>
      </c>
      <c r="AH30" s="2">
        <f>(EW30)</f>
        <v>0</v>
      </c>
      <c r="AI30" s="2">
        <f>(EX30)</f>
        <v>0</v>
      </c>
      <c r="AJ30" s="2">
        <f t="shared" si="20"/>
        <v>0</v>
      </c>
      <c r="AK30" s="2">
        <v>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2">
        <v>89</v>
      </c>
      <c r="AU30" s="2">
        <v>44</v>
      </c>
      <c r="AV30" s="2">
        <v>1</v>
      </c>
      <c r="AW30" s="2">
        <v>1</v>
      </c>
      <c r="AX30" s="2"/>
      <c r="AY30" s="2"/>
      <c r="AZ30" s="2">
        <v>1</v>
      </c>
      <c r="BA30" s="2">
        <v>1</v>
      </c>
      <c r="BB30" s="2">
        <v>1</v>
      </c>
      <c r="BC30" s="2">
        <v>1</v>
      </c>
      <c r="BD30" s="2" t="s">
        <v>3</v>
      </c>
      <c r="BE30" s="2" t="s">
        <v>3</v>
      </c>
      <c r="BF30" s="2" t="s">
        <v>3</v>
      </c>
      <c r="BG30" s="2" t="s">
        <v>3</v>
      </c>
      <c r="BH30" s="2">
        <v>3</v>
      </c>
      <c r="BI30" s="2">
        <v>2</v>
      </c>
      <c r="BJ30" s="2" t="s">
        <v>3</v>
      </c>
      <c r="BK30" s="2"/>
      <c r="BL30" s="2"/>
      <c r="BM30" s="2">
        <v>141001</v>
      </c>
      <c r="BN30" s="2">
        <v>0</v>
      </c>
      <c r="BO30" s="2" t="s">
        <v>3</v>
      </c>
      <c r="BP30" s="2">
        <v>0</v>
      </c>
      <c r="BQ30" s="2">
        <v>3</v>
      </c>
      <c r="BR30" s="2">
        <v>0</v>
      </c>
      <c r="BS30" s="2">
        <v>1</v>
      </c>
      <c r="BT30" s="2">
        <v>1</v>
      </c>
      <c r="BU30" s="2">
        <v>1</v>
      </c>
      <c r="BV30" s="2">
        <v>1</v>
      </c>
      <c r="BW30" s="2">
        <v>1</v>
      </c>
      <c r="BX30" s="2">
        <v>1</v>
      </c>
      <c r="BY30" s="2" t="s">
        <v>3</v>
      </c>
      <c r="BZ30" s="2">
        <v>89</v>
      </c>
      <c r="CA30" s="2">
        <v>44</v>
      </c>
      <c r="CB30" s="2" t="s">
        <v>3</v>
      </c>
      <c r="CC30" s="2"/>
      <c r="CD30" s="2"/>
      <c r="CE30" s="2">
        <v>0</v>
      </c>
      <c r="CF30" s="2">
        <v>0</v>
      </c>
      <c r="CG30" s="2">
        <v>0</v>
      </c>
      <c r="CH30" s="2"/>
      <c r="CI30" s="2"/>
      <c r="CJ30" s="2"/>
      <c r="CK30" s="2"/>
      <c r="CL30" s="2"/>
      <c r="CM30" s="2">
        <v>0</v>
      </c>
      <c r="CN30" s="2" t="s">
        <v>3</v>
      </c>
      <c r="CO30" s="2">
        <v>0</v>
      </c>
      <c r="CP30" s="2">
        <f>0</f>
        <v>0</v>
      </c>
      <c r="CQ30" s="2">
        <f>0</f>
        <v>0</v>
      </c>
      <c r="CR30" s="2">
        <f>0</f>
        <v>0</v>
      </c>
      <c r="CS30" s="2">
        <f>0</f>
        <v>0</v>
      </c>
      <c r="CT30" s="2">
        <f>0</f>
        <v>0</v>
      </c>
      <c r="CU30" s="2">
        <f>0</f>
        <v>0</v>
      </c>
      <c r="CV30" s="2">
        <f>0</f>
        <v>0</v>
      </c>
      <c r="CW30" s="2">
        <f>0</f>
        <v>0</v>
      </c>
      <c r="CX30" s="2">
        <f>0</f>
        <v>0</v>
      </c>
      <c r="CY30" s="2">
        <f>0</f>
        <v>0</v>
      </c>
      <c r="CZ30" s="2">
        <f>0</f>
        <v>0</v>
      </c>
      <c r="DA30" s="2"/>
      <c r="DB30" s="2"/>
      <c r="DC30" s="2" t="s">
        <v>3</v>
      </c>
      <c r="DD30" s="2" t="s">
        <v>3</v>
      </c>
      <c r="DE30" s="2" t="s">
        <v>3</v>
      </c>
      <c r="DF30" s="2" t="s">
        <v>3</v>
      </c>
      <c r="DG30" s="2" t="s">
        <v>3</v>
      </c>
      <c r="DH30" s="2" t="s">
        <v>3</v>
      </c>
      <c r="DI30" s="2" t="s">
        <v>3</v>
      </c>
      <c r="DJ30" s="2" t="s">
        <v>3</v>
      </c>
      <c r="DK30" s="2" t="s">
        <v>3</v>
      </c>
      <c r="DL30" s="2" t="s">
        <v>3</v>
      </c>
      <c r="DM30" s="2" t="s">
        <v>3</v>
      </c>
      <c r="DN30" s="2">
        <v>0</v>
      </c>
      <c r="DO30" s="2">
        <v>0</v>
      </c>
      <c r="DP30" s="2">
        <v>1</v>
      </c>
      <c r="DQ30" s="2">
        <v>1</v>
      </c>
      <c r="DR30" s="2"/>
      <c r="DS30" s="2"/>
      <c r="DT30" s="2"/>
      <c r="DU30" s="2">
        <v>1013</v>
      </c>
      <c r="DV30" s="2" t="s">
        <v>27</v>
      </c>
      <c r="DW30" s="2" t="s">
        <v>27</v>
      </c>
      <c r="DX30" s="2">
        <v>1</v>
      </c>
      <c r="DY30" s="2"/>
      <c r="DZ30" s="2" t="s">
        <v>3</v>
      </c>
      <c r="EA30" s="2" t="s">
        <v>3</v>
      </c>
      <c r="EB30" s="2" t="s">
        <v>3</v>
      </c>
      <c r="EC30" s="2" t="s">
        <v>3</v>
      </c>
      <c r="ED30" s="2"/>
      <c r="EE30" s="2">
        <v>91082123</v>
      </c>
      <c r="EF30" s="2">
        <v>3</v>
      </c>
      <c r="EG30" s="2" t="s">
        <v>20</v>
      </c>
      <c r="EH30" s="2">
        <v>104</v>
      </c>
      <c r="EI30" s="2" t="s">
        <v>21</v>
      </c>
      <c r="EJ30" s="2">
        <v>2</v>
      </c>
      <c r="EK30" s="2">
        <v>141001</v>
      </c>
      <c r="EL30" s="2" t="s">
        <v>21</v>
      </c>
      <c r="EM30" s="2" t="s">
        <v>22</v>
      </c>
      <c r="EN30" s="2"/>
      <c r="EO30" s="2" t="s">
        <v>3</v>
      </c>
      <c r="EP30" s="2"/>
      <c r="EQ30" s="2">
        <v>1024</v>
      </c>
      <c r="ER30" s="2">
        <v>0</v>
      </c>
      <c r="ES30" s="2">
        <v>0</v>
      </c>
      <c r="ET30" s="2">
        <v>0</v>
      </c>
      <c r="EU30" s="2">
        <v>0</v>
      </c>
      <c r="EV30" s="2">
        <v>0</v>
      </c>
      <c r="EW30" s="2">
        <v>0</v>
      </c>
      <c r="EX30" s="2">
        <v>0</v>
      </c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>
        <v>0</v>
      </c>
      <c r="FR30" s="2">
        <v>0</v>
      </c>
      <c r="FS30" s="2">
        <v>0</v>
      </c>
      <c r="FT30" s="2"/>
      <c r="FU30" s="2"/>
      <c r="FV30" s="2"/>
      <c r="FW30" s="2"/>
      <c r="FX30" s="2">
        <v>89</v>
      </c>
      <c r="FY30" s="2">
        <v>44</v>
      </c>
      <c r="FZ30" s="2"/>
      <c r="GA30" s="2" t="s">
        <v>3</v>
      </c>
      <c r="GB30" s="2"/>
      <c r="GC30" s="2"/>
      <c r="GD30" s="2">
        <v>1</v>
      </c>
      <c r="GE30" s="2"/>
      <c r="GF30" s="2">
        <v>-152123987</v>
      </c>
      <c r="GG30" s="2">
        <v>2</v>
      </c>
      <c r="GH30" s="2">
        <v>1</v>
      </c>
      <c r="GI30" s="2">
        <v>-2</v>
      </c>
      <c r="GJ30" s="2">
        <v>0</v>
      </c>
      <c r="GK30" s="2">
        <v>0</v>
      </c>
      <c r="GL30" s="2">
        <f t="shared" si="21"/>
        <v>0</v>
      </c>
      <c r="GM30" s="2">
        <f t="shared" si="22"/>
        <v>221.35</v>
      </c>
      <c r="GN30" s="2">
        <f t="shared" si="23"/>
        <v>0</v>
      </c>
      <c r="GO30" s="2">
        <f t="shared" si="24"/>
        <v>221.35</v>
      </c>
      <c r="GP30" s="2">
        <f t="shared" si="25"/>
        <v>0</v>
      </c>
      <c r="GQ30" s="2"/>
      <c r="GR30" s="2">
        <v>0</v>
      </c>
      <c r="GS30" s="2">
        <v>3</v>
      </c>
      <c r="GT30" s="2">
        <v>0</v>
      </c>
      <c r="GU30" s="2" t="s">
        <v>3</v>
      </c>
      <c r="GV30" s="2">
        <f t="shared" si="26"/>
        <v>0</v>
      </c>
      <c r="GW30" s="2">
        <v>1</v>
      </c>
      <c r="GX30" s="2">
        <f t="shared" si="27"/>
        <v>0</v>
      </c>
      <c r="GY30" s="2"/>
      <c r="GZ30" s="2"/>
      <c r="HA30" s="2">
        <v>0</v>
      </c>
      <c r="HB30" s="2">
        <v>0</v>
      </c>
      <c r="HC30" s="2">
        <f>0</f>
        <v>0</v>
      </c>
      <c r="HD30" s="2"/>
      <c r="HE30" s="2" t="s">
        <v>3</v>
      </c>
      <c r="HF30" s="2" t="s">
        <v>3</v>
      </c>
      <c r="HG30" s="2"/>
      <c r="HH30" s="2"/>
      <c r="HI30" s="2"/>
      <c r="HJ30" s="2"/>
      <c r="HK30" s="2"/>
      <c r="HL30" s="2"/>
      <c r="HM30" s="2" t="s">
        <v>3</v>
      </c>
      <c r="HN30" s="2" t="s">
        <v>23</v>
      </c>
      <c r="HO30" s="2" t="s">
        <v>24</v>
      </c>
      <c r="HP30" s="2" t="s">
        <v>21</v>
      </c>
      <c r="HQ30" s="2" t="s">
        <v>21</v>
      </c>
      <c r="HR30" s="2"/>
      <c r="HS30" s="2">
        <v>0</v>
      </c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>
        <v>0</v>
      </c>
      <c r="IL30" s="2"/>
      <c r="IM30" s="2"/>
      <c r="IN30" s="2"/>
      <c r="IO30" s="2"/>
      <c r="IP30" s="2"/>
      <c r="IQ30" s="2"/>
      <c r="IR30" s="2"/>
      <c r="IS30" s="2"/>
      <c r="IT30" s="2"/>
      <c r="IU30" s="2"/>
    </row>
    <row r="31" spans="1:255" x14ac:dyDescent="0.2">
      <c r="A31" s="2">
        <v>18</v>
      </c>
      <c r="B31" s="2">
        <v>1</v>
      </c>
      <c r="C31" s="2">
        <v>8</v>
      </c>
      <c r="D31" s="2"/>
      <c r="E31" s="2" t="s">
        <v>3</v>
      </c>
      <c r="F31" s="2" t="s">
        <v>33</v>
      </c>
      <c r="G31" s="2" t="s">
        <v>34</v>
      </c>
      <c r="H31" s="2" t="s">
        <v>35</v>
      </c>
      <c r="I31" s="2">
        <f>I29*J31</f>
        <v>1</v>
      </c>
      <c r="J31" s="2">
        <v>1</v>
      </c>
      <c r="K31" s="2">
        <v>1</v>
      </c>
      <c r="L31" s="2"/>
      <c r="M31" s="2"/>
      <c r="N31" s="2"/>
      <c r="O31" s="2">
        <f>ROUND(CP31,2)</f>
        <v>18095.240000000002</v>
      </c>
      <c r="P31" s="2">
        <f>ROUND(CQ31*I31,2)</f>
        <v>18095.240000000002</v>
      </c>
      <c r="Q31" s="2">
        <f>ROUND(CR31*I31,2)</f>
        <v>0</v>
      </c>
      <c r="R31" s="2">
        <f>ROUND(CS31*I31,2)</f>
        <v>0</v>
      </c>
      <c r="S31" s="2">
        <f>ROUND(CT31*I31,2)</f>
        <v>0</v>
      </c>
      <c r="T31" s="2">
        <f t="shared" si="14"/>
        <v>0</v>
      </c>
      <c r="U31" s="2">
        <f>ROUND(CV31*I31,7)</f>
        <v>0</v>
      </c>
      <c r="V31" s="2">
        <f>ROUND(CW31*I31,7)</f>
        <v>0</v>
      </c>
      <c r="W31" s="2">
        <f t="shared" si="15"/>
        <v>0</v>
      </c>
      <c r="X31" s="2">
        <f t="shared" si="16"/>
        <v>0</v>
      </c>
      <c r="Y31" s="2">
        <f t="shared" si="17"/>
        <v>0</v>
      </c>
      <c r="Z31" s="2"/>
      <c r="AA31" s="2">
        <v>-1</v>
      </c>
      <c r="AB31" s="2">
        <f t="shared" si="18"/>
        <v>18095.240000000002</v>
      </c>
      <c r="AC31" s="2">
        <f>ROUND((ES31),6)</f>
        <v>18095.240000000002</v>
      </c>
      <c r="AD31" s="2">
        <f>ROUND((((ET31)-(EU31))+AE31),6)</f>
        <v>0</v>
      </c>
      <c r="AE31" s="2">
        <f>ROUND((EU31),6)</f>
        <v>0</v>
      </c>
      <c r="AF31" s="2">
        <f>ROUND((EV31),6)</f>
        <v>0</v>
      </c>
      <c r="AG31" s="2">
        <f t="shared" si="19"/>
        <v>0</v>
      </c>
      <c r="AH31" s="2">
        <f>(EW31)</f>
        <v>0</v>
      </c>
      <c r="AI31" s="2">
        <f>(EX31)</f>
        <v>0</v>
      </c>
      <c r="AJ31" s="2">
        <f t="shared" si="20"/>
        <v>0</v>
      </c>
      <c r="AK31" s="2">
        <v>18095.240000000002</v>
      </c>
      <c r="AL31" s="2">
        <v>18095.240000000002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44</v>
      </c>
      <c r="AV31" s="2">
        <v>1</v>
      </c>
      <c r="AW31" s="2">
        <v>1</v>
      </c>
      <c r="AX31" s="2"/>
      <c r="AY31" s="2"/>
      <c r="AZ31" s="2">
        <v>1</v>
      </c>
      <c r="BA31" s="2">
        <v>1</v>
      </c>
      <c r="BB31" s="2">
        <v>1</v>
      </c>
      <c r="BC31" s="2">
        <v>1</v>
      </c>
      <c r="BD31" s="2" t="s">
        <v>3</v>
      </c>
      <c r="BE31" s="2" t="s">
        <v>3</v>
      </c>
      <c r="BF31" s="2" t="s">
        <v>3</v>
      </c>
      <c r="BG31" s="2" t="s">
        <v>3</v>
      </c>
      <c r="BH31" s="2">
        <v>3</v>
      </c>
      <c r="BI31" s="2">
        <v>3</v>
      </c>
      <c r="BJ31" s="2" t="s">
        <v>3</v>
      </c>
      <c r="BK31" s="2"/>
      <c r="BL31" s="2"/>
      <c r="BM31" s="2">
        <v>100</v>
      </c>
      <c r="BN31" s="2">
        <v>0</v>
      </c>
      <c r="BO31" s="2" t="s">
        <v>3</v>
      </c>
      <c r="BP31" s="2">
        <v>0</v>
      </c>
      <c r="BQ31" s="2">
        <v>5</v>
      </c>
      <c r="BR31" s="2">
        <v>0</v>
      </c>
      <c r="BS31" s="2">
        <v>1</v>
      </c>
      <c r="BT31" s="2">
        <v>1</v>
      </c>
      <c r="BU31" s="2">
        <v>1</v>
      </c>
      <c r="BV31" s="2">
        <v>1</v>
      </c>
      <c r="BW31" s="2">
        <v>1</v>
      </c>
      <c r="BX31" s="2">
        <v>1</v>
      </c>
      <c r="BY31" s="2" t="s">
        <v>3</v>
      </c>
      <c r="BZ31" s="2">
        <v>89</v>
      </c>
      <c r="CA31" s="2">
        <v>44</v>
      </c>
      <c r="CB31" s="2" t="s">
        <v>3</v>
      </c>
      <c r="CC31" s="2"/>
      <c r="CD31" s="2"/>
      <c r="CE31" s="2">
        <v>0</v>
      </c>
      <c r="CF31" s="2">
        <v>0</v>
      </c>
      <c r="CG31" s="2">
        <v>0</v>
      </c>
      <c r="CH31" s="2"/>
      <c r="CI31" s="2"/>
      <c r="CJ31" s="2"/>
      <c r="CK31" s="2"/>
      <c r="CL31" s="2"/>
      <c r="CM31" s="2">
        <v>0</v>
      </c>
      <c r="CN31" s="2" t="s">
        <v>3</v>
      </c>
      <c r="CO31" s="2">
        <v>0</v>
      </c>
      <c r="CP31" s="2">
        <f>(P31+Q31+S31+R31)</f>
        <v>18095.240000000002</v>
      </c>
      <c r="CQ31" s="2">
        <f>ROUND(AL31,2)</f>
        <v>18095.240000000002</v>
      </c>
      <c r="CR31" s="2">
        <f>ROUND(AM31,2)</f>
        <v>0</v>
      </c>
      <c r="CS31" s="2">
        <f>ROUND(AN31*BS31,2)</f>
        <v>0</v>
      </c>
      <c r="CT31" s="2">
        <f>ROUND(AO31*BA31,2)</f>
        <v>0</v>
      </c>
      <c r="CU31" s="2">
        <f>AG31</f>
        <v>0</v>
      </c>
      <c r="CV31" s="2">
        <f>AH31</f>
        <v>0</v>
      </c>
      <c r="CW31" s="2">
        <f>AI31</f>
        <v>0</v>
      </c>
      <c r="CX31" s="2">
        <f>AJ31</f>
        <v>0</v>
      </c>
      <c r="CY31" s="2">
        <f>0</f>
        <v>0</v>
      </c>
      <c r="CZ31" s="2">
        <f>0</f>
        <v>0</v>
      </c>
      <c r="DA31" s="2"/>
      <c r="DB31" s="2"/>
      <c r="DC31" s="2" t="s">
        <v>3</v>
      </c>
      <c r="DD31" s="2" t="s">
        <v>3</v>
      </c>
      <c r="DE31" s="2" t="s">
        <v>3</v>
      </c>
      <c r="DF31" s="2" t="s">
        <v>3</v>
      </c>
      <c r="DG31" s="2" t="s">
        <v>3</v>
      </c>
      <c r="DH31" s="2" t="s">
        <v>3</v>
      </c>
      <c r="DI31" s="2" t="s">
        <v>3</v>
      </c>
      <c r="DJ31" s="2" t="s">
        <v>3</v>
      </c>
      <c r="DK31" s="2" t="s">
        <v>3</v>
      </c>
      <c r="DL31" s="2" t="s">
        <v>3</v>
      </c>
      <c r="DM31" s="2" t="s">
        <v>3</v>
      </c>
      <c r="DN31" s="2">
        <v>0</v>
      </c>
      <c r="DO31" s="2">
        <v>0</v>
      </c>
      <c r="DP31" s="2">
        <v>1</v>
      </c>
      <c r="DQ31" s="2">
        <v>1</v>
      </c>
      <c r="DR31" s="2"/>
      <c r="DS31" s="2"/>
      <c r="DT31" s="2"/>
      <c r="DU31" s="2">
        <v>1013</v>
      </c>
      <c r="DV31" s="2" t="s">
        <v>35</v>
      </c>
      <c r="DW31" s="2" t="s">
        <v>35</v>
      </c>
      <c r="DX31" s="2">
        <v>1</v>
      </c>
      <c r="DY31" s="2"/>
      <c r="DZ31" s="2" t="s">
        <v>3</v>
      </c>
      <c r="EA31" s="2" t="s">
        <v>3</v>
      </c>
      <c r="EB31" s="2" t="s">
        <v>3</v>
      </c>
      <c r="EC31" s="2" t="s">
        <v>3</v>
      </c>
      <c r="ED31" s="2"/>
      <c r="EE31" s="2">
        <v>91082373</v>
      </c>
      <c r="EF31" s="2">
        <v>5</v>
      </c>
      <c r="EG31" s="2" t="s">
        <v>36</v>
      </c>
      <c r="EH31" s="2">
        <v>0</v>
      </c>
      <c r="EI31" s="2" t="s">
        <v>3</v>
      </c>
      <c r="EJ31" s="2">
        <v>3</v>
      </c>
      <c r="EK31" s="2">
        <v>100</v>
      </c>
      <c r="EL31" s="2" t="s">
        <v>37</v>
      </c>
      <c r="EM31" s="2" t="s">
        <v>38</v>
      </c>
      <c r="EN31" s="2"/>
      <c r="EO31" s="2" t="s">
        <v>3</v>
      </c>
      <c r="EP31" s="2"/>
      <c r="EQ31" s="2">
        <v>1024</v>
      </c>
      <c r="ER31" s="2">
        <v>18095.240000000002</v>
      </c>
      <c r="ES31" s="2">
        <v>18095.240000000002</v>
      </c>
      <c r="ET31" s="2">
        <v>0</v>
      </c>
      <c r="EU31" s="2">
        <v>0</v>
      </c>
      <c r="EV31" s="2">
        <v>0</v>
      </c>
      <c r="EW31" s="2">
        <v>0</v>
      </c>
      <c r="EX31" s="2">
        <v>0</v>
      </c>
      <c r="EY31" s="2"/>
      <c r="EZ31" s="2">
        <v>5</v>
      </c>
      <c r="FA31" s="2"/>
      <c r="FB31" s="2"/>
      <c r="FC31" s="2">
        <v>1</v>
      </c>
      <c r="FD31" s="2">
        <v>18</v>
      </c>
      <c r="FE31" s="2"/>
      <c r="FF31" s="2">
        <v>19000</v>
      </c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>
        <v>0</v>
      </c>
      <c r="FR31" s="2">
        <f>P31</f>
        <v>18095.240000000002</v>
      </c>
      <c r="FS31" s="2">
        <v>0</v>
      </c>
      <c r="FT31" s="2"/>
      <c r="FU31" s="2"/>
      <c r="FV31" s="2"/>
      <c r="FW31" s="2"/>
      <c r="FX31" s="2">
        <v>89</v>
      </c>
      <c r="FY31" s="2">
        <v>44</v>
      </c>
      <c r="FZ31" s="2"/>
      <c r="GA31" s="2" t="s">
        <v>45</v>
      </c>
      <c r="GB31" s="2"/>
      <c r="GC31" s="2"/>
      <c r="GD31" s="2">
        <v>1</v>
      </c>
      <c r="GE31" s="2"/>
      <c r="GF31" s="2">
        <v>-1954255853</v>
      </c>
      <c r="GG31" s="2">
        <v>2</v>
      </c>
      <c r="GH31" s="2">
        <v>3</v>
      </c>
      <c r="GI31" s="2">
        <v>-2</v>
      </c>
      <c r="GJ31" s="2">
        <v>0</v>
      </c>
      <c r="GK31" s="2">
        <v>0</v>
      </c>
      <c r="GL31" s="2">
        <f t="shared" si="21"/>
        <v>0</v>
      </c>
      <c r="GM31" s="2">
        <f t="shared" si="22"/>
        <v>18095.240000000002</v>
      </c>
      <c r="GN31" s="2">
        <f t="shared" si="23"/>
        <v>0</v>
      </c>
      <c r="GO31" s="2">
        <f t="shared" si="24"/>
        <v>0</v>
      </c>
      <c r="GP31" s="2">
        <f t="shared" si="25"/>
        <v>0</v>
      </c>
      <c r="GQ31" s="2"/>
      <c r="GR31" s="2">
        <v>1</v>
      </c>
      <c r="GS31" s="2">
        <v>1</v>
      </c>
      <c r="GT31" s="2">
        <v>0</v>
      </c>
      <c r="GU31" s="2" t="s">
        <v>3</v>
      </c>
      <c r="GV31" s="2">
        <f t="shared" si="26"/>
        <v>0</v>
      </c>
      <c r="GW31" s="2">
        <v>1</v>
      </c>
      <c r="GX31" s="2">
        <f t="shared" si="27"/>
        <v>0</v>
      </c>
      <c r="GY31" s="2"/>
      <c r="GZ31" s="2"/>
      <c r="HA31" s="2">
        <v>0</v>
      </c>
      <c r="HB31" s="2">
        <v>0</v>
      </c>
      <c r="HC31" s="2">
        <f>GV31*GW31</f>
        <v>0</v>
      </c>
      <c r="HD31" s="2"/>
      <c r="HE31" s="2" t="s">
        <v>40</v>
      </c>
      <c r="HF31" s="2" t="s">
        <v>40</v>
      </c>
      <c r="HG31" s="2"/>
      <c r="HH31" s="2">
        <f>ROUND(ROUND(AL31,2)*I31,2)</f>
        <v>18095.240000000002</v>
      </c>
      <c r="HI31" s="2"/>
      <c r="HJ31" s="2"/>
      <c r="HK31" s="2"/>
      <c r="HL31" s="2"/>
      <c r="HM31" s="2" t="s">
        <v>3</v>
      </c>
      <c r="HN31" s="2" t="s">
        <v>3</v>
      </c>
      <c r="HO31" s="2" t="s">
        <v>3</v>
      </c>
      <c r="HP31" s="2" t="s">
        <v>3</v>
      </c>
      <c r="HQ31" s="2" t="s">
        <v>3</v>
      </c>
      <c r="HR31" s="2"/>
      <c r="HS31" s="2">
        <v>0</v>
      </c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>
        <v>0</v>
      </c>
      <c r="IL31" s="2"/>
      <c r="IM31" s="2"/>
      <c r="IN31" s="2"/>
      <c r="IO31" s="2"/>
      <c r="IP31" s="2"/>
      <c r="IQ31" s="2"/>
      <c r="IR31" s="2"/>
      <c r="IS31" s="2"/>
      <c r="IT31" s="2"/>
      <c r="IU31" s="2"/>
    </row>
    <row r="32" spans="1:255" x14ac:dyDescent="0.2">
      <c r="A32" s="2">
        <v>17</v>
      </c>
      <c r="B32" s="2">
        <v>1</v>
      </c>
      <c r="C32" s="2">
        <f>ROW(SmtRes!A11)</f>
        <v>11</v>
      </c>
      <c r="D32" s="2">
        <f>ROW(EtalonRes!A8)</f>
        <v>8</v>
      </c>
      <c r="E32" s="2" t="s">
        <v>3</v>
      </c>
      <c r="F32" s="2" t="s">
        <v>46</v>
      </c>
      <c r="G32" s="2" t="s">
        <v>47</v>
      </c>
      <c r="H32" s="2" t="s">
        <v>18</v>
      </c>
      <c r="I32" s="2">
        <f>ROUND(1,7)</f>
        <v>1</v>
      </c>
      <c r="J32" s="2">
        <v>0</v>
      </c>
      <c r="K32" s="2">
        <f>ROUND(1,7)</f>
        <v>1</v>
      </c>
      <c r="L32" s="2"/>
      <c r="M32" s="2"/>
      <c r="N32" s="2"/>
      <c r="O32" s="2">
        <f>ROUND(CP32,2)</f>
        <v>21325.26</v>
      </c>
      <c r="P32" s="2">
        <f>SUMIF(SmtRes!AQ9:'SmtRes'!AQ11,"=1",SmtRes!DF9:'SmtRes'!DF11)</f>
        <v>0</v>
      </c>
      <c r="Q32" s="2">
        <f>SUMIF(SmtRes!AQ9:'SmtRes'!AQ11,"=1",SmtRes!DG9:'SmtRes'!DG11)</f>
        <v>0</v>
      </c>
      <c r="R32" s="2">
        <f>SUMIF(SmtRes!AQ9:'SmtRes'!AQ11,"=1",SmtRes!DH9:'SmtRes'!DH11)</f>
        <v>0</v>
      </c>
      <c r="S32" s="2">
        <f>SUMIF(SmtRes!AQ9:'SmtRes'!AQ11,"=1",SmtRes!DI9:'SmtRes'!DI11)</f>
        <v>21325.26</v>
      </c>
      <c r="T32" s="2">
        <f t="shared" si="14"/>
        <v>0</v>
      </c>
      <c r="U32" s="2">
        <f>SUMIF(SmtRes!AQ9:'SmtRes'!AQ11,"=1",SmtRes!CV9:'SmtRes'!CV11)</f>
        <v>29.5</v>
      </c>
      <c r="V32" s="2">
        <f>SUMIF(SmtRes!AQ9:'SmtRes'!AQ11,"=1",SmtRes!CW9:'SmtRes'!CW11)</f>
        <v>0</v>
      </c>
      <c r="W32" s="2">
        <f t="shared" si="15"/>
        <v>0</v>
      </c>
      <c r="X32" s="2">
        <f t="shared" si="16"/>
        <v>18979.48</v>
      </c>
      <c r="Y32" s="2">
        <f t="shared" si="17"/>
        <v>9383.11</v>
      </c>
      <c r="Z32" s="2"/>
      <c r="AA32" s="2">
        <v>-1</v>
      </c>
      <c r="AB32" s="2">
        <f t="shared" si="18"/>
        <v>21325.255000000001</v>
      </c>
      <c r="AC32" s="2">
        <f>ROUND((0),6)</f>
        <v>0</v>
      </c>
      <c r="AD32" s="2">
        <f>ROUND((((0)-(0))+AE32),6)</f>
        <v>0</v>
      </c>
      <c r="AE32" s="2">
        <f>ROUND((0),6)</f>
        <v>0</v>
      </c>
      <c r="AF32" s="2">
        <f>ROUND((SUM(SmtRes!BT9:'SmtRes'!BT11)),6)</f>
        <v>21325.255000000001</v>
      </c>
      <c r="AG32" s="2">
        <f t="shared" si="19"/>
        <v>0</v>
      </c>
      <c r="AH32" s="2">
        <f>(SUM(SmtRes!BU9:'SmtRes'!BU11))</f>
        <v>29.5</v>
      </c>
      <c r="AI32" s="2">
        <f>(0)</f>
        <v>0</v>
      </c>
      <c r="AJ32" s="2">
        <f t="shared" si="20"/>
        <v>0</v>
      </c>
      <c r="AK32" s="2">
        <v>21325.255000000001</v>
      </c>
      <c r="AL32" s="2">
        <v>0</v>
      </c>
      <c r="AM32" s="2">
        <v>0</v>
      </c>
      <c r="AN32" s="2">
        <v>0</v>
      </c>
      <c r="AO32" s="2">
        <v>21325.255000000001</v>
      </c>
      <c r="AP32" s="2">
        <v>0</v>
      </c>
      <c r="AQ32" s="2">
        <v>29.5</v>
      </c>
      <c r="AR32" s="2">
        <v>0</v>
      </c>
      <c r="AS32" s="2">
        <v>0</v>
      </c>
      <c r="AT32" s="2">
        <v>89</v>
      </c>
      <c r="AU32" s="2">
        <v>44</v>
      </c>
      <c r="AV32" s="2">
        <v>1</v>
      </c>
      <c r="AW32" s="2">
        <v>1</v>
      </c>
      <c r="AX32" s="2"/>
      <c r="AY32" s="2"/>
      <c r="AZ32" s="2">
        <v>1</v>
      </c>
      <c r="BA32" s="2">
        <v>1</v>
      </c>
      <c r="BB32" s="2">
        <v>1</v>
      </c>
      <c r="BC32" s="2">
        <v>1</v>
      </c>
      <c r="BD32" s="2" t="s">
        <v>3</v>
      </c>
      <c r="BE32" s="2" t="s">
        <v>3</v>
      </c>
      <c r="BF32" s="2" t="s">
        <v>3</v>
      </c>
      <c r="BG32" s="2" t="s">
        <v>3</v>
      </c>
      <c r="BH32" s="2">
        <v>0</v>
      </c>
      <c r="BI32" s="2">
        <v>2</v>
      </c>
      <c r="BJ32" s="2" t="s">
        <v>48</v>
      </c>
      <c r="BK32" s="2"/>
      <c r="BL32" s="2"/>
      <c r="BM32" s="2">
        <v>141001</v>
      </c>
      <c r="BN32" s="2">
        <v>0</v>
      </c>
      <c r="BO32" s="2" t="s">
        <v>3</v>
      </c>
      <c r="BP32" s="2">
        <v>0</v>
      </c>
      <c r="BQ32" s="2">
        <v>3</v>
      </c>
      <c r="BR32" s="2">
        <v>0</v>
      </c>
      <c r="BS32" s="2">
        <v>1</v>
      </c>
      <c r="BT32" s="2">
        <v>1</v>
      </c>
      <c r="BU32" s="2">
        <v>1</v>
      </c>
      <c r="BV32" s="2">
        <v>1</v>
      </c>
      <c r="BW32" s="2">
        <v>1</v>
      </c>
      <c r="BX32" s="2">
        <v>1</v>
      </c>
      <c r="BY32" s="2" t="s">
        <v>3</v>
      </c>
      <c r="BZ32" s="2">
        <v>89</v>
      </c>
      <c r="CA32" s="2">
        <v>44</v>
      </c>
      <c r="CB32" s="2" t="s">
        <v>3</v>
      </c>
      <c r="CC32" s="2"/>
      <c r="CD32" s="2"/>
      <c r="CE32" s="2">
        <v>0</v>
      </c>
      <c r="CF32" s="2">
        <v>0</v>
      </c>
      <c r="CG32" s="2">
        <v>0</v>
      </c>
      <c r="CH32" s="2"/>
      <c r="CI32" s="2"/>
      <c r="CJ32" s="2"/>
      <c r="CK32" s="2"/>
      <c r="CL32" s="2"/>
      <c r="CM32" s="2">
        <v>0</v>
      </c>
      <c r="CN32" s="2" t="s">
        <v>3</v>
      </c>
      <c r="CO32" s="2">
        <v>0</v>
      </c>
      <c r="CP32" s="2">
        <f>(P32+Q32+S32+R32)</f>
        <v>21325.26</v>
      </c>
      <c r="CQ32" s="2">
        <f>SUMIF(SmtRes!AQ9:'SmtRes'!AQ11,"=1",SmtRes!AA9:'SmtRes'!AA11)</f>
        <v>0</v>
      </c>
      <c r="CR32" s="2">
        <f>SUMIF(SmtRes!AQ9:'SmtRes'!AQ11,"=1",SmtRes!AB9:'SmtRes'!AB11)</f>
        <v>0</v>
      </c>
      <c r="CS32" s="2">
        <f>SUMIF(SmtRes!AQ9:'SmtRes'!AQ11,"=1",SmtRes!AC9:'SmtRes'!AC11)</f>
        <v>0</v>
      </c>
      <c r="CT32" s="2">
        <f>SUMIF(SmtRes!AQ9:'SmtRes'!AQ11,"=1",SmtRes!AD9:'SmtRes'!AD11)</f>
        <v>722.89</v>
      </c>
      <c r="CU32" s="2">
        <f>AG32</f>
        <v>0</v>
      </c>
      <c r="CV32" s="2">
        <f>SUMIF(SmtRes!AQ9:'SmtRes'!AQ11,"=1",SmtRes!BU9:'SmtRes'!BU11)</f>
        <v>29.5</v>
      </c>
      <c r="CW32" s="2">
        <f>SUMIF(SmtRes!AQ9:'SmtRes'!AQ11,"=1",SmtRes!BV9:'SmtRes'!BV11)</f>
        <v>0</v>
      </c>
      <c r="CX32" s="2">
        <f>AJ32</f>
        <v>0</v>
      </c>
      <c r="CY32" s="2">
        <f>(((S32+R32)*AT32)/100)</f>
        <v>18979.481400000001</v>
      </c>
      <c r="CZ32" s="2">
        <f>(((S32+R32)*AU32)/100)</f>
        <v>9383.1143999999986</v>
      </c>
      <c r="DA32" s="2"/>
      <c r="DB32" s="2"/>
      <c r="DC32" s="2" t="s">
        <v>3</v>
      </c>
      <c r="DD32" s="2" t="s">
        <v>3</v>
      </c>
      <c r="DE32" s="2" t="s">
        <v>3</v>
      </c>
      <c r="DF32" s="2" t="s">
        <v>3</v>
      </c>
      <c r="DG32" s="2" t="s">
        <v>3</v>
      </c>
      <c r="DH32" s="2" t="s">
        <v>3</v>
      </c>
      <c r="DI32" s="2" t="s">
        <v>3</v>
      </c>
      <c r="DJ32" s="2" t="s">
        <v>3</v>
      </c>
      <c r="DK32" s="2" t="s">
        <v>3</v>
      </c>
      <c r="DL32" s="2" t="s">
        <v>3</v>
      </c>
      <c r="DM32" s="2" t="s">
        <v>3</v>
      </c>
      <c r="DN32" s="2">
        <v>0</v>
      </c>
      <c r="DO32" s="2">
        <v>0</v>
      </c>
      <c r="DP32" s="2">
        <v>1</v>
      </c>
      <c r="DQ32" s="2">
        <v>1</v>
      </c>
      <c r="DR32" s="2"/>
      <c r="DS32" s="2"/>
      <c r="DT32" s="2"/>
      <c r="DU32" s="2">
        <v>1013</v>
      </c>
      <c r="DV32" s="2" t="s">
        <v>18</v>
      </c>
      <c r="DW32" s="2" t="s">
        <v>18</v>
      </c>
      <c r="DX32" s="2">
        <v>1</v>
      </c>
      <c r="DY32" s="2"/>
      <c r="DZ32" s="2" t="s">
        <v>3</v>
      </c>
      <c r="EA32" s="2" t="s">
        <v>3</v>
      </c>
      <c r="EB32" s="2" t="s">
        <v>3</v>
      </c>
      <c r="EC32" s="2" t="s">
        <v>3</v>
      </c>
      <c r="ED32" s="2"/>
      <c r="EE32" s="2">
        <v>91082123</v>
      </c>
      <c r="EF32" s="2">
        <v>3</v>
      </c>
      <c r="EG32" s="2" t="s">
        <v>20</v>
      </c>
      <c r="EH32" s="2">
        <v>104</v>
      </c>
      <c r="EI32" s="2" t="s">
        <v>21</v>
      </c>
      <c r="EJ32" s="2">
        <v>2</v>
      </c>
      <c r="EK32" s="2">
        <v>141001</v>
      </c>
      <c r="EL32" s="2" t="s">
        <v>21</v>
      </c>
      <c r="EM32" s="2" t="s">
        <v>22</v>
      </c>
      <c r="EN32" s="2"/>
      <c r="EO32" s="2" t="s">
        <v>3</v>
      </c>
      <c r="EP32" s="2"/>
      <c r="EQ32" s="2">
        <v>1024</v>
      </c>
      <c r="ER32" s="2">
        <v>0</v>
      </c>
      <c r="ES32" s="2">
        <v>0</v>
      </c>
      <c r="ET32" s="2">
        <v>0</v>
      </c>
      <c r="EU32" s="2">
        <v>0</v>
      </c>
      <c r="EV32" s="2">
        <v>0</v>
      </c>
      <c r="EW32" s="2">
        <v>29.5</v>
      </c>
      <c r="EX32" s="2">
        <v>0</v>
      </c>
      <c r="EY32" s="2">
        <v>0</v>
      </c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>
        <v>0</v>
      </c>
      <c r="FR32" s="2">
        <v>0</v>
      </c>
      <c r="FS32" s="2">
        <v>0</v>
      </c>
      <c r="FT32" s="2"/>
      <c r="FU32" s="2"/>
      <c r="FV32" s="2"/>
      <c r="FW32" s="2"/>
      <c r="FX32" s="2">
        <v>89</v>
      </c>
      <c r="FY32" s="2">
        <v>44</v>
      </c>
      <c r="FZ32" s="2"/>
      <c r="GA32" s="2" t="s">
        <v>3</v>
      </c>
      <c r="GB32" s="2"/>
      <c r="GC32" s="2"/>
      <c r="GD32" s="2">
        <v>1</v>
      </c>
      <c r="GE32" s="2"/>
      <c r="GF32" s="2">
        <v>-1960955357</v>
      </c>
      <c r="GG32" s="2">
        <v>2</v>
      </c>
      <c r="GH32" s="2">
        <v>1</v>
      </c>
      <c r="GI32" s="2">
        <v>-2</v>
      </c>
      <c r="GJ32" s="2">
        <v>0</v>
      </c>
      <c r="GK32" s="2">
        <v>0</v>
      </c>
      <c r="GL32" s="2">
        <f t="shared" si="21"/>
        <v>0</v>
      </c>
      <c r="GM32" s="2">
        <f t="shared" si="22"/>
        <v>49687.85</v>
      </c>
      <c r="GN32" s="2">
        <f t="shared" si="23"/>
        <v>0</v>
      </c>
      <c r="GO32" s="2">
        <f t="shared" si="24"/>
        <v>49687.85</v>
      </c>
      <c r="GP32" s="2">
        <f t="shared" si="25"/>
        <v>0</v>
      </c>
      <c r="GQ32" s="2"/>
      <c r="GR32" s="2">
        <v>0</v>
      </c>
      <c r="GS32" s="2">
        <v>3</v>
      </c>
      <c r="GT32" s="2">
        <v>0</v>
      </c>
      <c r="GU32" s="2" t="s">
        <v>3</v>
      </c>
      <c r="GV32" s="2">
        <f t="shared" si="26"/>
        <v>0</v>
      </c>
      <c r="GW32" s="2">
        <v>1</v>
      </c>
      <c r="GX32" s="2">
        <f t="shared" si="27"/>
        <v>0</v>
      </c>
      <c r="GY32" s="2"/>
      <c r="GZ32" s="2"/>
      <c r="HA32" s="2">
        <v>0</v>
      </c>
      <c r="HB32" s="2">
        <v>0</v>
      </c>
      <c r="HC32" s="2">
        <f>GV32*GW32</f>
        <v>0</v>
      </c>
      <c r="HD32" s="2"/>
      <c r="HE32" s="2" t="s">
        <v>3</v>
      </c>
      <c r="HF32" s="2" t="s">
        <v>3</v>
      </c>
      <c r="HG32" s="2"/>
      <c r="HH32" s="2"/>
      <c r="HI32" s="2"/>
      <c r="HJ32" s="2"/>
      <c r="HK32" s="2"/>
      <c r="HL32" s="2"/>
      <c r="HM32" s="2" t="s">
        <v>3</v>
      </c>
      <c r="HN32" s="2" t="s">
        <v>23</v>
      </c>
      <c r="HO32" s="2" t="s">
        <v>24</v>
      </c>
      <c r="HP32" s="2" t="s">
        <v>21</v>
      </c>
      <c r="HQ32" s="2" t="s">
        <v>21</v>
      </c>
      <c r="HR32" s="2"/>
      <c r="HS32" s="2">
        <v>0</v>
      </c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>
        <v>0</v>
      </c>
      <c r="IL32" s="2"/>
      <c r="IM32" s="2"/>
      <c r="IN32" s="2"/>
      <c r="IO32" s="2"/>
      <c r="IP32" s="2"/>
      <c r="IQ32" s="2"/>
      <c r="IR32" s="2"/>
      <c r="IS32" s="2"/>
      <c r="IT32" s="2"/>
      <c r="IU32" s="2"/>
    </row>
    <row r="33" spans="1:255" x14ac:dyDescent="0.2">
      <c r="A33" s="2">
        <v>18</v>
      </c>
      <c r="B33" s="2">
        <v>1</v>
      </c>
      <c r="C33" s="2">
        <v>10</v>
      </c>
      <c r="D33" s="2"/>
      <c r="E33" s="2" t="s">
        <v>3</v>
      </c>
      <c r="F33" s="2" t="s">
        <v>25</v>
      </c>
      <c r="G33" s="2" t="s">
        <v>26</v>
      </c>
      <c r="H33" s="2" t="s">
        <v>27</v>
      </c>
      <c r="I33" s="2">
        <f>J33</f>
        <v>3</v>
      </c>
      <c r="J33" s="2">
        <v>3</v>
      </c>
      <c r="K33" s="2">
        <v>3</v>
      </c>
      <c r="L33" s="2"/>
      <c r="M33" s="2"/>
      <c r="N33" s="2"/>
      <c r="O33" s="2">
        <f>ROUND(P33,2)</f>
        <v>639.76</v>
      </c>
      <c r="P33" s="2">
        <f>ROUND(ROUND(ROUND(SUMIF(SmtRes!AQ9:'SmtRes'!AQ11,"=1",SmtRes!CU9:'SmtRes'!CU11),2),2)*I33/100,2)</f>
        <v>639.76</v>
      </c>
      <c r="Q33" s="2">
        <f>ROUND(CR33*I33,2)</f>
        <v>0</v>
      </c>
      <c r="R33" s="2">
        <f>ROUND(CS33*I33,2)</f>
        <v>0</v>
      </c>
      <c r="S33" s="2">
        <f>ROUND(CT33*I33,2)</f>
        <v>0</v>
      </c>
      <c r="T33" s="2">
        <f t="shared" si="14"/>
        <v>0</v>
      </c>
      <c r="U33" s="2">
        <f>ROUND(CV33*I33,7)</f>
        <v>0</v>
      </c>
      <c r="V33" s="2">
        <f>ROUND(CW33*I33,7)</f>
        <v>0</v>
      </c>
      <c r="W33" s="2">
        <f t="shared" si="15"/>
        <v>0</v>
      </c>
      <c r="X33" s="2">
        <f t="shared" si="16"/>
        <v>0</v>
      </c>
      <c r="Y33" s="2">
        <f t="shared" si="17"/>
        <v>0</v>
      </c>
      <c r="Z33" s="2"/>
      <c r="AA33" s="2">
        <v>-1</v>
      </c>
      <c r="AB33" s="2">
        <f t="shared" si="18"/>
        <v>0</v>
      </c>
      <c r="AC33" s="2">
        <f>ROUND((ES33),6)</f>
        <v>0</v>
      </c>
      <c r="AD33" s="2">
        <f>ROUND((((ET33)-(EU33))+AE33),6)</f>
        <v>0</v>
      </c>
      <c r="AE33" s="2">
        <f>ROUND((EU33),6)</f>
        <v>0</v>
      </c>
      <c r="AF33" s="2">
        <f>ROUND((EV33),6)</f>
        <v>0</v>
      </c>
      <c r="AG33" s="2">
        <f t="shared" si="19"/>
        <v>0</v>
      </c>
      <c r="AH33" s="2">
        <f>(EW33)</f>
        <v>0</v>
      </c>
      <c r="AI33" s="2">
        <f>(EX33)</f>
        <v>0</v>
      </c>
      <c r="AJ33" s="2">
        <f t="shared" si="20"/>
        <v>0</v>
      </c>
      <c r="AK33" s="2">
        <v>0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2">
        <v>89</v>
      </c>
      <c r="AU33" s="2">
        <v>44</v>
      </c>
      <c r="AV33" s="2">
        <v>1</v>
      </c>
      <c r="AW33" s="2">
        <v>1</v>
      </c>
      <c r="AX33" s="2"/>
      <c r="AY33" s="2"/>
      <c r="AZ33" s="2">
        <v>1</v>
      </c>
      <c r="BA33" s="2">
        <v>1</v>
      </c>
      <c r="BB33" s="2">
        <v>1</v>
      </c>
      <c r="BC33" s="2">
        <v>1</v>
      </c>
      <c r="BD33" s="2" t="s">
        <v>3</v>
      </c>
      <c r="BE33" s="2" t="s">
        <v>3</v>
      </c>
      <c r="BF33" s="2" t="s">
        <v>3</v>
      </c>
      <c r="BG33" s="2" t="s">
        <v>3</v>
      </c>
      <c r="BH33" s="2">
        <v>3</v>
      </c>
      <c r="BI33" s="2">
        <v>2</v>
      </c>
      <c r="BJ33" s="2" t="s">
        <v>3</v>
      </c>
      <c r="BK33" s="2"/>
      <c r="BL33" s="2"/>
      <c r="BM33" s="2">
        <v>141001</v>
      </c>
      <c r="BN33" s="2">
        <v>0</v>
      </c>
      <c r="BO33" s="2" t="s">
        <v>3</v>
      </c>
      <c r="BP33" s="2">
        <v>0</v>
      </c>
      <c r="BQ33" s="2">
        <v>3</v>
      </c>
      <c r="BR33" s="2">
        <v>0</v>
      </c>
      <c r="BS33" s="2">
        <v>1</v>
      </c>
      <c r="BT33" s="2">
        <v>1</v>
      </c>
      <c r="BU33" s="2">
        <v>1</v>
      </c>
      <c r="BV33" s="2">
        <v>1</v>
      </c>
      <c r="BW33" s="2">
        <v>1</v>
      </c>
      <c r="BX33" s="2">
        <v>1</v>
      </c>
      <c r="BY33" s="2" t="s">
        <v>3</v>
      </c>
      <c r="BZ33" s="2">
        <v>89</v>
      </c>
      <c r="CA33" s="2">
        <v>44</v>
      </c>
      <c r="CB33" s="2" t="s">
        <v>3</v>
      </c>
      <c r="CC33" s="2"/>
      <c r="CD33" s="2"/>
      <c r="CE33" s="2">
        <v>0</v>
      </c>
      <c r="CF33" s="2">
        <v>0</v>
      </c>
      <c r="CG33" s="2">
        <v>0</v>
      </c>
      <c r="CH33" s="2"/>
      <c r="CI33" s="2"/>
      <c r="CJ33" s="2"/>
      <c r="CK33" s="2"/>
      <c r="CL33" s="2"/>
      <c r="CM33" s="2">
        <v>0</v>
      </c>
      <c r="CN33" s="2" t="s">
        <v>3</v>
      </c>
      <c r="CO33" s="2">
        <v>0</v>
      </c>
      <c r="CP33" s="2">
        <f>0</f>
        <v>0</v>
      </c>
      <c r="CQ33" s="2">
        <f>0</f>
        <v>0</v>
      </c>
      <c r="CR33" s="2">
        <f>0</f>
        <v>0</v>
      </c>
      <c r="CS33" s="2">
        <f>0</f>
        <v>0</v>
      </c>
      <c r="CT33" s="2">
        <f>0</f>
        <v>0</v>
      </c>
      <c r="CU33" s="2">
        <f>0</f>
        <v>0</v>
      </c>
      <c r="CV33" s="2">
        <f>0</f>
        <v>0</v>
      </c>
      <c r="CW33" s="2">
        <f>0</f>
        <v>0</v>
      </c>
      <c r="CX33" s="2">
        <f>0</f>
        <v>0</v>
      </c>
      <c r="CY33" s="2">
        <f>0</f>
        <v>0</v>
      </c>
      <c r="CZ33" s="2">
        <f>0</f>
        <v>0</v>
      </c>
      <c r="DA33" s="2"/>
      <c r="DB33" s="2"/>
      <c r="DC33" s="2" t="s">
        <v>3</v>
      </c>
      <c r="DD33" s="2" t="s">
        <v>3</v>
      </c>
      <c r="DE33" s="2" t="s">
        <v>3</v>
      </c>
      <c r="DF33" s="2" t="s">
        <v>3</v>
      </c>
      <c r="DG33" s="2" t="s">
        <v>3</v>
      </c>
      <c r="DH33" s="2" t="s">
        <v>3</v>
      </c>
      <c r="DI33" s="2" t="s">
        <v>3</v>
      </c>
      <c r="DJ33" s="2" t="s">
        <v>3</v>
      </c>
      <c r="DK33" s="2" t="s">
        <v>3</v>
      </c>
      <c r="DL33" s="2" t="s">
        <v>3</v>
      </c>
      <c r="DM33" s="2" t="s">
        <v>3</v>
      </c>
      <c r="DN33" s="2">
        <v>0</v>
      </c>
      <c r="DO33" s="2">
        <v>0</v>
      </c>
      <c r="DP33" s="2">
        <v>1</v>
      </c>
      <c r="DQ33" s="2">
        <v>1</v>
      </c>
      <c r="DR33" s="2"/>
      <c r="DS33" s="2"/>
      <c r="DT33" s="2"/>
      <c r="DU33" s="2">
        <v>1013</v>
      </c>
      <c r="DV33" s="2" t="s">
        <v>27</v>
      </c>
      <c r="DW33" s="2" t="s">
        <v>27</v>
      </c>
      <c r="DX33" s="2">
        <v>1</v>
      </c>
      <c r="DY33" s="2"/>
      <c r="DZ33" s="2" t="s">
        <v>3</v>
      </c>
      <c r="EA33" s="2" t="s">
        <v>3</v>
      </c>
      <c r="EB33" s="2" t="s">
        <v>3</v>
      </c>
      <c r="EC33" s="2" t="s">
        <v>3</v>
      </c>
      <c r="ED33" s="2"/>
      <c r="EE33" s="2">
        <v>91082123</v>
      </c>
      <c r="EF33" s="2">
        <v>3</v>
      </c>
      <c r="EG33" s="2" t="s">
        <v>20</v>
      </c>
      <c r="EH33" s="2">
        <v>104</v>
      </c>
      <c r="EI33" s="2" t="s">
        <v>21</v>
      </c>
      <c r="EJ33" s="2">
        <v>2</v>
      </c>
      <c r="EK33" s="2">
        <v>141001</v>
      </c>
      <c r="EL33" s="2" t="s">
        <v>21</v>
      </c>
      <c r="EM33" s="2" t="s">
        <v>22</v>
      </c>
      <c r="EN33" s="2"/>
      <c r="EO33" s="2" t="s">
        <v>3</v>
      </c>
      <c r="EP33" s="2"/>
      <c r="EQ33" s="2">
        <v>1024</v>
      </c>
      <c r="ER33" s="2">
        <v>0</v>
      </c>
      <c r="ES33" s="2">
        <v>0</v>
      </c>
      <c r="ET33" s="2">
        <v>0</v>
      </c>
      <c r="EU33" s="2">
        <v>0</v>
      </c>
      <c r="EV33" s="2">
        <v>0</v>
      </c>
      <c r="EW33" s="2">
        <v>0</v>
      </c>
      <c r="EX33" s="2">
        <v>0</v>
      </c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>
        <v>0</v>
      </c>
      <c r="FR33" s="2">
        <v>0</v>
      </c>
      <c r="FS33" s="2">
        <v>0</v>
      </c>
      <c r="FT33" s="2"/>
      <c r="FU33" s="2"/>
      <c r="FV33" s="2"/>
      <c r="FW33" s="2"/>
      <c r="FX33" s="2">
        <v>89</v>
      </c>
      <c r="FY33" s="2">
        <v>44</v>
      </c>
      <c r="FZ33" s="2"/>
      <c r="GA33" s="2" t="s">
        <v>3</v>
      </c>
      <c r="GB33" s="2"/>
      <c r="GC33" s="2"/>
      <c r="GD33" s="2">
        <v>1</v>
      </c>
      <c r="GE33" s="2"/>
      <c r="GF33" s="2">
        <v>-152123987</v>
      </c>
      <c r="GG33" s="2">
        <v>2</v>
      </c>
      <c r="GH33" s="2">
        <v>1</v>
      </c>
      <c r="GI33" s="2">
        <v>-2</v>
      </c>
      <c r="GJ33" s="2">
        <v>0</v>
      </c>
      <c r="GK33" s="2">
        <v>0</v>
      </c>
      <c r="GL33" s="2">
        <f t="shared" si="21"/>
        <v>0</v>
      </c>
      <c r="GM33" s="2">
        <f t="shared" si="22"/>
        <v>639.76</v>
      </c>
      <c r="GN33" s="2">
        <f t="shared" si="23"/>
        <v>0</v>
      </c>
      <c r="GO33" s="2">
        <f t="shared" si="24"/>
        <v>639.76</v>
      </c>
      <c r="GP33" s="2">
        <f t="shared" si="25"/>
        <v>0</v>
      </c>
      <c r="GQ33" s="2"/>
      <c r="GR33" s="2">
        <v>0</v>
      </c>
      <c r="GS33" s="2">
        <v>3</v>
      </c>
      <c r="GT33" s="2">
        <v>0</v>
      </c>
      <c r="GU33" s="2" t="s">
        <v>3</v>
      </c>
      <c r="GV33" s="2">
        <f t="shared" si="26"/>
        <v>0</v>
      </c>
      <c r="GW33" s="2">
        <v>1</v>
      </c>
      <c r="GX33" s="2">
        <f t="shared" si="27"/>
        <v>0</v>
      </c>
      <c r="GY33" s="2"/>
      <c r="GZ33" s="2"/>
      <c r="HA33" s="2">
        <v>0</v>
      </c>
      <c r="HB33" s="2">
        <v>0</v>
      </c>
      <c r="HC33" s="2">
        <f>0</f>
        <v>0</v>
      </c>
      <c r="HD33" s="2"/>
      <c r="HE33" s="2" t="s">
        <v>3</v>
      </c>
      <c r="HF33" s="2" t="s">
        <v>3</v>
      </c>
      <c r="HG33" s="2"/>
      <c r="HH33" s="2"/>
      <c r="HI33" s="2"/>
      <c r="HJ33" s="2"/>
      <c r="HK33" s="2"/>
      <c r="HL33" s="2"/>
      <c r="HM33" s="2" t="s">
        <v>3</v>
      </c>
      <c r="HN33" s="2" t="s">
        <v>23</v>
      </c>
      <c r="HO33" s="2" t="s">
        <v>24</v>
      </c>
      <c r="HP33" s="2" t="s">
        <v>21</v>
      </c>
      <c r="HQ33" s="2" t="s">
        <v>21</v>
      </c>
      <c r="HR33" s="2"/>
      <c r="HS33" s="2">
        <v>0</v>
      </c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>
        <v>0</v>
      </c>
      <c r="IL33" s="2"/>
      <c r="IM33" s="2"/>
      <c r="IN33" s="2"/>
      <c r="IO33" s="2"/>
      <c r="IP33" s="2"/>
      <c r="IQ33" s="2"/>
      <c r="IR33" s="2"/>
      <c r="IS33" s="2"/>
      <c r="IT33" s="2"/>
      <c r="IU33" s="2"/>
    </row>
    <row r="34" spans="1:255" x14ac:dyDescent="0.2">
      <c r="A34" s="2">
        <v>18</v>
      </c>
      <c r="B34" s="2">
        <v>1</v>
      </c>
      <c r="C34" s="2">
        <v>11</v>
      </c>
      <c r="D34" s="2"/>
      <c r="E34" s="2" t="s">
        <v>3</v>
      </c>
      <c r="F34" s="2" t="s">
        <v>33</v>
      </c>
      <c r="G34" s="2" t="s">
        <v>34</v>
      </c>
      <c r="H34" s="2" t="s">
        <v>35</v>
      </c>
      <c r="I34" s="2">
        <f>I32*J34</f>
        <v>1</v>
      </c>
      <c r="J34" s="2">
        <v>1</v>
      </c>
      <c r="K34" s="2">
        <v>1</v>
      </c>
      <c r="L34" s="2"/>
      <c r="M34" s="2"/>
      <c r="N34" s="2"/>
      <c r="O34" s="2">
        <f>ROUND(CP34,2)</f>
        <v>18095.240000000002</v>
      </c>
      <c r="P34" s="2">
        <f>ROUND(CQ34*I34,2)</f>
        <v>18095.240000000002</v>
      </c>
      <c r="Q34" s="2">
        <f>ROUND(CR34*I34,2)</f>
        <v>0</v>
      </c>
      <c r="R34" s="2">
        <f>ROUND(CS34*I34,2)</f>
        <v>0</v>
      </c>
      <c r="S34" s="2">
        <f>ROUND(CT34*I34,2)</f>
        <v>0</v>
      </c>
      <c r="T34" s="2">
        <f t="shared" si="14"/>
        <v>0</v>
      </c>
      <c r="U34" s="2">
        <f>ROUND(CV34*I34,7)</f>
        <v>0</v>
      </c>
      <c r="V34" s="2">
        <f>ROUND(CW34*I34,7)</f>
        <v>0</v>
      </c>
      <c r="W34" s="2">
        <f t="shared" si="15"/>
        <v>0</v>
      </c>
      <c r="X34" s="2">
        <f t="shared" si="16"/>
        <v>0</v>
      </c>
      <c r="Y34" s="2">
        <f t="shared" si="17"/>
        <v>0</v>
      </c>
      <c r="Z34" s="2"/>
      <c r="AA34" s="2">
        <v>-1</v>
      </c>
      <c r="AB34" s="2">
        <f t="shared" si="18"/>
        <v>18095.240000000002</v>
      </c>
      <c r="AC34" s="2">
        <f>ROUND((ES34),6)</f>
        <v>18095.240000000002</v>
      </c>
      <c r="AD34" s="2">
        <f>ROUND((((ET34)-(EU34))+AE34),6)</f>
        <v>0</v>
      </c>
      <c r="AE34" s="2">
        <f>ROUND((EU34),6)</f>
        <v>0</v>
      </c>
      <c r="AF34" s="2">
        <f>ROUND((EV34),6)</f>
        <v>0</v>
      </c>
      <c r="AG34" s="2">
        <f t="shared" si="19"/>
        <v>0</v>
      </c>
      <c r="AH34" s="2">
        <f>(EW34)</f>
        <v>0</v>
      </c>
      <c r="AI34" s="2">
        <f>(EX34)</f>
        <v>0</v>
      </c>
      <c r="AJ34" s="2">
        <f t="shared" si="20"/>
        <v>0</v>
      </c>
      <c r="AK34" s="2">
        <v>18095.240000000002</v>
      </c>
      <c r="AL34" s="2">
        <v>18095.240000000002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  <c r="AS34" s="2">
        <v>0</v>
      </c>
      <c r="AT34" s="2">
        <v>89</v>
      </c>
      <c r="AU34" s="2">
        <v>44</v>
      </c>
      <c r="AV34" s="2">
        <v>1</v>
      </c>
      <c r="AW34" s="2">
        <v>1</v>
      </c>
      <c r="AX34" s="2"/>
      <c r="AY34" s="2"/>
      <c r="AZ34" s="2">
        <v>1</v>
      </c>
      <c r="BA34" s="2">
        <v>1</v>
      </c>
      <c r="BB34" s="2">
        <v>1</v>
      </c>
      <c r="BC34" s="2">
        <v>1</v>
      </c>
      <c r="BD34" s="2" t="s">
        <v>3</v>
      </c>
      <c r="BE34" s="2" t="s">
        <v>3</v>
      </c>
      <c r="BF34" s="2" t="s">
        <v>3</v>
      </c>
      <c r="BG34" s="2" t="s">
        <v>3</v>
      </c>
      <c r="BH34" s="2">
        <v>3</v>
      </c>
      <c r="BI34" s="2">
        <v>2</v>
      </c>
      <c r="BJ34" s="2" t="s">
        <v>3</v>
      </c>
      <c r="BK34" s="2"/>
      <c r="BL34" s="2"/>
      <c r="BM34" s="2">
        <v>141001</v>
      </c>
      <c r="BN34" s="2">
        <v>0</v>
      </c>
      <c r="BO34" s="2" t="s">
        <v>3</v>
      </c>
      <c r="BP34" s="2">
        <v>0</v>
      </c>
      <c r="BQ34" s="2">
        <v>3</v>
      </c>
      <c r="BR34" s="2">
        <v>0</v>
      </c>
      <c r="BS34" s="2">
        <v>1</v>
      </c>
      <c r="BT34" s="2">
        <v>1</v>
      </c>
      <c r="BU34" s="2">
        <v>1</v>
      </c>
      <c r="BV34" s="2">
        <v>1</v>
      </c>
      <c r="BW34" s="2">
        <v>1</v>
      </c>
      <c r="BX34" s="2">
        <v>1</v>
      </c>
      <c r="BY34" s="2" t="s">
        <v>3</v>
      </c>
      <c r="BZ34" s="2">
        <v>89</v>
      </c>
      <c r="CA34" s="2">
        <v>44</v>
      </c>
      <c r="CB34" s="2" t="s">
        <v>3</v>
      </c>
      <c r="CC34" s="2"/>
      <c r="CD34" s="2"/>
      <c r="CE34" s="2">
        <v>0</v>
      </c>
      <c r="CF34" s="2">
        <v>0</v>
      </c>
      <c r="CG34" s="2">
        <v>0</v>
      </c>
      <c r="CH34" s="2"/>
      <c r="CI34" s="2"/>
      <c r="CJ34" s="2"/>
      <c r="CK34" s="2"/>
      <c r="CL34" s="2"/>
      <c r="CM34" s="2">
        <v>0</v>
      </c>
      <c r="CN34" s="2" t="s">
        <v>3</v>
      </c>
      <c r="CO34" s="2">
        <v>0</v>
      </c>
      <c r="CP34" s="2">
        <f>(P34+Q34+S34+R34)</f>
        <v>18095.240000000002</v>
      </c>
      <c r="CQ34" s="2">
        <f>ROUND(AL34,2)</f>
        <v>18095.240000000002</v>
      </c>
      <c r="CR34" s="2">
        <f>ROUND(AM34,2)</f>
        <v>0</v>
      </c>
      <c r="CS34" s="2">
        <f>ROUND(AN34*BS34,2)</f>
        <v>0</v>
      </c>
      <c r="CT34" s="2">
        <f>ROUND(AO34*BA34,2)</f>
        <v>0</v>
      </c>
      <c r="CU34" s="2">
        <f>AG34</f>
        <v>0</v>
      </c>
      <c r="CV34" s="2">
        <f>AH34</f>
        <v>0</v>
      </c>
      <c r="CW34" s="2">
        <f>AI34</f>
        <v>0</v>
      </c>
      <c r="CX34" s="2">
        <f>AJ34</f>
        <v>0</v>
      </c>
      <c r="CY34" s="2">
        <f>(((S34+R34)*AT34)/100)</f>
        <v>0</v>
      </c>
      <c r="CZ34" s="2">
        <f>(((S34+R34)*AU34)/100)</f>
        <v>0</v>
      </c>
      <c r="DA34" s="2"/>
      <c r="DB34" s="2"/>
      <c r="DC34" s="2" t="s">
        <v>3</v>
      </c>
      <c r="DD34" s="2" t="s">
        <v>3</v>
      </c>
      <c r="DE34" s="2" t="s">
        <v>3</v>
      </c>
      <c r="DF34" s="2" t="s">
        <v>3</v>
      </c>
      <c r="DG34" s="2" t="s">
        <v>3</v>
      </c>
      <c r="DH34" s="2" t="s">
        <v>3</v>
      </c>
      <c r="DI34" s="2" t="s">
        <v>3</v>
      </c>
      <c r="DJ34" s="2" t="s">
        <v>3</v>
      </c>
      <c r="DK34" s="2" t="s">
        <v>3</v>
      </c>
      <c r="DL34" s="2" t="s">
        <v>3</v>
      </c>
      <c r="DM34" s="2" t="s">
        <v>3</v>
      </c>
      <c r="DN34" s="2">
        <v>0</v>
      </c>
      <c r="DO34" s="2">
        <v>0</v>
      </c>
      <c r="DP34" s="2">
        <v>1</v>
      </c>
      <c r="DQ34" s="2">
        <v>1</v>
      </c>
      <c r="DR34" s="2"/>
      <c r="DS34" s="2"/>
      <c r="DT34" s="2"/>
      <c r="DU34" s="2">
        <v>1013</v>
      </c>
      <c r="DV34" s="2" t="s">
        <v>35</v>
      </c>
      <c r="DW34" s="2" t="s">
        <v>35</v>
      </c>
      <c r="DX34" s="2">
        <v>1</v>
      </c>
      <c r="DY34" s="2"/>
      <c r="DZ34" s="2" t="s">
        <v>3</v>
      </c>
      <c r="EA34" s="2" t="s">
        <v>3</v>
      </c>
      <c r="EB34" s="2" t="s">
        <v>3</v>
      </c>
      <c r="EC34" s="2" t="s">
        <v>3</v>
      </c>
      <c r="ED34" s="2"/>
      <c r="EE34" s="2">
        <v>91082123</v>
      </c>
      <c r="EF34" s="2">
        <v>3</v>
      </c>
      <c r="EG34" s="2" t="s">
        <v>20</v>
      </c>
      <c r="EH34" s="2">
        <v>104</v>
      </c>
      <c r="EI34" s="2" t="s">
        <v>21</v>
      </c>
      <c r="EJ34" s="2">
        <v>2</v>
      </c>
      <c r="EK34" s="2">
        <v>141001</v>
      </c>
      <c r="EL34" s="2" t="s">
        <v>21</v>
      </c>
      <c r="EM34" s="2" t="s">
        <v>22</v>
      </c>
      <c r="EN34" s="2"/>
      <c r="EO34" s="2" t="s">
        <v>3</v>
      </c>
      <c r="EP34" s="2"/>
      <c r="EQ34" s="2">
        <v>1024</v>
      </c>
      <c r="ER34" s="2">
        <v>18095.240000000002</v>
      </c>
      <c r="ES34" s="2">
        <v>18095.240000000002</v>
      </c>
      <c r="ET34" s="2">
        <v>0</v>
      </c>
      <c r="EU34" s="2">
        <v>0</v>
      </c>
      <c r="EV34" s="2">
        <v>0</v>
      </c>
      <c r="EW34" s="2">
        <v>0</v>
      </c>
      <c r="EX34" s="2">
        <v>0</v>
      </c>
      <c r="EY34" s="2"/>
      <c r="EZ34" s="2">
        <v>5</v>
      </c>
      <c r="FA34" s="2"/>
      <c r="FB34" s="2"/>
      <c r="FC34" s="2">
        <v>1</v>
      </c>
      <c r="FD34" s="2">
        <v>18</v>
      </c>
      <c r="FE34" s="2"/>
      <c r="FF34" s="2">
        <v>19000</v>
      </c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>
        <v>0</v>
      </c>
      <c r="FR34" s="2">
        <v>0</v>
      </c>
      <c r="FS34" s="2">
        <v>0</v>
      </c>
      <c r="FT34" s="2"/>
      <c r="FU34" s="2"/>
      <c r="FV34" s="2"/>
      <c r="FW34" s="2"/>
      <c r="FX34" s="2">
        <v>89</v>
      </c>
      <c r="FY34" s="2">
        <v>44</v>
      </c>
      <c r="FZ34" s="2"/>
      <c r="GA34" s="2" t="s">
        <v>45</v>
      </c>
      <c r="GB34" s="2"/>
      <c r="GC34" s="2"/>
      <c r="GD34" s="2">
        <v>1</v>
      </c>
      <c r="GE34" s="2"/>
      <c r="GF34" s="2">
        <v>311246249</v>
      </c>
      <c r="GG34" s="2">
        <v>2</v>
      </c>
      <c r="GH34" s="2">
        <v>3</v>
      </c>
      <c r="GI34" s="2">
        <v>-2</v>
      </c>
      <c r="GJ34" s="2">
        <v>0</v>
      </c>
      <c r="GK34" s="2">
        <v>0</v>
      </c>
      <c r="GL34" s="2">
        <f t="shared" si="21"/>
        <v>0</v>
      </c>
      <c r="GM34" s="2">
        <f t="shared" si="22"/>
        <v>18095.240000000002</v>
      </c>
      <c r="GN34" s="2">
        <f t="shared" si="23"/>
        <v>0</v>
      </c>
      <c r="GO34" s="2">
        <f t="shared" si="24"/>
        <v>18095.240000000002</v>
      </c>
      <c r="GP34" s="2">
        <f t="shared" si="25"/>
        <v>0</v>
      </c>
      <c r="GQ34" s="2"/>
      <c r="GR34" s="2">
        <v>1</v>
      </c>
      <c r="GS34" s="2">
        <v>1</v>
      </c>
      <c r="GT34" s="2">
        <v>0</v>
      </c>
      <c r="GU34" s="2" t="s">
        <v>3</v>
      </c>
      <c r="GV34" s="2">
        <f t="shared" si="26"/>
        <v>0</v>
      </c>
      <c r="GW34" s="2">
        <v>1</v>
      </c>
      <c r="GX34" s="2">
        <f t="shared" si="27"/>
        <v>0</v>
      </c>
      <c r="GY34" s="2"/>
      <c r="GZ34" s="2"/>
      <c r="HA34" s="2">
        <v>0</v>
      </c>
      <c r="HB34" s="2">
        <v>0</v>
      </c>
      <c r="HC34" s="2">
        <f>GV34*GW34</f>
        <v>0</v>
      </c>
      <c r="HD34" s="2"/>
      <c r="HE34" s="2" t="s">
        <v>40</v>
      </c>
      <c r="HF34" s="2" t="s">
        <v>40</v>
      </c>
      <c r="HG34" s="2">
        <f>ROUND(ROUND(AL34,2)*I34,2)</f>
        <v>18095.240000000002</v>
      </c>
      <c r="HH34" s="2"/>
      <c r="HI34" s="2"/>
      <c r="HJ34" s="2"/>
      <c r="HK34" s="2"/>
      <c r="HL34" s="2"/>
      <c r="HM34" s="2" t="s">
        <v>3</v>
      </c>
      <c r="HN34" s="2" t="s">
        <v>23</v>
      </c>
      <c r="HO34" s="2" t="s">
        <v>24</v>
      </c>
      <c r="HP34" s="2" t="s">
        <v>21</v>
      </c>
      <c r="HQ34" s="2" t="s">
        <v>21</v>
      </c>
      <c r="HR34" s="2"/>
      <c r="HS34" s="2">
        <v>0</v>
      </c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>
        <v>0</v>
      </c>
      <c r="IL34" s="2"/>
      <c r="IM34" s="2"/>
      <c r="IN34" s="2"/>
      <c r="IO34" s="2"/>
      <c r="IP34" s="2"/>
      <c r="IQ34" s="2"/>
      <c r="IR34" s="2"/>
      <c r="IS34" s="2"/>
      <c r="IT34" s="2"/>
      <c r="IU34" s="2"/>
    </row>
    <row r="35" spans="1:255" x14ac:dyDescent="0.2">
      <c r="A35" s="2">
        <v>17</v>
      </c>
      <c r="B35" s="2">
        <v>1</v>
      </c>
      <c r="C35" s="2">
        <f>ROW(SmtRes!A32)</f>
        <v>32</v>
      </c>
      <c r="D35" s="2">
        <f>ROW(EtalonRes!A27)</f>
        <v>27</v>
      </c>
      <c r="E35" s="2" t="s">
        <v>3</v>
      </c>
      <c r="F35" s="2" t="s">
        <v>49</v>
      </c>
      <c r="G35" s="2" t="s">
        <v>50</v>
      </c>
      <c r="H35" s="2" t="s">
        <v>18</v>
      </c>
      <c r="I35" s="2">
        <f>ROUND(7,7)</f>
        <v>7</v>
      </c>
      <c r="J35" s="2">
        <v>0</v>
      </c>
      <c r="K35" s="2">
        <f>ROUND(7,7)</f>
        <v>7</v>
      </c>
      <c r="L35" s="2"/>
      <c r="M35" s="2"/>
      <c r="N35" s="2"/>
      <c r="O35" s="2">
        <f>ROUND(CP35,2)</f>
        <v>17663.509999999998</v>
      </c>
      <c r="P35" s="2">
        <f>SUMIF(SmtRes!AQ12:'SmtRes'!AQ32,"=1",SmtRes!DF12:'SmtRes'!DF32)</f>
        <v>5700.01</v>
      </c>
      <c r="Q35" s="2">
        <f>SUMIF(SmtRes!AQ12:'SmtRes'!AQ32,"=1",SmtRes!DG12:'SmtRes'!DG32)</f>
        <v>171.7</v>
      </c>
      <c r="R35" s="2">
        <f>SUMIF(SmtRes!AQ12:'SmtRes'!AQ32,"=1",SmtRes!DH12:'SmtRes'!DH32)</f>
        <v>119.91999999999999</v>
      </c>
      <c r="S35" s="2">
        <f>SUMIF(SmtRes!AQ12:'SmtRes'!AQ32,"=1",SmtRes!DI12:'SmtRes'!DI32)</f>
        <v>11671.88</v>
      </c>
      <c r="T35" s="2">
        <f t="shared" si="14"/>
        <v>0</v>
      </c>
      <c r="U35" s="2">
        <f>SUMIF(SmtRes!AQ12:'SmtRes'!AQ32,"=1",SmtRes!CV12:'SmtRes'!CV32)</f>
        <v>16.52</v>
      </c>
      <c r="V35" s="2">
        <f>SUMIF(SmtRes!AQ12:'SmtRes'!AQ32,"=1",SmtRes!CW12:'SmtRes'!CW32)</f>
        <v>0.14000000000000001</v>
      </c>
      <c r="W35" s="2">
        <f t="shared" si="15"/>
        <v>0</v>
      </c>
      <c r="X35" s="2">
        <f t="shared" si="16"/>
        <v>11438.05</v>
      </c>
      <c r="Y35" s="2">
        <f t="shared" si="17"/>
        <v>6013.82</v>
      </c>
      <c r="Z35" s="2"/>
      <c r="AA35" s="2">
        <v>-1</v>
      </c>
      <c r="AB35" s="2">
        <f t="shared" si="18"/>
        <v>2347.8501080000001</v>
      </c>
      <c r="AC35" s="2">
        <f>ROUND((SUM(SmtRes!BQ12:'SmtRes'!BQ32)),6)</f>
        <v>655.91050800000005</v>
      </c>
      <c r="AD35" s="2">
        <f>ROUND((((SUM(SmtRes!BR12:'SmtRes'!BR32))-(SUM(SmtRes!BS12:'SmtRes'!BS32)))+AE35),6)</f>
        <v>24.5288</v>
      </c>
      <c r="AE35" s="2">
        <f>ROUND((SUM(SmtRes!BS12:'SmtRes'!BS32)),6)</f>
        <v>17.1312</v>
      </c>
      <c r="AF35" s="2">
        <f>ROUND((SUM(SmtRes!BT12:'SmtRes'!BT32)),6)</f>
        <v>1667.4108000000001</v>
      </c>
      <c r="AG35" s="2">
        <f t="shared" si="19"/>
        <v>0</v>
      </c>
      <c r="AH35" s="2">
        <f>(SUM(SmtRes!BU12:'SmtRes'!BU32))</f>
        <v>2.36</v>
      </c>
      <c r="AI35" s="2">
        <f>(SUM(SmtRes!BV12:'SmtRes'!BV32))</f>
        <v>0.02</v>
      </c>
      <c r="AJ35" s="2">
        <f t="shared" si="20"/>
        <v>0</v>
      </c>
      <c r="AK35" s="2">
        <v>2364.9813079999999</v>
      </c>
      <c r="AL35" s="2">
        <v>655.91050800000005</v>
      </c>
      <c r="AM35" s="2">
        <v>24.5288</v>
      </c>
      <c r="AN35" s="2">
        <v>17.1312</v>
      </c>
      <c r="AO35" s="2">
        <v>1667.4107999999999</v>
      </c>
      <c r="AP35" s="2">
        <v>0</v>
      </c>
      <c r="AQ35" s="2">
        <v>2.36</v>
      </c>
      <c r="AR35" s="2">
        <v>0.02</v>
      </c>
      <c r="AS35" s="2">
        <v>0</v>
      </c>
      <c r="AT35" s="2">
        <v>97</v>
      </c>
      <c r="AU35" s="2">
        <v>51</v>
      </c>
      <c r="AV35" s="2">
        <v>1</v>
      </c>
      <c r="AW35" s="2">
        <v>1</v>
      </c>
      <c r="AX35" s="2"/>
      <c r="AY35" s="2"/>
      <c r="AZ35" s="2">
        <v>1</v>
      </c>
      <c r="BA35" s="2">
        <v>1</v>
      </c>
      <c r="BB35" s="2">
        <v>1</v>
      </c>
      <c r="BC35" s="2">
        <v>1</v>
      </c>
      <c r="BD35" s="2" t="s">
        <v>3</v>
      </c>
      <c r="BE35" s="2" t="s">
        <v>3</v>
      </c>
      <c r="BF35" s="2" t="s">
        <v>3</v>
      </c>
      <c r="BG35" s="2" t="s">
        <v>3</v>
      </c>
      <c r="BH35" s="2">
        <v>0</v>
      </c>
      <c r="BI35" s="2">
        <v>2</v>
      </c>
      <c r="BJ35" s="2" t="s">
        <v>51</v>
      </c>
      <c r="BK35" s="2"/>
      <c r="BL35" s="2"/>
      <c r="BM35" s="2">
        <v>108001</v>
      </c>
      <c r="BN35" s="2">
        <v>0</v>
      </c>
      <c r="BO35" s="2" t="s">
        <v>3</v>
      </c>
      <c r="BP35" s="2">
        <v>0</v>
      </c>
      <c r="BQ35" s="2">
        <v>3</v>
      </c>
      <c r="BR35" s="2">
        <v>0</v>
      </c>
      <c r="BS35" s="2">
        <v>1</v>
      </c>
      <c r="BT35" s="2">
        <v>1</v>
      </c>
      <c r="BU35" s="2">
        <v>1</v>
      </c>
      <c r="BV35" s="2">
        <v>1</v>
      </c>
      <c r="BW35" s="2">
        <v>1</v>
      </c>
      <c r="BX35" s="2">
        <v>1</v>
      </c>
      <c r="BY35" s="2" t="s">
        <v>3</v>
      </c>
      <c r="BZ35" s="2">
        <v>97</v>
      </c>
      <c r="CA35" s="2">
        <v>51</v>
      </c>
      <c r="CB35" s="2" t="s">
        <v>3</v>
      </c>
      <c r="CC35" s="2"/>
      <c r="CD35" s="2"/>
      <c r="CE35" s="2">
        <v>0</v>
      </c>
      <c r="CF35" s="2">
        <v>0</v>
      </c>
      <c r="CG35" s="2">
        <v>0</v>
      </c>
      <c r="CH35" s="2"/>
      <c r="CI35" s="2"/>
      <c r="CJ35" s="2"/>
      <c r="CK35" s="2"/>
      <c r="CL35" s="2"/>
      <c r="CM35" s="2">
        <v>0</v>
      </c>
      <c r="CN35" s="2" t="s">
        <v>3</v>
      </c>
      <c r="CO35" s="2">
        <v>0</v>
      </c>
      <c r="CP35" s="2">
        <f>(P35+Q35+S35+R35)</f>
        <v>17663.509999999998</v>
      </c>
      <c r="CQ35" s="2">
        <f>SUMIF(SmtRes!AQ12:'SmtRes'!AQ32,"=1",SmtRes!AA12:'SmtRes'!AA32)</f>
        <v>138441.93</v>
      </c>
      <c r="CR35" s="2">
        <f>SUMIF(SmtRes!AQ12:'SmtRes'!AQ32,"=1",SmtRes!AB12:'SmtRes'!AB32)</f>
        <v>2162.7199999999998</v>
      </c>
      <c r="CS35" s="2">
        <f>SUMIF(SmtRes!AQ12:'SmtRes'!AQ32,"=1",SmtRes!AC12:'SmtRes'!AC32)</f>
        <v>1713.12</v>
      </c>
      <c r="CT35" s="2">
        <f>SUMIF(SmtRes!AQ12:'SmtRes'!AQ32,"=1",SmtRes!AD12:'SmtRes'!AD32)</f>
        <v>706.53</v>
      </c>
      <c r="CU35" s="2">
        <f>AG35</f>
        <v>0</v>
      </c>
      <c r="CV35" s="2">
        <f>SUMIF(SmtRes!AQ12:'SmtRes'!AQ32,"=1",SmtRes!BU12:'SmtRes'!BU32)</f>
        <v>2.36</v>
      </c>
      <c r="CW35" s="2">
        <f>SUMIF(SmtRes!AQ12:'SmtRes'!AQ32,"=1",SmtRes!BV12:'SmtRes'!BV32)</f>
        <v>0.02</v>
      </c>
      <c r="CX35" s="2">
        <f>AJ35</f>
        <v>0</v>
      </c>
      <c r="CY35" s="2">
        <f>(((S35+R35)*AT35)/100)</f>
        <v>11438.045999999998</v>
      </c>
      <c r="CZ35" s="2">
        <f>(((S35+R35)*AU35)/100)</f>
        <v>6013.8179999999993</v>
      </c>
      <c r="DA35" s="2"/>
      <c r="DB35" s="2"/>
      <c r="DC35" s="2" t="s">
        <v>3</v>
      </c>
      <c r="DD35" s="2" t="s">
        <v>3</v>
      </c>
      <c r="DE35" s="2" t="s">
        <v>3</v>
      </c>
      <c r="DF35" s="2" t="s">
        <v>3</v>
      </c>
      <c r="DG35" s="2" t="s">
        <v>3</v>
      </c>
      <c r="DH35" s="2" t="s">
        <v>3</v>
      </c>
      <c r="DI35" s="2" t="s">
        <v>3</v>
      </c>
      <c r="DJ35" s="2" t="s">
        <v>3</v>
      </c>
      <c r="DK35" s="2" t="s">
        <v>3</v>
      </c>
      <c r="DL35" s="2" t="s">
        <v>3</v>
      </c>
      <c r="DM35" s="2" t="s">
        <v>3</v>
      </c>
      <c r="DN35" s="2">
        <v>0</v>
      </c>
      <c r="DO35" s="2">
        <v>0</v>
      </c>
      <c r="DP35" s="2">
        <v>1</v>
      </c>
      <c r="DQ35" s="2">
        <v>1</v>
      </c>
      <c r="DR35" s="2"/>
      <c r="DS35" s="2"/>
      <c r="DT35" s="2"/>
      <c r="DU35" s="2">
        <v>1013</v>
      </c>
      <c r="DV35" s="2" t="s">
        <v>18</v>
      </c>
      <c r="DW35" s="2" t="s">
        <v>18</v>
      </c>
      <c r="DX35" s="2">
        <v>1</v>
      </c>
      <c r="DY35" s="2"/>
      <c r="DZ35" s="2" t="s">
        <v>3</v>
      </c>
      <c r="EA35" s="2" t="s">
        <v>3</v>
      </c>
      <c r="EB35" s="2" t="s">
        <v>3</v>
      </c>
      <c r="EC35" s="2" t="s">
        <v>3</v>
      </c>
      <c r="ED35" s="2"/>
      <c r="EE35" s="2">
        <v>91082083</v>
      </c>
      <c r="EF35" s="2">
        <v>3</v>
      </c>
      <c r="EG35" s="2" t="s">
        <v>20</v>
      </c>
      <c r="EH35" s="2">
        <v>0</v>
      </c>
      <c r="EI35" s="2" t="s">
        <v>3</v>
      </c>
      <c r="EJ35" s="2">
        <v>2</v>
      </c>
      <c r="EK35" s="2">
        <v>108001</v>
      </c>
      <c r="EL35" s="2" t="s">
        <v>52</v>
      </c>
      <c r="EM35" s="2" t="s">
        <v>53</v>
      </c>
      <c r="EN35" s="2"/>
      <c r="EO35" s="2" t="s">
        <v>3</v>
      </c>
      <c r="EP35" s="2"/>
      <c r="EQ35" s="2">
        <v>1024</v>
      </c>
      <c r="ER35" s="2">
        <v>0</v>
      </c>
      <c r="ES35" s="2">
        <v>0</v>
      </c>
      <c r="ET35" s="2">
        <v>0</v>
      </c>
      <c r="EU35" s="2">
        <v>0</v>
      </c>
      <c r="EV35" s="2">
        <v>0</v>
      </c>
      <c r="EW35" s="2">
        <v>2.36</v>
      </c>
      <c r="EX35" s="2">
        <v>0.02</v>
      </c>
      <c r="EY35" s="2">
        <v>0</v>
      </c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>
        <v>0</v>
      </c>
      <c r="FR35" s="2">
        <v>0</v>
      </c>
      <c r="FS35" s="2">
        <v>0</v>
      </c>
      <c r="FT35" s="2"/>
      <c r="FU35" s="2"/>
      <c r="FV35" s="2"/>
      <c r="FW35" s="2"/>
      <c r="FX35" s="2">
        <v>97</v>
      </c>
      <c r="FY35" s="2">
        <v>51</v>
      </c>
      <c r="FZ35" s="2"/>
      <c r="GA35" s="2" t="s">
        <v>3</v>
      </c>
      <c r="GB35" s="2"/>
      <c r="GC35" s="2"/>
      <c r="GD35" s="2">
        <v>1</v>
      </c>
      <c r="GE35" s="2"/>
      <c r="GF35" s="2">
        <v>-263828142</v>
      </c>
      <c r="GG35" s="2">
        <v>2</v>
      </c>
      <c r="GH35" s="2">
        <v>1</v>
      </c>
      <c r="GI35" s="2">
        <v>-2</v>
      </c>
      <c r="GJ35" s="2">
        <v>0</v>
      </c>
      <c r="GK35" s="2">
        <v>0</v>
      </c>
      <c r="GL35" s="2">
        <f t="shared" si="21"/>
        <v>0</v>
      </c>
      <c r="GM35" s="2">
        <f t="shared" si="22"/>
        <v>35115.379999999997</v>
      </c>
      <c r="GN35" s="2">
        <f t="shared" si="23"/>
        <v>0</v>
      </c>
      <c r="GO35" s="2">
        <f t="shared" si="24"/>
        <v>35115.379999999997</v>
      </c>
      <c r="GP35" s="2">
        <f t="shared" si="25"/>
        <v>0</v>
      </c>
      <c r="GQ35" s="2"/>
      <c r="GR35" s="2">
        <v>0</v>
      </c>
      <c r="GS35" s="2">
        <v>3</v>
      </c>
      <c r="GT35" s="2">
        <v>0</v>
      </c>
      <c r="GU35" s="2" t="s">
        <v>3</v>
      </c>
      <c r="GV35" s="2">
        <f t="shared" si="26"/>
        <v>0</v>
      </c>
      <c r="GW35" s="2">
        <v>1</v>
      </c>
      <c r="GX35" s="2">
        <f t="shared" si="27"/>
        <v>0</v>
      </c>
      <c r="GY35" s="2"/>
      <c r="GZ35" s="2"/>
      <c r="HA35" s="2">
        <v>0</v>
      </c>
      <c r="HB35" s="2">
        <v>0</v>
      </c>
      <c r="HC35" s="2">
        <f>GV35*GW35</f>
        <v>0</v>
      </c>
      <c r="HD35" s="2"/>
      <c r="HE35" s="2" t="s">
        <v>3</v>
      </c>
      <c r="HF35" s="2" t="s">
        <v>3</v>
      </c>
      <c r="HG35" s="2"/>
      <c r="HH35" s="2"/>
      <c r="HI35" s="2"/>
      <c r="HJ35" s="2"/>
      <c r="HK35" s="2"/>
      <c r="HL35" s="2"/>
      <c r="HM35" s="2" t="s">
        <v>3</v>
      </c>
      <c r="HN35" s="2" t="s">
        <v>54</v>
      </c>
      <c r="HO35" s="2" t="s">
        <v>55</v>
      </c>
      <c r="HP35" s="2" t="s">
        <v>52</v>
      </c>
      <c r="HQ35" s="2" t="s">
        <v>52</v>
      </c>
      <c r="HR35" s="2"/>
      <c r="HS35" s="2">
        <v>0</v>
      </c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>
        <v>0</v>
      </c>
      <c r="IL35" s="2"/>
      <c r="IM35" s="2"/>
      <c r="IN35" s="2"/>
      <c r="IO35" s="2"/>
      <c r="IP35" s="2"/>
      <c r="IQ35" s="2"/>
      <c r="IR35" s="2"/>
      <c r="IS35" s="2"/>
      <c r="IT35" s="2"/>
      <c r="IU35" s="2"/>
    </row>
    <row r="36" spans="1:255" x14ac:dyDescent="0.2">
      <c r="A36" s="2">
        <v>18</v>
      </c>
      <c r="B36" s="2">
        <v>1</v>
      </c>
      <c r="C36" s="2">
        <v>30</v>
      </c>
      <c r="D36" s="2"/>
      <c r="E36" s="2" t="s">
        <v>3</v>
      </c>
      <c r="F36" s="2" t="s">
        <v>56</v>
      </c>
      <c r="G36" s="2" t="s">
        <v>57</v>
      </c>
      <c r="H36" s="2" t="s">
        <v>27</v>
      </c>
      <c r="I36" s="2">
        <f>J36</f>
        <v>2</v>
      </c>
      <c r="J36" s="2">
        <v>2</v>
      </c>
      <c r="K36" s="2">
        <v>2</v>
      </c>
      <c r="L36" s="2"/>
      <c r="M36" s="2"/>
      <c r="N36" s="2"/>
      <c r="O36" s="2">
        <f>ROUND(P36,2)</f>
        <v>233.44</v>
      </c>
      <c r="P36" s="2">
        <f>ROUND(ROUND(ROUND(SUMIF(SmtRes!AQ12:'SmtRes'!AQ32,"=1",SmtRes!CU12:'SmtRes'!CU32),2),2)*I36/100,2)</f>
        <v>233.44</v>
      </c>
      <c r="Q36" s="2">
        <f>ROUND(CR36*I36,2)</f>
        <v>0</v>
      </c>
      <c r="R36" s="2">
        <f>ROUND(CS36*I36,2)</f>
        <v>0</v>
      </c>
      <c r="S36" s="2">
        <f>ROUND(CT36*I36,2)</f>
        <v>0</v>
      </c>
      <c r="T36" s="2">
        <f t="shared" si="14"/>
        <v>0</v>
      </c>
      <c r="U36" s="2">
        <f>ROUND(CV36*I36,7)</f>
        <v>0</v>
      </c>
      <c r="V36" s="2">
        <f>ROUND(CW36*I36,7)</f>
        <v>0</v>
      </c>
      <c r="W36" s="2">
        <f t="shared" si="15"/>
        <v>0</v>
      </c>
      <c r="X36" s="2">
        <f t="shared" si="16"/>
        <v>0</v>
      </c>
      <c r="Y36" s="2">
        <f t="shared" si="17"/>
        <v>0</v>
      </c>
      <c r="Z36" s="2"/>
      <c r="AA36" s="2">
        <v>-1</v>
      </c>
      <c r="AB36" s="2">
        <f t="shared" si="18"/>
        <v>0</v>
      </c>
      <c r="AC36" s="2">
        <f>ROUND((ES36),6)</f>
        <v>0</v>
      </c>
      <c r="AD36" s="2">
        <f>ROUND((((ET36)-(EU36))+AE36),6)</f>
        <v>0</v>
      </c>
      <c r="AE36" s="2">
        <f t="shared" ref="AE36:AF38" si="28">ROUND((EU36),6)</f>
        <v>0</v>
      </c>
      <c r="AF36" s="2">
        <f t="shared" si="28"/>
        <v>0</v>
      </c>
      <c r="AG36" s="2">
        <f t="shared" si="19"/>
        <v>0</v>
      </c>
      <c r="AH36" s="2">
        <f t="shared" ref="AH36:AI38" si="29">(EW36)</f>
        <v>0</v>
      </c>
      <c r="AI36" s="2">
        <f t="shared" si="29"/>
        <v>0</v>
      </c>
      <c r="AJ36" s="2">
        <f t="shared" si="20"/>
        <v>0</v>
      </c>
      <c r="AK36" s="2">
        <v>0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97</v>
      </c>
      <c r="AU36" s="2">
        <v>51</v>
      </c>
      <c r="AV36" s="2">
        <v>1</v>
      </c>
      <c r="AW36" s="2">
        <v>1</v>
      </c>
      <c r="AX36" s="2"/>
      <c r="AY36" s="2"/>
      <c r="AZ36" s="2">
        <v>1</v>
      </c>
      <c r="BA36" s="2">
        <v>1</v>
      </c>
      <c r="BB36" s="2">
        <v>1</v>
      </c>
      <c r="BC36" s="2">
        <v>1</v>
      </c>
      <c r="BD36" s="2" t="s">
        <v>3</v>
      </c>
      <c r="BE36" s="2" t="s">
        <v>3</v>
      </c>
      <c r="BF36" s="2" t="s">
        <v>3</v>
      </c>
      <c r="BG36" s="2" t="s">
        <v>3</v>
      </c>
      <c r="BH36" s="2">
        <v>3</v>
      </c>
      <c r="BI36" s="2">
        <v>2</v>
      </c>
      <c r="BJ36" s="2" t="s">
        <v>3</v>
      </c>
      <c r="BK36" s="2"/>
      <c r="BL36" s="2"/>
      <c r="BM36" s="2">
        <v>108001</v>
      </c>
      <c r="BN36" s="2">
        <v>0</v>
      </c>
      <c r="BO36" s="2" t="s">
        <v>3</v>
      </c>
      <c r="BP36" s="2">
        <v>0</v>
      </c>
      <c r="BQ36" s="2">
        <v>3</v>
      </c>
      <c r="BR36" s="2">
        <v>0</v>
      </c>
      <c r="BS36" s="2">
        <v>1</v>
      </c>
      <c r="BT36" s="2">
        <v>1</v>
      </c>
      <c r="BU36" s="2">
        <v>1</v>
      </c>
      <c r="BV36" s="2">
        <v>1</v>
      </c>
      <c r="BW36" s="2">
        <v>1</v>
      </c>
      <c r="BX36" s="2">
        <v>1</v>
      </c>
      <c r="BY36" s="2" t="s">
        <v>3</v>
      </c>
      <c r="BZ36" s="2">
        <v>97</v>
      </c>
      <c r="CA36" s="2">
        <v>51</v>
      </c>
      <c r="CB36" s="2" t="s">
        <v>3</v>
      </c>
      <c r="CC36" s="2"/>
      <c r="CD36" s="2"/>
      <c r="CE36" s="2">
        <v>0</v>
      </c>
      <c r="CF36" s="2">
        <v>0</v>
      </c>
      <c r="CG36" s="2">
        <v>0</v>
      </c>
      <c r="CH36" s="2"/>
      <c r="CI36" s="2"/>
      <c r="CJ36" s="2"/>
      <c r="CK36" s="2"/>
      <c r="CL36" s="2"/>
      <c r="CM36" s="2">
        <v>0</v>
      </c>
      <c r="CN36" s="2" t="s">
        <v>3</v>
      </c>
      <c r="CO36" s="2">
        <v>0</v>
      </c>
      <c r="CP36" s="2">
        <f>0</f>
        <v>0</v>
      </c>
      <c r="CQ36" s="2">
        <f>0</f>
        <v>0</v>
      </c>
      <c r="CR36" s="2">
        <f>0</f>
        <v>0</v>
      </c>
      <c r="CS36" s="2">
        <f>0</f>
        <v>0</v>
      </c>
      <c r="CT36" s="2">
        <f>0</f>
        <v>0</v>
      </c>
      <c r="CU36" s="2">
        <f>0</f>
        <v>0</v>
      </c>
      <c r="CV36" s="2">
        <f>0</f>
        <v>0</v>
      </c>
      <c r="CW36" s="2">
        <f>0</f>
        <v>0</v>
      </c>
      <c r="CX36" s="2">
        <f>0</f>
        <v>0</v>
      </c>
      <c r="CY36" s="2">
        <f>0</f>
        <v>0</v>
      </c>
      <c r="CZ36" s="2">
        <f>0</f>
        <v>0</v>
      </c>
      <c r="DA36" s="2"/>
      <c r="DB36" s="2"/>
      <c r="DC36" s="2" t="s">
        <v>3</v>
      </c>
      <c r="DD36" s="2" t="s">
        <v>3</v>
      </c>
      <c r="DE36" s="2" t="s">
        <v>3</v>
      </c>
      <c r="DF36" s="2" t="s">
        <v>3</v>
      </c>
      <c r="DG36" s="2" t="s">
        <v>3</v>
      </c>
      <c r="DH36" s="2" t="s">
        <v>3</v>
      </c>
      <c r="DI36" s="2" t="s">
        <v>3</v>
      </c>
      <c r="DJ36" s="2" t="s">
        <v>3</v>
      </c>
      <c r="DK36" s="2" t="s">
        <v>3</v>
      </c>
      <c r="DL36" s="2" t="s">
        <v>3</v>
      </c>
      <c r="DM36" s="2" t="s">
        <v>3</v>
      </c>
      <c r="DN36" s="2">
        <v>0</v>
      </c>
      <c r="DO36" s="2">
        <v>0</v>
      </c>
      <c r="DP36" s="2">
        <v>1</v>
      </c>
      <c r="DQ36" s="2">
        <v>1</v>
      </c>
      <c r="DR36" s="2"/>
      <c r="DS36" s="2"/>
      <c r="DT36" s="2"/>
      <c r="DU36" s="2">
        <v>1013</v>
      </c>
      <c r="DV36" s="2" t="s">
        <v>27</v>
      </c>
      <c r="DW36" s="2" t="s">
        <v>27</v>
      </c>
      <c r="DX36" s="2">
        <v>1</v>
      </c>
      <c r="DY36" s="2"/>
      <c r="DZ36" s="2" t="s">
        <v>3</v>
      </c>
      <c r="EA36" s="2" t="s">
        <v>3</v>
      </c>
      <c r="EB36" s="2" t="s">
        <v>3</v>
      </c>
      <c r="EC36" s="2" t="s">
        <v>3</v>
      </c>
      <c r="ED36" s="2"/>
      <c r="EE36" s="2">
        <v>91082083</v>
      </c>
      <c r="EF36" s="2">
        <v>3</v>
      </c>
      <c r="EG36" s="2" t="s">
        <v>20</v>
      </c>
      <c r="EH36" s="2">
        <v>0</v>
      </c>
      <c r="EI36" s="2" t="s">
        <v>3</v>
      </c>
      <c r="EJ36" s="2">
        <v>2</v>
      </c>
      <c r="EK36" s="2">
        <v>108001</v>
      </c>
      <c r="EL36" s="2" t="s">
        <v>52</v>
      </c>
      <c r="EM36" s="2" t="s">
        <v>53</v>
      </c>
      <c r="EN36" s="2"/>
      <c r="EO36" s="2" t="s">
        <v>3</v>
      </c>
      <c r="EP36" s="2"/>
      <c r="EQ36" s="2">
        <v>1024</v>
      </c>
      <c r="ER36" s="2">
        <v>0</v>
      </c>
      <c r="ES36" s="2">
        <v>0</v>
      </c>
      <c r="ET36" s="2">
        <v>0</v>
      </c>
      <c r="EU36" s="2">
        <v>0</v>
      </c>
      <c r="EV36" s="2">
        <v>0</v>
      </c>
      <c r="EW36" s="2">
        <v>0</v>
      </c>
      <c r="EX36" s="2">
        <v>0</v>
      </c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>
        <v>0</v>
      </c>
      <c r="FR36" s="2">
        <v>0</v>
      </c>
      <c r="FS36" s="2">
        <v>0</v>
      </c>
      <c r="FT36" s="2"/>
      <c r="FU36" s="2"/>
      <c r="FV36" s="2"/>
      <c r="FW36" s="2"/>
      <c r="FX36" s="2">
        <v>97</v>
      </c>
      <c r="FY36" s="2">
        <v>51</v>
      </c>
      <c r="FZ36" s="2"/>
      <c r="GA36" s="2" t="s">
        <v>3</v>
      </c>
      <c r="GB36" s="2"/>
      <c r="GC36" s="2"/>
      <c r="GD36" s="2">
        <v>1</v>
      </c>
      <c r="GE36" s="2"/>
      <c r="GF36" s="2">
        <v>274903907</v>
      </c>
      <c r="GG36" s="2">
        <v>2</v>
      </c>
      <c r="GH36" s="2">
        <v>1</v>
      </c>
      <c r="GI36" s="2">
        <v>-2</v>
      </c>
      <c r="GJ36" s="2">
        <v>0</v>
      </c>
      <c r="GK36" s="2">
        <v>0</v>
      </c>
      <c r="GL36" s="2">
        <f t="shared" si="21"/>
        <v>0</v>
      </c>
      <c r="GM36" s="2">
        <f t="shared" si="22"/>
        <v>233.44</v>
      </c>
      <c r="GN36" s="2">
        <f t="shared" si="23"/>
        <v>0</v>
      </c>
      <c r="GO36" s="2">
        <f t="shared" si="24"/>
        <v>233.44</v>
      </c>
      <c r="GP36" s="2">
        <f t="shared" si="25"/>
        <v>0</v>
      </c>
      <c r="GQ36" s="2"/>
      <c r="GR36" s="2">
        <v>0</v>
      </c>
      <c r="GS36" s="2">
        <v>3</v>
      </c>
      <c r="GT36" s="2">
        <v>0</v>
      </c>
      <c r="GU36" s="2" t="s">
        <v>3</v>
      </c>
      <c r="GV36" s="2">
        <f t="shared" si="26"/>
        <v>0</v>
      </c>
      <c r="GW36" s="2">
        <v>1</v>
      </c>
      <c r="GX36" s="2">
        <f t="shared" si="27"/>
        <v>0</v>
      </c>
      <c r="GY36" s="2"/>
      <c r="GZ36" s="2"/>
      <c r="HA36" s="2">
        <v>0</v>
      </c>
      <c r="HB36" s="2">
        <v>0</v>
      </c>
      <c r="HC36" s="2">
        <f>0</f>
        <v>0</v>
      </c>
      <c r="HD36" s="2"/>
      <c r="HE36" s="2" t="s">
        <v>3</v>
      </c>
      <c r="HF36" s="2" t="s">
        <v>3</v>
      </c>
      <c r="HG36" s="2"/>
      <c r="HH36" s="2"/>
      <c r="HI36" s="2"/>
      <c r="HJ36" s="2"/>
      <c r="HK36" s="2"/>
      <c r="HL36" s="2"/>
      <c r="HM36" s="2" t="s">
        <v>3</v>
      </c>
      <c r="HN36" s="2" t="s">
        <v>54</v>
      </c>
      <c r="HO36" s="2" t="s">
        <v>55</v>
      </c>
      <c r="HP36" s="2" t="s">
        <v>52</v>
      </c>
      <c r="HQ36" s="2" t="s">
        <v>52</v>
      </c>
      <c r="HR36" s="2"/>
      <c r="HS36" s="2">
        <v>0</v>
      </c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>
        <v>0</v>
      </c>
      <c r="IL36" s="2"/>
      <c r="IM36" s="2"/>
      <c r="IN36" s="2"/>
      <c r="IO36" s="2"/>
      <c r="IP36" s="2"/>
      <c r="IQ36" s="2"/>
      <c r="IR36" s="2"/>
      <c r="IS36" s="2"/>
      <c r="IT36" s="2"/>
      <c r="IU36" s="2"/>
    </row>
    <row r="37" spans="1:255" x14ac:dyDescent="0.2">
      <c r="A37" s="2">
        <v>18</v>
      </c>
      <c r="B37" s="2">
        <v>1</v>
      </c>
      <c r="C37" s="2">
        <v>31</v>
      </c>
      <c r="D37" s="2"/>
      <c r="E37" s="2" t="s">
        <v>3</v>
      </c>
      <c r="F37" s="2" t="s">
        <v>33</v>
      </c>
      <c r="G37" s="2" t="s">
        <v>58</v>
      </c>
      <c r="H37" s="2" t="s">
        <v>18</v>
      </c>
      <c r="I37" s="2">
        <f>I35*J37</f>
        <v>7</v>
      </c>
      <c r="J37" s="2">
        <v>1</v>
      </c>
      <c r="K37" s="2">
        <v>1</v>
      </c>
      <c r="L37" s="2"/>
      <c r="M37" s="2"/>
      <c r="N37" s="2"/>
      <c r="O37" s="2">
        <f>ROUND(CP37,2)</f>
        <v>43333.36</v>
      </c>
      <c r="P37" s="2">
        <f>ROUND(CQ37*I37,2)</f>
        <v>43333.36</v>
      </c>
      <c r="Q37" s="2">
        <f>ROUND(CR37*I37,2)</f>
        <v>0</v>
      </c>
      <c r="R37" s="2">
        <f>ROUND(CS37*I37,2)</f>
        <v>0</v>
      </c>
      <c r="S37" s="2">
        <f>ROUND(CT37*I37,2)</f>
        <v>0</v>
      </c>
      <c r="T37" s="2">
        <f t="shared" si="14"/>
        <v>0</v>
      </c>
      <c r="U37" s="2">
        <f>ROUND(CV37*I37,7)</f>
        <v>0</v>
      </c>
      <c r="V37" s="2">
        <f>ROUND(CW37*I37,7)</f>
        <v>0</v>
      </c>
      <c r="W37" s="2">
        <f t="shared" si="15"/>
        <v>0</v>
      </c>
      <c r="X37" s="2">
        <f t="shared" si="16"/>
        <v>0</v>
      </c>
      <c r="Y37" s="2">
        <f t="shared" si="17"/>
        <v>0</v>
      </c>
      <c r="Z37" s="2"/>
      <c r="AA37" s="2">
        <v>-1</v>
      </c>
      <c r="AB37" s="2">
        <f t="shared" si="18"/>
        <v>6190.48</v>
      </c>
      <c r="AC37" s="2">
        <f>ROUND((ES37),6)</f>
        <v>6190.48</v>
      </c>
      <c r="AD37" s="2">
        <f>ROUND((((ET37)-(EU37))+AE37),6)</f>
        <v>0</v>
      </c>
      <c r="AE37" s="2">
        <f t="shared" si="28"/>
        <v>0</v>
      </c>
      <c r="AF37" s="2">
        <f t="shared" si="28"/>
        <v>0</v>
      </c>
      <c r="AG37" s="2">
        <f t="shared" si="19"/>
        <v>0</v>
      </c>
      <c r="AH37" s="2">
        <f t="shared" si="29"/>
        <v>0</v>
      </c>
      <c r="AI37" s="2">
        <f t="shared" si="29"/>
        <v>0</v>
      </c>
      <c r="AJ37" s="2">
        <f t="shared" si="20"/>
        <v>0</v>
      </c>
      <c r="AK37" s="2">
        <v>6190.48</v>
      </c>
      <c r="AL37" s="2">
        <v>6190.48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89</v>
      </c>
      <c r="AU37" s="2">
        <v>44</v>
      </c>
      <c r="AV37" s="2">
        <v>1</v>
      </c>
      <c r="AW37" s="2">
        <v>1</v>
      </c>
      <c r="AX37" s="2"/>
      <c r="AY37" s="2"/>
      <c r="AZ37" s="2">
        <v>1</v>
      </c>
      <c r="BA37" s="2">
        <v>1</v>
      </c>
      <c r="BB37" s="2">
        <v>1</v>
      </c>
      <c r="BC37" s="2">
        <v>1</v>
      </c>
      <c r="BD37" s="2" t="s">
        <v>3</v>
      </c>
      <c r="BE37" s="2" t="s">
        <v>3</v>
      </c>
      <c r="BF37" s="2" t="s">
        <v>3</v>
      </c>
      <c r="BG37" s="2" t="s">
        <v>3</v>
      </c>
      <c r="BH37" s="2">
        <v>3</v>
      </c>
      <c r="BI37" s="2">
        <v>2</v>
      </c>
      <c r="BJ37" s="2" t="s">
        <v>3</v>
      </c>
      <c r="BK37" s="2"/>
      <c r="BL37" s="2"/>
      <c r="BM37" s="2">
        <v>141001</v>
      </c>
      <c r="BN37" s="2">
        <v>0</v>
      </c>
      <c r="BO37" s="2" t="s">
        <v>3</v>
      </c>
      <c r="BP37" s="2">
        <v>0</v>
      </c>
      <c r="BQ37" s="2">
        <v>3</v>
      </c>
      <c r="BR37" s="2">
        <v>0</v>
      </c>
      <c r="BS37" s="2">
        <v>1</v>
      </c>
      <c r="BT37" s="2">
        <v>1</v>
      </c>
      <c r="BU37" s="2">
        <v>1</v>
      </c>
      <c r="BV37" s="2">
        <v>1</v>
      </c>
      <c r="BW37" s="2">
        <v>1</v>
      </c>
      <c r="BX37" s="2">
        <v>1</v>
      </c>
      <c r="BY37" s="2" t="s">
        <v>3</v>
      </c>
      <c r="BZ37" s="2">
        <v>89</v>
      </c>
      <c r="CA37" s="2">
        <v>44</v>
      </c>
      <c r="CB37" s="2" t="s">
        <v>3</v>
      </c>
      <c r="CC37" s="2"/>
      <c r="CD37" s="2"/>
      <c r="CE37" s="2">
        <v>0</v>
      </c>
      <c r="CF37" s="2">
        <v>0</v>
      </c>
      <c r="CG37" s="2">
        <v>0</v>
      </c>
      <c r="CH37" s="2"/>
      <c r="CI37" s="2"/>
      <c r="CJ37" s="2"/>
      <c r="CK37" s="2"/>
      <c r="CL37" s="2"/>
      <c r="CM37" s="2">
        <v>0</v>
      </c>
      <c r="CN37" s="2" t="s">
        <v>3</v>
      </c>
      <c r="CO37" s="2">
        <v>0</v>
      </c>
      <c r="CP37" s="2">
        <f>(P37+Q37+S37+R37)</f>
        <v>43333.36</v>
      </c>
      <c r="CQ37" s="2">
        <f>ROUND(AL37,2)</f>
        <v>6190.48</v>
      </c>
      <c r="CR37" s="2">
        <f>ROUND(AM37,2)</f>
        <v>0</v>
      </c>
      <c r="CS37" s="2">
        <f>ROUND(AN37*BS37,2)</f>
        <v>0</v>
      </c>
      <c r="CT37" s="2">
        <f>ROUND(AO37*BA37,2)</f>
        <v>0</v>
      </c>
      <c r="CU37" s="2">
        <f t="shared" ref="CU37:CX38" si="30">AG37</f>
        <v>0</v>
      </c>
      <c r="CV37" s="2">
        <f t="shared" si="30"/>
        <v>0</v>
      </c>
      <c r="CW37" s="2">
        <f t="shared" si="30"/>
        <v>0</v>
      </c>
      <c r="CX37" s="2">
        <f t="shared" si="30"/>
        <v>0</v>
      </c>
      <c r="CY37" s="2">
        <f>(((S37+R37)*AT37)/100)</f>
        <v>0</v>
      </c>
      <c r="CZ37" s="2">
        <f>(((S37+R37)*AU37)/100)</f>
        <v>0</v>
      </c>
      <c r="DA37" s="2"/>
      <c r="DB37" s="2"/>
      <c r="DC37" s="2" t="s">
        <v>3</v>
      </c>
      <c r="DD37" s="2" t="s">
        <v>3</v>
      </c>
      <c r="DE37" s="2" t="s">
        <v>3</v>
      </c>
      <c r="DF37" s="2" t="s">
        <v>3</v>
      </c>
      <c r="DG37" s="2" t="s">
        <v>3</v>
      </c>
      <c r="DH37" s="2" t="s">
        <v>3</v>
      </c>
      <c r="DI37" s="2" t="s">
        <v>3</v>
      </c>
      <c r="DJ37" s="2" t="s">
        <v>3</v>
      </c>
      <c r="DK37" s="2" t="s">
        <v>3</v>
      </c>
      <c r="DL37" s="2" t="s">
        <v>3</v>
      </c>
      <c r="DM37" s="2" t="s">
        <v>3</v>
      </c>
      <c r="DN37" s="2">
        <v>0</v>
      </c>
      <c r="DO37" s="2">
        <v>0</v>
      </c>
      <c r="DP37" s="2">
        <v>1</v>
      </c>
      <c r="DQ37" s="2">
        <v>1</v>
      </c>
      <c r="DR37" s="2"/>
      <c r="DS37" s="2"/>
      <c r="DT37" s="2"/>
      <c r="DU37" s="2">
        <v>1013</v>
      </c>
      <c r="DV37" s="2" t="s">
        <v>18</v>
      </c>
      <c r="DW37" s="2" t="s">
        <v>18</v>
      </c>
      <c r="DX37" s="2">
        <v>1</v>
      </c>
      <c r="DY37" s="2"/>
      <c r="DZ37" s="2" t="s">
        <v>3</v>
      </c>
      <c r="EA37" s="2" t="s">
        <v>3</v>
      </c>
      <c r="EB37" s="2" t="s">
        <v>3</v>
      </c>
      <c r="EC37" s="2" t="s">
        <v>3</v>
      </c>
      <c r="ED37" s="2"/>
      <c r="EE37" s="2">
        <v>91082123</v>
      </c>
      <c r="EF37" s="2">
        <v>3</v>
      </c>
      <c r="EG37" s="2" t="s">
        <v>20</v>
      </c>
      <c r="EH37" s="2">
        <v>104</v>
      </c>
      <c r="EI37" s="2" t="s">
        <v>21</v>
      </c>
      <c r="EJ37" s="2">
        <v>2</v>
      </c>
      <c r="EK37" s="2">
        <v>141001</v>
      </c>
      <c r="EL37" s="2" t="s">
        <v>21</v>
      </c>
      <c r="EM37" s="2" t="s">
        <v>22</v>
      </c>
      <c r="EN37" s="2"/>
      <c r="EO37" s="2" t="s">
        <v>3</v>
      </c>
      <c r="EP37" s="2"/>
      <c r="EQ37" s="2">
        <v>1024</v>
      </c>
      <c r="ER37" s="2">
        <v>6190.48</v>
      </c>
      <c r="ES37" s="2">
        <v>6190.48</v>
      </c>
      <c r="ET37" s="2">
        <v>0</v>
      </c>
      <c r="EU37" s="2">
        <v>0</v>
      </c>
      <c r="EV37" s="2">
        <v>0</v>
      </c>
      <c r="EW37" s="2">
        <v>0</v>
      </c>
      <c r="EX37" s="2">
        <v>0</v>
      </c>
      <c r="EY37" s="2"/>
      <c r="EZ37" s="2">
        <v>5</v>
      </c>
      <c r="FA37" s="2"/>
      <c r="FB37" s="2"/>
      <c r="FC37" s="2">
        <v>1</v>
      </c>
      <c r="FD37" s="2">
        <v>18</v>
      </c>
      <c r="FE37" s="2"/>
      <c r="FF37" s="2">
        <v>6500</v>
      </c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>
        <v>0</v>
      </c>
      <c r="FR37" s="2">
        <v>0</v>
      </c>
      <c r="FS37" s="2">
        <v>0</v>
      </c>
      <c r="FT37" s="2"/>
      <c r="FU37" s="2"/>
      <c r="FV37" s="2"/>
      <c r="FW37" s="2"/>
      <c r="FX37" s="2">
        <v>89</v>
      </c>
      <c r="FY37" s="2">
        <v>44</v>
      </c>
      <c r="FZ37" s="2"/>
      <c r="GA37" s="2" t="s">
        <v>59</v>
      </c>
      <c r="GB37" s="2"/>
      <c r="GC37" s="2"/>
      <c r="GD37" s="2">
        <v>1</v>
      </c>
      <c r="GE37" s="2"/>
      <c r="GF37" s="2">
        <v>622975080</v>
      </c>
      <c r="GG37" s="2">
        <v>2</v>
      </c>
      <c r="GH37" s="2">
        <v>3</v>
      </c>
      <c r="GI37" s="2">
        <v>-2</v>
      </c>
      <c r="GJ37" s="2">
        <v>0</v>
      </c>
      <c r="GK37" s="2">
        <v>0</v>
      </c>
      <c r="GL37" s="2">
        <f t="shared" si="21"/>
        <v>0</v>
      </c>
      <c r="GM37" s="2">
        <f t="shared" si="22"/>
        <v>43333.36</v>
      </c>
      <c r="GN37" s="2">
        <f t="shared" si="23"/>
        <v>0</v>
      </c>
      <c r="GO37" s="2">
        <f t="shared" si="24"/>
        <v>43333.36</v>
      </c>
      <c r="GP37" s="2">
        <f t="shared" si="25"/>
        <v>0</v>
      </c>
      <c r="GQ37" s="2"/>
      <c r="GR37" s="2">
        <v>1</v>
      </c>
      <c r="GS37" s="2">
        <v>1</v>
      </c>
      <c r="GT37" s="2">
        <v>0</v>
      </c>
      <c r="GU37" s="2" t="s">
        <v>3</v>
      </c>
      <c r="GV37" s="2">
        <f t="shared" si="26"/>
        <v>0</v>
      </c>
      <c r="GW37" s="2">
        <v>1</v>
      </c>
      <c r="GX37" s="2">
        <f t="shared" si="27"/>
        <v>0</v>
      </c>
      <c r="GY37" s="2"/>
      <c r="GZ37" s="2"/>
      <c r="HA37" s="2">
        <v>0</v>
      </c>
      <c r="HB37" s="2">
        <v>0</v>
      </c>
      <c r="HC37" s="2">
        <f>GV37*GW37</f>
        <v>0</v>
      </c>
      <c r="HD37" s="2"/>
      <c r="HE37" s="2" t="s">
        <v>40</v>
      </c>
      <c r="HF37" s="2" t="s">
        <v>40</v>
      </c>
      <c r="HG37" s="2">
        <f>ROUND(ROUND(AL37,2)*I37,2)</f>
        <v>43333.36</v>
      </c>
      <c r="HH37" s="2"/>
      <c r="HI37" s="2"/>
      <c r="HJ37" s="2"/>
      <c r="HK37" s="2"/>
      <c r="HL37" s="2"/>
      <c r="HM37" s="2" t="s">
        <v>3</v>
      </c>
      <c r="HN37" s="2" t="s">
        <v>23</v>
      </c>
      <c r="HO37" s="2" t="s">
        <v>24</v>
      </c>
      <c r="HP37" s="2" t="s">
        <v>21</v>
      </c>
      <c r="HQ37" s="2" t="s">
        <v>21</v>
      </c>
      <c r="HR37" s="2"/>
      <c r="HS37" s="2">
        <v>0</v>
      </c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>
        <v>0</v>
      </c>
      <c r="IL37" s="2"/>
      <c r="IM37" s="2"/>
      <c r="IN37" s="2"/>
      <c r="IO37" s="2"/>
      <c r="IP37" s="2"/>
      <c r="IQ37" s="2"/>
      <c r="IR37" s="2"/>
      <c r="IS37" s="2"/>
      <c r="IT37" s="2"/>
      <c r="IU37" s="2"/>
    </row>
    <row r="38" spans="1:255" x14ac:dyDescent="0.2">
      <c r="A38" s="2">
        <v>18</v>
      </c>
      <c r="B38" s="2">
        <v>1</v>
      </c>
      <c r="C38" s="2">
        <v>32</v>
      </c>
      <c r="D38" s="2"/>
      <c r="E38" s="2" t="s">
        <v>3</v>
      </c>
      <c r="F38" s="2" t="s">
        <v>33</v>
      </c>
      <c r="G38" s="2" t="s">
        <v>60</v>
      </c>
      <c r="H38" s="2" t="s">
        <v>18</v>
      </c>
      <c r="I38" s="2">
        <f>I35*J38</f>
        <v>7</v>
      </c>
      <c r="J38" s="2">
        <v>1</v>
      </c>
      <c r="K38" s="2">
        <v>1</v>
      </c>
      <c r="L38" s="2"/>
      <c r="M38" s="2"/>
      <c r="N38" s="2"/>
      <c r="O38" s="2">
        <f>ROUND(CP38,2)</f>
        <v>6666.66</v>
      </c>
      <c r="P38" s="2">
        <f>ROUND(CQ38*I38,2)</f>
        <v>6666.66</v>
      </c>
      <c r="Q38" s="2">
        <f>ROUND(CR38*I38,2)</f>
        <v>0</v>
      </c>
      <c r="R38" s="2">
        <f>ROUND(CS38*I38,2)</f>
        <v>0</v>
      </c>
      <c r="S38" s="2">
        <f>ROUND(CT38*I38,2)</f>
        <v>0</v>
      </c>
      <c r="T38" s="2">
        <f t="shared" si="14"/>
        <v>0</v>
      </c>
      <c r="U38" s="2">
        <f>ROUND(CV38*I38,7)</f>
        <v>0</v>
      </c>
      <c r="V38" s="2">
        <f>ROUND(CW38*I38,7)</f>
        <v>0</v>
      </c>
      <c r="W38" s="2">
        <f t="shared" si="15"/>
        <v>0</v>
      </c>
      <c r="X38" s="2">
        <f t="shared" si="16"/>
        <v>0</v>
      </c>
      <c r="Y38" s="2">
        <f t="shared" si="17"/>
        <v>0</v>
      </c>
      <c r="Z38" s="2"/>
      <c r="AA38" s="2">
        <v>-1</v>
      </c>
      <c r="AB38" s="2">
        <f t="shared" si="18"/>
        <v>952.38</v>
      </c>
      <c r="AC38" s="2">
        <f>ROUND((ES38),6)</f>
        <v>952.38</v>
      </c>
      <c r="AD38" s="2">
        <f>ROUND((((ET38)-(EU38))+AE38),6)</f>
        <v>0</v>
      </c>
      <c r="AE38" s="2">
        <f t="shared" si="28"/>
        <v>0</v>
      </c>
      <c r="AF38" s="2">
        <f t="shared" si="28"/>
        <v>0</v>
      </c>
      <c r="AG38" s="2">
        <f t="shared" si="19"/>
        <v>0</v>
      </c>
      <c r="AH38" s="2">
        <f t="shared" si="29"/>
        <v>0</v>
      </c>
      <c r="AI38" s="2">
        <f t="shared" si="29"/>
        <v>0</v>
      </c>
      <c r="AJ38" s="2">
        <f t="shared" si="20"/>
        <v>0</v>
      </c>
      <c r="AK38" s="2">
        <v>952.38</v>
      </c>
      <c r="AL38" s="2">
        <v>952.38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89</v>
      </c>
      <c r="AU38" s="2">
        <v>44</v>
      </c>
      <c r="AV38" s="2">
        <v>1</v>
      </c>
      <c r="AW38" s="2">
        <v>1</v>
      </c>
      <c r="AX38" s="2"/>
      <c r="AY38" s="2"/>
      <c r="AZ38" s="2">
        <v>1</v>
      </c>
      <c r="BA38" s="2">
        <v>1</v>
      </c>
      <c r="BB38" s="2">
        <v>1</v>
      </c>
      <c r="BC38" s="2">
        <v>1</v>
      </c>
      <c r="BD38" s="2" t="s">
        <v>3</v>
      </c>
      <c r="BE38" s="2" t="s">
        <v>3</v>
      </c>
      <c r="BF38" s="2" t="s">
        <v>3</v>
      </c>
      <c r="BG38" s="2" t="s">
        <v>3</v>
      </c>
      <c r="BH38" s="2">
        <v>3</v>
      </c>
      <c r="BI38" s="2">
        <v>2</v>
      </c>
      <c r="BJ38" s="2" t="s">
        <v>3</v>
      </c>
      <c r="BK38" s="2"/>
      <c r="BL38" s="2"/>
      <c r="BM38" s="2">
        <v>141001</v>
      </c>
      <c r="BN38" s="2">
        <v>0</v>
      </c>
      <c r="BO38" s="2" t="s">
        <v>3</v>
      </c>
      <c r="BP38" s="2">
        <v>0</v>
      </c>
      <c r="BQ38" s="2">
        <v>3</v>
      </c>
      <c r="BR38" s="2">
        <v>0</v>
      </c>
      <c r="BS38" s="2">
        <v>1</v>
      </c>
      <c r="BT38" s="2">
        <v>1</v>
      </c>
      <c r="BU38" s="2">
        <v>1</v>
      </c>
      <c r="BV38" s="2">
        <v>1</v>
      </c>
      <c r="BW38" s="2">
        <v>1</v>
      </c>
      <c r="BX38" s="2">
        <v>1</v>
      </c>
      <c r="BY38" s="2" t="s">
        <v>3</v>
      </c>
      <c r="BZ38" s="2">
        <v>89</v>
      </c>
      <c r="CA38" s="2">
        <v>44</v>
      </c>
      <c r="CB38" s="2" t="s">
        <v>3</v>
      </c>
      <c r="CC38" s="2"/>
      <c r="CD38" s="2"/>
      <c r="CE38" s="2">
        <v>0</v>
      </c>
      <c r="CF38" s="2">
        <v>0</v>
      </c>
      <c r="CG38" s="2">
        <v>0</v>
      </c>
      <c r="CH38" s="2"/>
      <c r="CI38" s="2"/>
      <c r="CJ38" s="2"/>
      <c r="CK38" s="2"/>
      <c r="CL38" s="2"/>
      <c r="CM38" s="2">
        <v>0</v>
      </c>
      <c r="CN38" s="2" t="s">
        <v>3</v>
      </c>
      <c r="CO38" s="2">
        <v>0</v>
      </c>
      <c r="CP38" s="2">
        <f>(P38+Q38+S38+R38)</f>
        <v>6666.66</v>
      </c>
      <c r="CQ38" s="2">
        <f>ROUND(AL38,2)</f>
        <v>952.38</v>
      </c>
      <c r="CR38" s="2">
        <f>ROUND(AM38,2)</f>
        <v>0</v>
      </c>
      <c r="CS38" s="2">
        <f>ROUND(AN38*BS38,2)</f>
        <v>0</v>
      </c>
      <c r="CT38" s="2">
        <f>ROUND(AO38*BA38,2)</f>
        <v>0</v>
      </c>
      <c r="CU38" s="2">
        <f t="shared" si="30"/>
        <v>0</v>
      </c>
      <c r="CV38" s="2">
        <f t="shared" si="30"/>
        <v>0</v>
      </c>
      <c r="CW38" s="2">
        <f t="shared" si="30"/>
        <v>0</v>
      </c>
      <c r="CX38" s="2">
        <f t="shared" si="30"/>
        <v>0</v>
      </c>
      <c r="CY38" s="2">
        <f>(((S38+R38)*AT38)/100)</f>
        <v>0</v>
      </c>
      <c r="CZ38" s="2">
        <f>(((S38+R38)*AU38)/100)</f>
        <v>0</v>
      </c>
      <c r="DA38" s="2"/>
      <c r="DB38" s="2"/>
      <c r="DC38" s="2" t="s">
        <v>3</v>
      </c>
      <c r="DD38" s="2" t="s">
        <v>3</v>
      </c>
      <c r="DE38" s="2" t="s">
        <v>3</v>
      </c>
      <c r="DF38" s="2" t="s">
        <v>3</v>
      </c>
      <c r="DG38" s="2" t="s">
        <v>3</v>
      </c>
      <c r="DH38" s="2" t="s">
        <v>3</v>
      </c>
      <c r="DI38" s="2" t="s">
        <v>3</v>
      </c>
      <c r="DJ38" s="2" t="s">
        <v>3</v>
      </c>
      <c r="DK38" s="2" t="s">
        <v>3</v>
      </c>
      <c r="DL38" s="2" t="s">
        <v>3</v>
      </c>
      <c r="DM38" s="2" t="s">
        <v>3</v>
      </c>
      <c r="DN38" s="2">
        <v>0</v>
      </c>
      <c r="DO38" s="2">
        <v>0</v>
      </c>
      <c r="DP38" s="2">
        <v>1</v>
      </c>
      <c r="DQ38" s="2">
        <v>1</v>
      </c>
      <c r="DR38" s="2"/>
      <c r="DS38" s="2"/>
      <c r="DT38" s="2"/>
      <c r="DU38" s="2">
        <v>1013</v>
      </c>
      <c r="DV38" s="2" t="s">
        <v>18</v>
      </c>
      <c r="DW38" s="2" t="s">
        <v>18</v>
      </c>
      <c r="DX38" s="2">
        <v>1</v>
      </c>
      <c r="DY38" s="2"/>
      <c r="DZ38" s="2" t="s">
        <v>3</v>
      </c>
      <c r="EA38" s="2" t="s">
        <v>3</v>
      </c>
      <c r="EB38" s="2" t="s">
        <v>3</v>
      </c>
      <c r="EC38" s="2" t="s">
        <v>3</v>
      </c>
      <c r="ED38" s="2"/>
      <c r="EE38" s="2">
        <v>91082123</v>
      </c>
      <c r="EF38" s="2">
        <v>3</v>
      </c>
      <c r="EG38" s="2" t="s">
        <v>20</v>
      </c>
      <c r="EH38" s="2">
        <v>104</v>
      </c>
      <c r="EI38" s="2" t="s">
        <v>21</v>
      </c>
      <c r="EJ38" s="2">
        <v>2</v>
      </c>
      <c r="EK38" s="2">
        <v>141001</v>
      </c>
      <c r="EL38" s="2" t="s">
        <v>21</v>
      </c>
      <c r="EM38" s="2" t="s">
        <v>22</v>
      </c>
      <c r="EN38" s="2"/>
      <c r="EO38" s="2" t="s">
        <v>3</v>
      </c>
      <c r="EP38" s="2"/>
      <c r="EQ38" s="2">
        <v>1024</v>
      </c>
      <c r="ER38" s="2">
        <v>952.38</v>
      </c>
      <c r="ES38" s="2">
        <v>952.38</v>
      </c>
      <c r="ET38" s="2">
        <v>0</v>
      </c>
      <c r="EU38" s="2">
        <v>0</v>
      </c>
      <c r="EV38" s="2">
        <v>0</v>
      </c>
      <c r="EW38" s="2">
        <v>0</v>
      </c>
      <c r="EX38" s="2">
        <v>0</v>
      </c>
      <c r="EY38" s="2"/>
      <c r="EZ38" s="2">
        <v>5</v>
      </c>
      <c r="FA38" s="2"/>
      <c r="FB38" s="2"/>
      <c r="FC38" s="2">
        <v>1</v>
      </c>
      <c r="FD38" s="2">
        <v>18</v>
      </c>
      <c r="FE38" s="2"/>
      <c r="FF38" s="2">
        <v>1000</v>
      </c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>
        <v>0</v>
      </c>
      <c r="FR38" s="2">
        <v>0</v>
      </c>
      <c r="FS38" s="2">
        <v>0</v>
      </c>
      <c r="FT38" s="2"/>
      <c r="FU38" s="2"/>
      <c r="FV38" s="2"/>
      <c r="FW38" s="2"/>
      <c r="FX38" s="2">
        <v>89</v>
      </c>
      <c r="FY38" s="2">
        <v>44</v>
      </c>
      <c r="FZ38" s="2"/>
      <c r="GA38" s="2" t="s">
        <v>61</v>
      </c>
      <c r="GB38" s="2"/>
      <c r="GC38" s="2"/>
      <c r="GD38" s="2">
        <v>1</v>
      </c>
      <c r="GE38" s="2"/>
      <c r="GF38" s="2">
        <v>1102328780</v>
      </c>
      <c r="GG38" s="2">
        <v>2</v>
      </c>
      <c r="GH38" s="2">
        <v>3</v>
      </c>
      <c r="GI38" s="2">
        <v>-2</v>
      </c>
      <c r="GJ38" s="2">
        <v>0</v>
      </c>
      <c r="GK38" s="2">
        <v>0</v>
      </c>
      <c r="GL38" s="2">
        <f t="shared" si="21"/>
        <v>0</v>
      </c>
      <c r="GM38" s="2">
        <f t="shared" si="22"/>
        <v>6666.66</v>
      </c>
      <c r="GN38" s="2">
        <f t="shared" si="23"/>
        <v>0</v>
      </c>
      <c r="GO38" s="2">
        <f t="shared" si="24"/>
        <v>6666.66</v>
      </c>
      <c r="GP38" s="2">
        <f t="shared" si="25"/>
        <v>0</v>
      </c>
      <c r="GQ38" s="2"/>
      <c r="GR38" s="2">
        <v>1</v>
      </c>
      <c r="GS38" s="2">
        <v>1</v>
      </c>
      <c r="GT38" s="2">
        <v>0</v>
      </c>
      <c r="GU38" s="2" t="s">
        <v>3</v>
      </c>
      <c r="GV38" s="2">
        <f t="shared" si="26"/>
        <v>0</v>
      </c>
      <c r="GW38" s="2">
        <v>1</v>
      </c>
      <c r="GX38" s="2">
        <f t="shared" si="27"/>
        <v>0</v>
      </c>
      <c r="GY38" s="2"/>
      <c r="GZ38" s="2"/>
      <c r="HA38" s="2">
        <v>0</v>
      </c>
      <c r="HB38" s="2">
        <v>0</v>
      </c>
      <c r="HC38" s="2">
        <f>GV38*GW38</f>
        <v>0</v>
      </c>
      <c r="HD38" s="2"/>
      <c r="HE38" s="2" t="s">
        <v>40</v>
      </c>
      <c r="HF38" s="2" t="s">
        <v>40</v>
      </c>
      <c r="HG38" s="2">
        <f>ROUND(ROUND(AL38,2)*I38,2)</f>
        <v>6666.66</v>
      </c>
      <c r="HH38" s="2"/>
      <c r="HI38" s="2"/>
      <c r="HJ38" s="2"/>
      <c r="HK38" s="2"/>
      <c r="HL38" s="2"/>
      <c r="HM38" s="2" t="s">
        <v>3</v>
      </c>
      <c r="HN38" s="2" t="s">
        <v>23</v>
      </c>
      <c r="HO38" s="2" t="s">
        <v>24</v>
      </c>
      <c r="HP38" s="2" t="s">
        <v>21</v>
      </c>
      <c r="HQ38" s="2" t="s">
        <v>21</v>
      </c>
      <c r="HR38" s="2"/>
      <c r="HS38" s="2">
        <v>0</v>
      </c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>
        <v>0</v>
      </c>
      <c r="IL38" s="2"/>
      <c r="IM38" s="2"/>
      <c r="IN38" s="2"/>
      <c r="IO38" s="2"/>
      <c r="IP38" s="2"/>
      <c r="IQ38" s="2"/>
      <c r="IR38" s="2"/>
      <c r="IS38" s="2"/>
      <c r="IT38" s="2"/>
      <c r="IU38" s="2"/>
    </row>
    <row r="39" spans="1:255" x14ac:dyDescent="0.2">
      <c r="A39" s="2">
        <v>17</v>
      </c>
      <c r="B39" s="2">
        <v>1</v>
      </c>
      <c r="C39" s="2">
        <f>ROW(SmtRes!A36)</f>
        <v>36</v>
      </c>
      <c r="D39" s="2">
        <f>ROW(EtalonRes!A29)</f>
        <v>29</v>
      </c>
      <c r="E39" s="2" t="s">
        <v>3</v>
      </c>
      <c r="F39" s="2" t="s">
        <v>62</v>
      </c>
      <c r="G39" s="2" t="s">
        <v>63</v>
      </c>
      <c r="H39" s="2" t="s">
        <v>18</v>
      </c>
      <c r="I39" s="2">
        <f>ROUND(7,7)</f>
        <v>7</v>
      </c>
      <c r="J39" s="2">
        <v>0</v>
      </c>
      <c r="K39" s="2">
        <f>ROUND(7,7)</f>
        <v>7</v>
      </c>
      <c r="L39" s="2"/>
      <c r="M39" s="2"/>
      <c r="N39" s="2"/>
      <c r="O39" s="2">
        <f>ROUND(CP39,2)</f>
        <v>25858.95</v>
      </c>
      <c r="P39" s="2">
        <f>SUMIF(SmtRes!AQ33:'SmtRes'!AQ36,"=1",SmtRes!DF33:'SmtRes'!DF36)</f>
        <v>0</v>
      </c>
      <c r="Q39" s="2">
        <f>SUMIF(SmtRes!AQ33:'SmtRes'!AQ36,"=1",SmtRes!DG33:'SmtRes'!DG36)</f>
        <v>0</v>
      </c>
      <c r="R39" s="2">
        <f>SUMIF(SmtRes!AQ33:'SmtRes'!AQ36,"=1",SmtRes!DH33:'SmtRes'!DH36)</f>
        <v>0</v>
      </c>
      <c r="S39" s="2">
        <f>SUMIF(SmtRes!AQ33:'SmtRes'!AQ36,"=1",SmtRes!DI33:'SmtRes'!DI36)</f>
        <v>25858.95</v>
      </c>
      <c r="T39" s="2">
        <f t="shared" si="14"/>
        <v>0</v>
      </c>
      <c r="U39" s="2">
        <f>SUMIF(SmtRes!AQ33:'SmtRes'!AQ36,"=1",SmtRes!CV33:'SmtRes'!CV36)</f>
        <v>38.85</v>
      </c>
      <c r="V39" s="2">
        <f>SUMIF(SmtRes!AQ33:'SmtRes'!AQ36,"=1",SmtRes!CW33:'SmtRes'!CW36)</f>
        <v>0</v>
      </c>
      <c r="W39" s="2">
        <f t="shared" si="15"/>
        <v>0</v>
      </c>
      <c r="X39" s="2">
        <f t="shared" si="16"/>
        <v>23014.47</v>
      </c>
      <c r="Y39" s="2">
        <f t="shared" si="17"/>
        <v>11377.94</v>
      </c>
      <c r="Z39" s="2"/>
      <c r="AA39" s="2">
        <v>-1</v>
      </c>
      <c r="AB39" s="2">
        <f t="shared" si="18"/>
        <v>3694.1354999999999</v>
      </c>
      <c r="AC39" s="2">
        <f>ROUND((0),6)</f>
        <v>0</v>
      </c>
      <c r="AD39" s="2">
        <f>ROUND((((0)-(0))+AE39),6)</f>
        <v>0</v>
      </c>
      <c r="AE39" s="2">
        <f>ROUND((0),6)</f>
        <v>0</v>
      </c>
      <c r="AF39" s="2">
        <f>ROUND((SUM(SmtRes!BT33:'SmtRes'!BT36)),6)</f>
        <v>3694.1354999999999</v>
      </c>
      <c r="AG39" s="2">
        <f t="shared" si="19"/>
        <v>0</v>
      </c>
      <c r="AH39" s="2">
        <f>(SUM(SmtRes!BU33:'SmtRes'!BU36))</f>
        <v>5.55</v>
      </c>
      <c r="AI39" s="2">
        <f>(0)</f>
        <v>0</v>
      </c>
      <c r="AJ39" s="2">
        <f t="shared" si="20"/>
        <v>0</v>
      </c>
      <c r="AK39" s="2">
        <v>3694.1354999999999</v>
      </c>
      <c r="AL39" s="2">
        <v>0</v>
      </c>
      <c r="AM39" s="2">
        <v>0</v>
      </c>
      <c r="AN39" s="2">
        <v>0</v>
      </c>
      <c r="AO39" s="2">
        <v>3694.1354999999999</v>
      </c>
      <c r="AP39" s="2">
        <v>0</v>
      </c>
      <c r="AQ39" s="2">
        <v>5.55</v>
      </c>
      <c r="AR39" s="2">
        <v>0</v>
      </c>
      <c r="AS39" s="2">
        <v>0</v>
      </c>
      <c r="AT39" s="2">
        <v>89</v>
      </c>
      <c r="AU39" s="2">
        <v>44</v>
      </c>
      <c r="AV39" s="2">
        <v>1</v>
      </c>
      <c r="AW39" s="2">
        <v>1</v>
      </c>
      <c r="AX39" s="2"/>
      <c r="AY39" s="2"/>
      <c r="AZ39" s="2">
        <v>1</v>
      </c>
      <c r="BA39" s="2">
        <v>1</v>
      </c>
      <c r="BB39" s="2">
        <v>1</v>
      </c>
      <c r="BC39" s="2">
        <v>1</v>
      </c>
      <c r="BD39" s="2" t="s">
        <v>3</v>
      </c>
      <c r="BE39" s="2" t="s">
        <v>3</v>
      </c>
      <c r="BF39" s="2" t="s">
        <v>3</v>
      </c>
      <c r="BG39" s="2" t="s">
        <v>3</v>
      </c>
      <c r="BH39" s="2">
        <v>0</v>
      </c>
      <c r="BI39" s="2">
        <v>2</v>
      </c>
      <c r="BJ39" s="2" t="s">
        <v>64</v>
      </c>
      <c r="BK39" s="2"/>
      <c r="BL39" s="2"/>
      <c r="BM39" s="2">
        <v>141001</v>
      </c>
      <c r="BN39" s="2">
        <v>0</v>
      </c>
      <c r="BO39" s="2" t="s">
        <v>3</v>
      </c>
      <c r="BP39" s="2">
        <v>0</v>
      </c>
      <c r="BQ39" s="2">
        <v>3</v>
      </c>
      <c r="BR39" s="2">
        <v>0</v>
      </c>
      <c r="BS39" s="2">
        <v>1</v>
      </c>
      <c r="BT39" s="2">
        <v>1</v>
      </c>
      <c r="BU39" s="2">
        <v>1</v>
      </c>
      <c r="BV39" s="2">
        <v>1</v>
      </c>
      <c r="BW39" s="2">
        <v>1</v>
      </c>
      <c r="BX39" s="2">
        <v>1</v>
      </c>
      <c r="BY39" s="2" t="s">
        <v>3</v>
      </c>
      <c r="BZ39" s="2">
        <v>89</v>
      </c>
      <c r="CA39" s="2">
        <v>44</v>
      </c>
      <c r="CB39" s="2" t="s">
        <v>3</v>
      </c>
      <c r="CC39" s="2"/>
      <c r="CD39" s="2"/>
      <c r="CE39" s="2">
        <v>0</v>
      </c>
      <c r="CF39" s="2">
        <v>0</v>
      </c>
      <c r="CG39" s="2">
        <v>0</v>
      </c>
      <c r="CH39" s="2"/>
      <c r="CI39" s="2"/>
      <c r="CJ39" s="2"/>
      <c r="CK39" s="2"/>
      <c r="CL39" s="2"/>
      <c r="CM39" s="2">
        <v>0</v>
      </c>
      <c r="CN39" s="2" t="s">
        <v>3</v>
      </c>
      <c r="CO39" s="2">
        <v>0</v>
      </c>
      <c r="CP39" s="2">
        <f>(P39+Q39+S39+R39)</f>
        <v>25858.95</v>
      </c>
      <c r="CQ39" s="2">
        <f>SUMIF(SmtRes!AQ33:'SmtRes'!AQ36,"=1",SmtRes!AA33:'SmtRes'!AA36)</f>
        <v>0</v>
      </c>
      <c r="CR39" s="2">
        <f>SUMIF(SmtRes!AQ33:'SmtRes'!AQ36,"=1",SmtRes!AB33:'SmtRes'!AB36)</f>
        <v>0</v>
      </c>
      <c r="CS39" s="2">
        <f>SUMIF(SmtRes!AQ33:'SmtRes'!AQ36,"=1",SmtRes!AC33:'SmtRes'!AC36)</f>
        <v>0</v>
      </c>
      <c r="CT39" s="2">
        <f>SUMIF(SmtRes!AQ33:'SmtRes'!AQ36,"=1",SmtRes!AD33:'SmtRes'!AD36)</f>
        <v>665.61</v>
      </c>
      <c r="CU39" s="2">
        <f>AG39</f>
        <v>0</v>
      </c>
      <c r="CV39" s="2">
        <f>SUMIF(SmtRes!AQ33:'SmtRes'!AQ36,"=1",SmtRes!BU33:'SmtRes'!BU36)</f>
        <v>5.55</v>
      </c>
      <c r="CW39" s="2">
        <f>SUMIF(SmtRes!AQ33:'SmtRes'!AQ36,"=1",SmtRes!BV33:'SmtRes'!BV36)</f>
        <v>0</v>
      </c>
      <c r="CX39" s="2">
        <f>AJ39</f>
        <v>0</v>
      </c>
      <c r="CY39" s="2">
        <f>(((S39+R39)*AT39)/100)</f>
        <v>23014.465500000002</v>
      </c>
      <c r="CZ39" s="2">
        <f>(((S39+R39)*AU39)/100)</f>
        <v>11377.938</v>
      </c>
      <c r="DA39" s="2"/>
      <c r="DB39" s="2"/>
      <c r="DC39" s="2" t="s">
        <v>3</v>
      </c>
      <c r="DD39" s="2" t="s">
        <v>3</v>
      </c>
      <c r="DE39" s="2" t="s">
        <v>3</v>
      </c>
      <c r="DF39" s="2" t="s">
        <v>3</v>
      </c>
      <c r="DG39" s="2" t="s">
        <v>3</v>
      </c>
      <c r="DH39" s="2" t="s">
        <v>3</v>
      </c>
      <c r="DI39" s="2" t="s">
        <v>3</v>
      </c>
      <c r="DJ39" s="2" t="s">
        <v>3</v>
      </c>
      <c r="DK39" s="2" t="s">
        <v>3</v>
      </c>
      <c r="DL39" s="2" t="s">
        <v>3</v>
      </c>
      <c r="DM39" s="2" t="s">
        <v>3</v>
      </c>
      <c r="DN39" s="2">
        <v>0</v>
      </c>
      <c r="DO39" s="2">
        <v>0</v>
      </c>
      <c r="DP39" s="2">
        <v>1</v>
      </c>
      <c r="DQ39" s="2">
        <v>1</v>
      </c>
      <c r="DR39" s="2"/>
      <c r="DS39" s="2"/>
      <c r="DT39" s="2"/>
      <c r="DU39" s="2">
        <v>1013</v>
      </c>
      <c r="DV39" s="2" t="s">
        <v>18</v>
      </c>
      <c r="DW39" s="2" t="s">
        <v>18</v>
      </c>
      <c r="DX39" s="2">
        <v>1</v>
      </c>
      <c r="DY39" s="2"/>
      <c r="DZ39" s="2" t="s">
        <v>3</v>
      </c>
      <c r="EA39" s="2" t="s">
        <v>3</v>
      </c>
      <c r="EB39" s="2" t="s">
        <v>3</v>
      </c>
      <c r="EC39" s="2" t="s">
        <v>3</v>
      </c>
      <c r="ED39" s="2"/>
      <c r="EE39" s="2">
        <v>91082123</v>
      </c>
      <c r="EF39" s="2">
        <v>3</v>
      </c>
      <c r="EG39" s="2" t="s">
        <v>20</v>
      </c>
      <c r="EH39" s="2">
        <v>104</v>
      </c>
      <c r="EI39" s="2" t="s">
        <v>21</v>
      </c>
      <c r="EJ39" s="2">
        <v>2</v>
      </c>
      <c r="EK39" s="2">
        <v>141001</v>
      </c>
      <c r="EL39" s="2" t="s">
        <v>21</v>
      </c>
      <c r="EM39" s="2" t="s">
        <v>22</v>
      </c>
      <c r="EN39" s="2"/>
      <c r="EO39" s="2" t="s">
        <v>3</v>
      </c>
      <c r="EP39" s="2"/>
      <c r="EQ39" s="2">
        <v>1024</v>
      </c>
      <c r="ER39" s="2">
        <v>0</v>
      </c>
      <c r="ES39" s="2">
        <v>0</v>
      </c>
      <c r="ET39" s="2">
        <v>0</v>
      </c>
      <c r="EU39" s="2">
        <v>0</v>
      </c>
      <c r="EV39" s="2">
        <v>0</v>
      </c>
      <c r="EW39" s="2">
        <v>5.55</v>
      </c>
      <c r="EX39" s="2">
        <v>0</v>
      </c>
      <c r="EY39" s="2">
        <v>0</v>
      </c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>
        <v>0</v>
      </c>
      <c r="FR39" s="2">
        <v>0</v>
      </c>
      <c r="FS39" s="2">
        <v>0</v>
      </c>
      <c r="FT39" s="2"/>
      <c r="FU39" s="2"/>
      <c r="FV39" s="2"/>
      <c r="FW39" s="2"/>
      <c r="FX39" s="2">
        <v>89</v>
      </c>
      <c r="FY39" s="2">
        <v>44</v>
      </c>
      <c r="FZ39" s="2"/>
      <c r="GA39" s="2" t="s">
        <v>3</v>
      </c>
      <c r="GB39" s="2"/>
      <c r="GC39" s="2"/>
      <c r="GD39" s="2">
        <v>1</v>
      </c>
      <c r="GE39" s="2"/>
      <c r="GF39" s="2">
        <v>783676053</v>
      </c>
      <c r="GG39" s="2">
        <v>2</v>
      </c>
      <c r="GH39" s="2">
        <v>1</v>
      </c>
      <c r="GI39" s="2">
        <v>-2</v>
      </c>
      <c r="GJ39" s="2">
        <v>0</v>
      </c>
      <c r="GK39" s="2">
        <v>0</v>
      </c>
      <c r="GL39" s="2">
        <f t="shared" si="21"/>
        <v>0</v>
      </c>
      <c r="GM39" s="2">
        <f t="shared" si="22"/>
        <v>60251.360000000001</v>
      </c>
      <c r="GN39" s="2">
        <f t="shared" si="23"/>
        <v>0</v>
      </c>
      <c r="GO39" s="2">
        <f t="shared" si="24"/>
        <v>60251.360000000001</v>
      </c>
      <c r="GP39" s="2">
        <f t="shared" si="25"/>
        <v>0</v>
      </c>
      <c r="GQ39" s="2"/>
      <c r="GR39" s="2">
        <v>0</v>
      </c>
      <c r="GS39" s="2">
        <v>3</v>
      </c>
      <c r="GT39" s="2">
        <v>0</v>
      </c>
      <c r="GU39" s="2" t="s">
        <v>3</v>
      </c>
      <c r="GV39" s="2">
        <f t="shared" si="26"/>
        <v>0</v>
      </c>
      <c r="GW39" s="2">
        <v>1</v>
      </c>
      <c r="GX39" s="2">
        <f t="shared" si="27"/>
        <v>0</v>
      </c>
      <c r="GY39" s="2"/>
      <c r="GZ39" s="2"/>
      <c r="HA39" s="2">
        <v>0</v>
      </c>
      <c r="HB39" s="2">
        <v>0</v>
      </c>
      <c r="HC39" s="2">
        <f>GV39*GW39</f>
        <v>0</v>
      </c>
      <c r="HD39" s="2"/>
      <c r="HE39" s="2" t="s">
        <v>3</v>
      </c>
      <c r="HF39" s="2" t="s">
        <v>3</v>
      </c>
      <c r="HG39" s="2"/>
      <c r="HH39" s="2"/>
      <c r="HI39" s="2"/>
      <c r="HJ39" s="2"/>
      <c r="HK39" s="2"/>
      <c r="HL39" s="2"/>
      <c r="HM39" s="2" t="s">
        <v>3</v>
      </c>
      <c r="HN39" s="2" t="s">
        <v>23</v>
      </c>
      <c r="HO39" s="2" t="s">
        <v>24</v>
      </c>
      <c r="HP39" s="2" t="s">
        <v>21</v>
      </c>
      <c r="HQ39" s="2" t="s">
        <v>21</v>
      </c>
      <c r="HR39" s="2"/>
      <c r="HS39" s="2">
        <v>0</v>
      </c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>
        <v>0</v>
      </c>
      <c r="IL39" s="2"/>
      <c r="IM39" s="2"/>
      <c r="IN39" s="2"/>
      <c r="IO39" s="2"/>
      <c r="IP39" s="2"/>
      <c r="IQ39" s="2"/>
      <c r="IR39" s="2"/>
      <c r="IS39" s="2"/>
      <c r="IT39" s="2"/>
      <c r="IU39" s="2"/>
    </row>
    <row r="40" spans="1:255" x14ac:dyDescent="0.2">
      <c r="A40" s="2">
        <v>18</v>
      </c>
      <c r="B40" s="2">
        <v>1</v>
      </c>
      <c r="C40" s="2">
        <v>34</v>
      </c>
      <c r="D40" s="2"/>
      <c r="E40" s="2" t="s">
        <v>3</v>
      </c>
      <c r="F40" s="2" t="s">
        <v>25</v>
      </c>
      <c r="G40" s="2" t="s">
        <v>26</v>
      </c>
      <c r="H40" s="2" t="s">
        <v>27</v>
      </c>
      <c r="I40" s="2">
        <f>J40</f>
        <v>3</v>
      </c>
      <c r="J40" s="2">
        <v>3</v>
      </c>
      <c r="K40" s="2">
        <v>3</v>
      </c>
      <c r="L40" s="2"/>
      <c r="M40" s="2"/>
      <c r="N40" s="2"/>
      <c r="O40" s="2">
        <f>ROUND(P40,2)</f>
        <v>775.77</v>
      </c>
      <c r="P40" s="2">
        <f>ROUND(ROUND(ROUND(SUMIF(SmtRes!AQ33:'SmtRes'!AQ36,"=1",SmtRes!CU33:'SmtRes'!CU36),2),2)*I40/100,2)</f>
        <v>775.77</v>
      </c>
      <c r="Q40" s="2">
        <f>ROUND(CR40*I40,2)</f>
        <v>0</v>
      </c>
      <c r="R40" s="2">
        <f>ROUND(CS40*I40,2)</f>
        <v>0</v>
      </c>
      <c r="S40" s="2">
        <f>ROUND(CT40*I40,2)</f>
        <v>0</v>
      </c>
      <c r="T40" s="2">
        <f t="shared" si="14"/>
        <v>0</v>
      </c>
      <c r="U40" s="2">
        <f>ROUND(CV40*I40,7)</f>
        <v>0</v>
      </c>
      <c r="V40" s="2">
        <f>ROUND(CW40*I40,7)</f>
        <v>0</v>
      </c>
      <c r="W40" s="2">
        <f t="shared" si="15"/>
        <v>0</v>
      </c>
      <c r="X40" s="2">
        <f t="shared" si="16"/>
        <v>0</v>
      </c>
      <c r="Y40" s="2">
        <f t="shared" si="17"/>
        <v>0</v>
      </c>
      <c r="Z40" s="2"/>
      <c r="AA40" s="2">
        <v>-1</v>
      </c>
      <c r="AB40" s="2">
        <f t="shared" si="18"/>
        <v>0</v>
      </c>
      <c r="AC40" s="2">
        <f>ROUND((ES40),6)</f>
        <v>0</v>
      </c>
      <c r="AD40" s="2">
        <f>ROUND((((ET40)-(EU40))+AE40),6)</f>
        <v>0</v>
      </c>
      <c r="AE40" s="2">
        <f t="shared" ref="AE40:AF42" si="31">ROUND((EU40),6)</f>
        <v>0</v>
      </c>
      <c r="AF40" s="2">
        <f t="shared" si="31"/>
        <v>0</v>
      </c>
      <c r="AG40" s="2">
        <f t="shared" si="19"/>
        <v>0</v>
      </c>
      <c r="AH40" s="2">
        <f t="shared" ref="AH40:AI42" si="32">(EW40)</f>
        <v>0</v>
      </c>
      <c r="AI40" s="2">
        <f t="shared" si="32"/>
        <v>0</v>
      </c>
      <c r="AJ40" s="2">
        <f t="shared" si="20"/>
        <v>0</v>
      </c>
      <c r="AK40" s="2">
        <v>0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">
        <v>89</v>
      </c>
      <c r="AU40" s="2">
        <v>44</v>
      </c>
      <c r="AV40" s="2">
        <v>1</v>
      </c>
      <c r="AW40" s="2">
        <v>1</v>
      </c>
      <c r="AX40" s="2"/>
      <c r="AY40" s="2"/>
      <c r="AZ40" s="2">
        <v>1</v>
      </c>
      <c r="BA40" s="2">
        <v>1</v>
      </c>
      <c r="BB40" s="2">
        <v>1</v>
      </c>
      <c r="BC40" s="2">
        <v>1</v>
      </c>
      <c r="BD40" s="2" t="s">
        <v>3</v>
      </c>
      <c r="BE40" s="2" t="s">
        <v>3</v>
      </c>
      <c r="BF40" s="2" t="s">
        <v>3</v>
      </c>
      <c r="BG40" s="2" t="s">
        <v>3</v>
      </c>
      <c r="BH40" s="2">
        <v>3</v>
      </c>
      <c r="BI40" s="2">
        <v>2</v>
      </c>
      <c r="BJ40" s="2" t="s">
        <v>3</v>
      </c>
      <c r="BK40" s="2"/>
      <c r="BL40" s="2"/>
      <c r="BM40" s="2">
        <v>141001</v>
      </c>
      <c r="BN40" s="2">
        <v>0</v>
      </c>
      <c r="BO40" s="2" t="s">
        <v>3</v>
      </c>
      <c r="BP40" s="2">
        <v>0</v>
      </c>
      <c r="BQ40" s="2">
        <v>3</v>
      </c>
      <c r="BR40" s="2">
        <v>0</v>
      </c>
      <c r="BS40" s="2">
        <v>1</v>
      </c>
      <c r="BT40" s="2">
        <v>1</v>
      </c>
      <c r="BU40" s="2">
        <v>1</v>
      </c>
      <c r="BV40" s="2">
        <v>1</v>
      </c>
      <c r="BW40" s="2">
        <v>1</v>
      </c>
      <c r="BX40" s="2">
        <v>1</v>
      </c>
      <c r="BY40" s="2" t="s">
        <v>3</v>
      </c>
      <c r="BZ40" s="2">
        <v>89</v>
      </c>
      <c r="CA40" s="2">
        <v>44</v>
      </c>
      <c r="CB40" s="2" t="s">
        <v>3</v>
      </c>
      <c r="CC40" s="2"/>
      <c r="CD40" s="2"/>
      <c r="CE40" s="2">
        <v>0</v>
      </c>
      <c r="CF40" s="2">
        <v>0</v>
      </c>
      <c r="CG40" s="2">
        <v>0</v>
      </c>
      <c r="CH40" s="2"/>
      <c r="CI40" s="2"/>
      <c r="CJ40" s="2"/>
      <c r="CK40" s="2"/>
      <c r="CL40" s="2"/>
      <c r="CM40" s="2">
        <v>0</v>
      </c>
      <c r="CN40" s="2" t="s">
        <v>3</v>
      </c>
      <c r="CO40" s="2">
        <v>0</v>
      </c>
      <c r="CP40" s="2">
        <f>0</f>
        <v>0</v>
      </c>
      <c r="CQ40" s="2">
        <f>0</f>
        <v>0</v>
      </c>
      <c r="CR40" s="2">
        <f>0</f>
        <v>0</v>
      </c>
      <c r="CS40" s="2">
        <f>0</f>
        <v>0</v>
      </c>
      <c r="CT40" s="2">
        <f>0</f>
        <v>0</v>
      </c>
      <c r="CU40" s="2">
        <f>0</f>
        <v>0</v>
      </c>
      <c r="CV40" s="2">
        <f>0</f>
        <v>0</v>
      </c>
      <c r="CW40" s="2">
        <f>0</f>
        <v>0</v>
      </c>
      <c r="CX40" s="2">
        <f>0</f>
        <v>0</v>
      </c>
      <c r="CY40" s="2">
        <f>0</f>
        <v>0</v>
      </c>
      <c r="CZ40" s="2">
        <f>0</f>
        <v>0</v>
      </c>
      <c r="DA40" s="2"/>
      <c r="DB40" s="2"/>
      <c r="DC40" s="2" t="s">
        <v>3</v>
      </c>
      <c r="DD40" s="2" t="s">
        <v>3</v>
      </c>
      <c r="DE40" s="2" t="s">
        <v>3</v>
      </c>
      <c r="DF40" s="2" t="s">
        <v>3</v>
      </c>
      <c r="DG40" s="2" t="s">
        <v>3</v>
      </c>
      <c r="DH40" s="2" t="s">
        <v>3</v>
      </c>
      <c r="DI40" s="2" t="s">
        <v>3</v>
      </c>
      <c r="DJ40" s="2" t="s">
        <v>3</v>
      </c>
      <c r="DK40" s="2" t="s">
        <v>3</v>
      </c>
      <c r="DL40" s="2" t="s">
        <v>3</v>
      </c>
      <c r="DM40" s="2" t="s">
        <v>3</v>
      </c>
      <c r="DN40" s="2">
        <v>0</v>
      </c>
      <c r="DO40" s="2">
        <v>0</v>
      </c>
      <c r="DP40" s="2">
        <v>1</v>
      </c>
      <c r="DQ40" s="2">
        <v>1</v>
      </c>
      <c r="DR40" s="2"/>
      <c r="DS40" s="2"/>
      <c r="DT40" s="2"/>
      <c r="DU40" s="2">
        <v>1013</v>
      </c>
      <c r="DV40" s="2" t="s">
        <v>27</v>
      </c>
      <c r="DW40" s="2" t="s">
        <v>27</v>
      </c>
      <c r="DX40" s="2">
        <v>1</v>
      </c>
      <c r="DY40" s="2"/>
      <c r="DZ40" s="2" t="s">
        <v>3</v>
      </c>
      <c r="EA40" s="2" t="s">
        <v>3</v>
      </c>
      <c r="EB40" s="2" t="s">
        <v>3</v>
      </c>
      <c r="EC40" s="2" t="s">
        <v>3</v>
      </c>
      <c r="ED40" s="2"/>
      <c r="EE40" s="2">
        <v>91082123</v>
      </c>
      <c r="EF40" s="2">
        <v>3</v>
      </c>
      <c r="EG40" s="2" t="s">
        <v>20</v>
      </c>
      <c r="EH40" s="2">
        <v>104</v>
      </c>
      <c r="EI40" s="2" t="s">
        <v>21</v>
      </c>
      <c r="EJ40" s="2">
        <v>2</v>
      </c>
      <c r="EK40" s="2">
        <v>141001</v>
      </c>
      <c r="EL40" s="2" t="s">
        <v>21</v>
      </c>
      <c r="EM40" s="2" t="s">
        <v>22</v>
      </c>
      <c r="EN40" s="2"/>
      <c r="EO40" s="2" t="s">
        <v>3</v>
      </c>
      <c r="EP40" s="2"/>
      <c r="EQ40" s="2">
        <v>1024</v>
      </c>
      <c r="ER40" s="2">
        <v>0</v>
      </c>
      <c r="ES40" s="2">
        <v>0</v>
      </c>
      <c r="ET40" s="2">
        <v>0</v>
      </c>
      <c r="EU40" s="2">
        <v>0</v>
      </c>
      <c r="EV40" s="2">
        <v>0</v>
      </c>
      <c r="EW40" s="2">
        <v>0</v>
      </c>
      <c r="EX40" s="2">
        <v>0</v>
      </c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>
        <v>0</v>
      </c>
      <c r="FR40" s="2">
        <v>0</v>
      </c>
      <c r="FS40" s="2">
        <v>0</v>
      </c>
      <c r="FT40" s="2"/>
      <c r="FU40" s="2"/>
      <c r="FV40" s="2"/>
      <c r="FW40" s="2"/>
      <c r="FX40" s="2">
        <v>89</v>
      </c>
      <c r="FY40" s="2">
        <v>44</v>
      </c>
      <c r="FZ40" s="2"/>
      <c r="GA40" s="2" t="s">
        <v>3</v>
      </c>
      <c r="GB40" s="2"/>
      <c r="GC40" s="2"/>
      <c r="GD40" s="2">
        <v>1</v>
      </c>
      <c r="GE40" s="2"/>
      <c r="GF40" s="2">
        <v>-152123987</v>
      </c>
      <c r="GG40" s="2">
        <v>2</v>
      </c>
      <c r="GH40" s="2">
        <v>1</v>
      </c>
      <c r="GI40" s="2">
        <v>-2</v>
      </c>
      <c r="GJ40" s="2">
        <v>0</v>
      </c>
      <c r="GK40" s="2">
        <v>0</v>
      </c>
      <c r="GL40" s="2">
        <f t="shared" si="21"/>
        <v>0</v>
      </c>
      <c r="GM40" s="2">
        <f t="shared" si="22"/>
        <v>775.77</v>
      </c>
      <c r="GN40" s="2">
        <f t="shared" si="23"/>
        <v>0</v>
      </c>
      <c r="GO40" s="2">
        <f t="shared" si="24"/>
        <v>775.77</v>
      </c>
      <c r="GP40" s="2">
        <f t="shared" si="25"/>
        <v>0</v>
      </c>
      <c r="GQ40" s="2"/>
      <c r="GR40" s="2">
        <v>0</v>
      </c>
      <c r="GS40" s="2">
        <v>3</v>
      </c>
      <c r="GT40" s="2">
        <v>0</v>
      </c>
      <c r="GU40" s="2" t="s">
        <v>3</v>
      </c>
      <c r="GV40" s="2">
        <f t="shared" si="26"/>
        <v>0</v>
      </c>
      <c r="GW40" s="2">
        <v>1</v>
      </c>
      <c r="GX40" s="2">
        <f t="shared" si="27"/>
        <v>0</v>
      </c>
      <c r="GY40" s="2"/>
      <c r="GZ40" s="2"/>
      <c r="HA40" s="2">
        <v>0</v>
      </c>
      <c r="HB40" s="2">
        <v>0</v>
      </c>
      <c r="HC40" s="2">
        <f>0</f>
        <v>0</v>
      </c>
      <c r="HD40" s="2"/>
      <c r="HE40" s="2" t="s">
        <v>3</v>
      </c>
      <c r="HF40" s="2" t="s">
        <v>3</v>
      </c>
      <c r="HG40" s="2"/>
      <c r="HH40" s="2"/>
      <c r="HI40" s="2"/>
      <c r="HJ40" s="2"/>
      <c r="HK40" s="2"/>
      <c r="HL40" s="2"/>
      <c r="HM40" s="2" t="s">
        <v>3</v>
      </c>
      <c r="HN40" s="2" t="s">
        <v>23</v>
      </c>
      <c r="HO40" s="2" t="s">
        <v>24</v>
      </c>
      <c r="HP40" s="2" t="s">
        <v>21</v>
      </c>
      <c r="HQ40" s="2" t="s">
        <v>21</v>
      </c>
      <c r="HR40" s="2"/>
      <c r="HS40" s="2">
        <v>0</v>
      </c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>
        <v>0</v>
      </c>
      <c r="IL40" s="2"/>
      <c r="IM40" s="2"/>
      <c r="IN40" s="2"/>
      <c r="IO40" s="2"/>
      <c r="IP40" s="2"/>
      <c r="IQ40" s="2"/>
      <c r="IR40" s="2"/>
      <c r="IS40" s="2"/>
      <c r="IT40" s="2"/>
      <c r="IU40" s="2"/>
    </row>
    <row r="41" spans="1:255" x14ac:dyDescent="0.2">
      <c r="A41" s="2">
        <v>18</v>
      </c>
      <c r="B41" s="2">
        <v>1</v>
      </c>
      <c r="C41" s="2">
        <v>35</v>
      </c>
      <c r="D41" s="2"/>
      <c r="E41" s="2" t="s">
        <v>3</v>
      </c>
      <c r="F41" s="2" t="s">
        <v>33</v>
      </c>
      <c r="G41" s="2" t="s">
        <v>58</v>
      </c>
      <c r="H41" s="2" t="s">
        <v>18</v>
      </c>
      <c r="I41" s="2">
        <f>I39*J41</f>
        <v>7</v>
      </c>
      <c r="J41" s="2">
        <v>1</v>
      </c>
      <c r="K41" s="2">
        <v>1</v>
      </c>
      <c r="L41" s="2"/>
      <c r="M41" s="2"/>
      <c r="N41" s="2"/>
      <c r="O41" s="2">
        <f>ROUND(CP41,2)</f>
        <v>43333.36</v>
      </c>
      <c r="P41" s="2">
        <f>ROUND(CQ41*I41,2)</f>
        <v>43333.36</v>
      </c>
      <c r="Q41" s="2">
        <f>ROUND(CR41*I41,2)</f>
        <v>0</v>
      </c>
      <c r="R41" s="2">
        <f>ROUND(CS41*I41,2)</f>
        <v>0</v>
      </c>
      <c r="S41" s="2">
        <f>ROUND(CT41*I41,2)</f>
        <v>0</v>
      </c>
      <c r="T41" s="2">
        <f t="shared" si="14"/>
        <v>0</v>
      </c>
      <c r="U41" s="2">
        <f>ROUND(CV41*I41,7)</f>
        <v>0</v>
      </c>
      <c r="V41" s="2">
        <f>ROUND(CW41*I41,7)</f>
        <v>0</v>
      </c>
      <c r="W41" s="2">
        <f t="shared" si="15"/>
        <v>0</v>
      </c>
      <c r="X41" s="2">
        <f t="shared" si="16"/>
        <v>0</v>
      </c>
      <c r="Y41" s="2">
        <f t="shared" si="17"/>
        <v>0</v>
      </c>
      <c r="Z41" s="2"/>
      <c r="AA41" s="2">
        <v>-1</v>
      </c>
      <c r="AB41" s="2">
        <f t="shared" si="18"/>
        <v>6190.48</v>
      </c>
      <c r="AC41" s="2">
        <f>ROUND((ES41),6)</f>
        <v>6190.48</v>
      </c>
      <c r="AD41" s="2">
        <f>ROUND((((ET41)-(EU41))+AE41),6)</f>
        <v>0</v>
      </c>
      <c r="AE41" s="2">
        <f t="shared" si="31"/>
        <v>0</v>
      </c>
      <c r="AF41" s="2">
        <f t="shared" si="31"/>
        <v>0</v>
      </c>
      <c r="AG41" s="2">
        <f t="shared" si="19"/>
        <v>0</v>
      </c>
      <c r="AH41" s="2">
        <f t="shared" si="32"/>
        <v>0</v>
      </c>
      <c r="AI41" s="2">
        <f t="shared" si="32"/>
        <v>0</v>
      </c>
      <c r="AJ41" s="2">
        <f t="shared" si="20"/>
        <v>0</v>
      </c>
      <c r="AK41" s="2">
        <v>6190.48</v>
      </c>
      <c r="AL41" s="2">
        <v>6190.48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">
        <v>44</v>
      </c>
      <c r="AV41" s="2">
        <v>1</v>
      </c>
      <c r="AW41" s="2">
        <v>1</v>
      </c>
      <c r="AX41" s="2"/>
      <c r="AY41" s="2"/>
      <c r="AZ41" s="2">
        <v>1</v>
      </c>
      <c r="BA41" s="2">
        <v>1</v>
      </c>
      <c r="BB41" s="2">
        <v>1</v>
      </c>
      <c r="BC41" s="2">
        <v>1</v>
      </c>
      <c r="BD41" s="2" t="s">
        <v>3</v>
      </c>
      <c r="BE41" s="2" t="s">
        <v>3</v>
      </c>
      <c r="BF41" s="2" t="s">
        <v>3</v>
      </c>
      <c r="BG41" s="2" t="s">
        <v>3</v>
      </c>
      <c r="BH41" s="2">
        <v>3</v>
      </c>
      <c r="BI41" s="2">
        <v>3</v>
      </c>
      <c r="BJ41" s="2" t="s">
        <v>3</v>
      </c>
      <c r="BK41" s="2"/>
      <c r="BL41" s="2"/>
      <c r="BM41" s="2">
        <v>100</v>
      </c>
      <c r="BN41" s="2">
        <v>0</v>
      </c>
      <c r="BO41" s="2" t="s">
        <v>3</v>
      </c>
      <c r="BP41" s="2">
        <v>0</v>
      </c>
      <c r="BQ41" s="2">
        <v>5</v>
      </c>
      <c r="BR41" s="2">
        <v>0</v>
      </c>
      <c r="BS41" s="2">
        <v>1</v>
      </c>
      <c r="BT41" s="2">
        <v>1</v>
      </c>
      <c r="BU41" s="2">
        <v>1</v>
      </c>
      <c r="BV41" s="2">
        <v>1</v>
      </c>
      <c r="BW41" s="2">
        <v>1</v>
      </c>
      <c r="BX41" s="2">
        <v>1</v>
      </c>
      <c r="BY41" s="2" t="s">
        <v>3</v>
      </c>
      <c r="BZ41" s="2">
        <v>89</v>
      </c>
      <c r="CA41" s="2">
        <v>44</v>
      </c>
      <c r="CB41" s="2" t="s">
        <v>3</v>
      </c>
      <c r="CC41" s="2"/>
      <c r="CD41" s="2"/>
      <c r="CE41" s="2">
        <v>0</v>
      </c>
      <c r="CF41" s="2">
        <v>0</v>
      </c>
      <c r="CG41" s="2">
        <v>0</v>
      </c>
      <c r="CH41" s="2"/>
      <c r="CI41" s="2"/>
      <c r="CJ41" s="2"/>
      <c r="CK41" s="2"/>
      <c r="CL41" s="2"/>
      <c r="CM41" s="2">
        <v>0</v>
      </c>
      <c r="CN41" s="2" t="s">
        <v>3</v>
      </c>
      <c r="CO41" s="2">
        <v>0</v>
      </c>
      <c r="CP41" s="2">
        <f>(P41+Q41+S41+R41)</f>
        <v>43333.36</v>
      </c>
      <c r="CQ41" s="2">
        <f>ROUND(AL41,2)</f>
        <v>6190.48</v>
      </c>
      <c r="CR41" s="2">
        <f>ROUND(AM41,2)</f>
        <v>0</v>
      </c>
      <c r="CS41" s="2">
        <f>ROUND(AN41*BS41,2)</f>
        <v>0</v>
      </c>
      <c r="CT41" s="2">
        <f>ROUND(AO41*BA41,2)</f>
        <v>0</v>
      </c>
      <c r="CU41" s="2">
        <f t="shared" ref="CU41:CX42" si="33">AG41</f>
        <v>0</v>
      </c>
      <c r="CV41" s="2">
        <f t="shared" si="33"/>
        <v>0</v>
      </c>
      <c r="CW41" s="2">
        <f t="shared" si="33"/>
        <v>0</v>
      </c>
      <c r="CX41" s="2">
        <f t="shared" si="33"/>
        <v>0</v>
      </c>
      <c r="CY41" s="2">
        <f>0</f>
        <v>0</v>
      </c>
      <c r="CZ41" s="2">
        <f>0</f>
        <v>0</v>
      </c>
      <c r="DA41" s="2"/>
      <c r="DB41" s="2"/>
      <c r="DC41" s="2" t="s">
        <v>3</v>
      </c>
      <c r="DD41" s="2" t="s">
        <v>3</v>
      </c>
      <c r="DE41" s="2" t="s">
        <v>3</v>
      </c>
      <c r="DF41" s="2" t="s">
        <v>3</v>
      </c>
      <c r="DG41" s="2" t="s">
        <v>3</v>
      </c>
      <c r="DH41" s="2" t="s">
        <v>3</v>
      </c>
      <c r="DI41" s="2" t="s">
        <v>3</v>
      </c>
      <c r="DJ41" s="2" t="s">
        <v>3</v>
      </c>
      <c r="DK41" s="2" t="s">
        <v>3</v>
      </c>
      <c r="DL41" s="2" t="s">
        <v>3</v>
      </c>
      <c r="DM41" s="2" t="s">
        <v>3</v>
      </c>
      <c r="DN41" s="2">
        <v>0</v>
      </c>
      <c r="DO41" s="2">
        <v>0</v>
      </c>
      <c r="DP41" s="2">
        <v>1</v>
      </c>
      <c r="DQ41" s="2">
        <v>1</v>
      </c>
      <c r="DR41" s="2"/>
      <c r="DS41" s="2"/>
      <c r="DT41" s="2"/>
      <c r="DU41" s="2">
        <v>1013</v>
      </c>
      <c r="DV41" s="2" t="s">
        <v>18</v>
      </c>
      <c r="DW41" s="2" t="s">
        <v>18</v>
      </c>
      <c r="DX41" s="2">
        <v>1</v>
      </c>
      <c r="DY41" s="2"/>
      <c r="DZ41" s="2" t="s">
        <v>3</v>
      </c>
      <c r="EA41" s="2" t="s">
        <v>3</v>
      </c>
      <c r="EB41" s="2" t="s">
        <v>3</v>
      </c>
      <c r="EC41" s="2" t="s">
        <v>3</v>
      </c>
      <c r="ED41" s="2"/>
      <c r="EE41" s="2">
        <v>91082373</v>
      </c>
      <c r="EF41" s="2">
        <v>5</v>
      </c>
      <c r="EG41" s="2" t="s">
        <v>36</v>
      </c>
      <c r="EH41" s="2">
        <v>0</v>
      </c>
      <c r="EI41" s="2" t="s">
        <v>3</v>
      </c>
      <c r="EJ41" s="2">
        <v>3</v>
      </c>
      <c r="EK41" s="2">
        <v>100</v>
      </c>
      <c r="EL41" s="2" t="s">
        <v>37</v>
      </c>
      <c r="EM41" s="2" t="s">
        <v>38</v>
      </c>
      <c r="EN41" s="2"/>
      <c r="EO41" s="2" t="s">
        <v>3</v>
      </c>
      <c r="EP41" s="2"/>
      <c r="EQ41" s="2">
        <v>1024</v>
      </c>
      <c r="ER41" s="2">
        <v>6190.48</v>
      </c>
      <c r="ES41" s="2">
        <v>6190.48</v>
      </c>
      <c r="ET41" s="2">
        <v>0</v>
      </c>
      <c r="EU41" s="2">
        <v>0</v>
      </c>
      <c r="EV41" s="2">
        <v>0</v>
      </c>
      <c r="EW41" s="2">
        <v>0</v>
      </c>
      <c r="EX41" s="2">
        <v>0</v>
      </c>
      <c r="EY41" s="2"/>
      <c r="EZ41" s="2">
        <v>5</v>
      </c>
      <c r="FA41" s="2"/>
      <c r="FB41" s="2"/>
      <c r="FC41" s="2">
        <v>1</v>
      </c>
      <c r="FD41" s="2">
        <v>18</v>
      </c>
      <c r="FE41" s="2"/>
      <c r="FF41" s="2">
        <v>6500</v>
      </c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>
        <v>0</v>
      </c>
      <c r="FR41" s="2">
        <f>P41</f>
        <v>43333.36</v>
      </c>
      <c r="FS41" s="2">
        <v>0</v>
      </c>
      <c r="FT41" s="2"/>
      <c r="FU41" s="2"/>
      <c r="FV41" s="2"/>
      <c r="FW41" s="2"/>
      <c r="FX41" s="2">
        <v>89</v>
      </c>
      <c r="FY41" s="2">
        <v>44</v>
      </c>
      <c r="FZ41" s="2"/>
      <c r="GA41" s="2" t="s">
        <v>59</v>
      </c>
      <c r="GB41" s="2"/>
      <c r="GC41" s="2"/>
      <c r="GD41" s="2">
        <v>1</v>
      </c>
      <c r="GE41" s="2"/>
      <c r="GF41" s="2">
        <v>-1138193966</v>
      </c>
      <c r="GG41" s="2">
        <v>2</v>
      </c>
      <c r="GH41" s="2">
        <v>3</v>
      </c>
      <c r="GI41" s="2">
        <v>-2</v>
      </c>
      <c r="GJ41" s="2">
        <v>0</v>
      </c>
      <c r="GK41" s="2">
        <v>0</v>
      </c>
      <c r="GL41" s="2">
        <f t="shared" si="21"/>
        <v>0</v>
      </c>
      <c r="GM41" s="2">
        <f t="shared" si="22"/>
        <v>43333.36</v>
      </c>
      <c r="GN41" s="2">
        <f t="shared" si="23"/>
        <v>0</v>
      </c>
      <c r="GO41" s="2">
        <f t="shared" si="24"/>
        <v>0</v>
      </c>
      <c r="GP41" s="2">
        <f t="shared" si="25"/>
        <v>0</v>
      </c>
      <c r="GQ41" s="2"/>
      <c r="GR41" s="2">
        <v>1</v>
      </c>
      <c r="GS41" s="2">
        <v>1</v>
      </c>
      <c r="GT41" s="2">
        <v>0</v>
      </c>
      <c r="GU41" s="2" t="s">
        <v>3</v>
      </c>
      <c r="GV41" s="2">
        <f t="shared" si="26"/>
        <v>0</v>
      </c>
      <c r="GW41" s="2">
        <v>1</v>
      </c>
      <c r="GX41" s="2">
        <f t="shared" si="27"/>
        <v>0</v>
      </c>
      <c r="GY41" s="2"/>
      <c r="GZ41" s="2"/>
      <c r="HA41" s="2">
        <v>0</v>
      </c>
      <c r="HB41" s="2">
        <v>0</v>
      </c>
      <c r="HC41" s="2">
        <f>GV41*GW41</f>
        <v>0</v>
      </c>
      <c r="HD41" s="2"/>
      <c r="HE41" s="2" t="s">
        <v>40</v>
      </c>
      <c r="HF41" s="2" t="s">
        <v>40</v>
      </c>
      <c r="HG41" s="2"/>
      <c r="HH41" s="2">
        <f>ROUND(ROUND(AL41,2)*I41,2)</f>
        <v>43333.36</v>
      </c>
      <c r="HI41" s="2"/>
      <c r="HJ41" s="2"/>
      <c r="HK41" s="2"/>
      <c r="HL41" s="2"/>
      <c r="HM41" s="2" t="s">
        <v>3</v>
      </c>
      <c r="HN41" s="2" t="s">
        <v>3</v>
      </c>
      <c r="HO41" s="2" t="s">
        <v>3</v>
      </c>
      <c r="HP41" s="2" t="s">
        <v>3</v>
      </c>
      <c r="HQ41" s="2" t="s">
        <v>3</v>
      </c>
      <c r="HR41" s="2"/>
      <c r="HS41" s="2">
        <v>0</v>
      </c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>
        <v>0</v>
      </c>
      <c r="IL41" s="2"/>
      <c r="IM41" s="2"/>
      <c r="IN41" s="2"/>
      <c r="IO41" s="2"/>
      <c r="IP41" s="2"/>
      <c r="IQ41" s="2"/>
      <c r="IR41" s="2"/>
      <c r="IS41" s="2"/>
      <c r="IT41" s="2"/>
      <c r="IU41" s="2"/>
    </row>
    <row r="42" spans="1:255" x14ac:dyDescent="0.2">
      <c r="A42" s="2">
        <v>18</v>
      </c>
      <c r="B42" s="2">
        <v>1</v>
      </c>
      <c r="C42" s="2">
        <v>36</v>
      </c>
      <c r="D42" s="2"/>
      <c r="E42" s="2" t="s">
        <v>3</v>
      </c>
      <c r="F42" s="2" t="s">
        <v>33</v>
      </c>
      <c r="G42" s="2" t="s">
        <v>60</v>
      </c>
      <c r="H42" s="2" t="s">
        <v>18</v>
      </c>
      <c r="I42" s="2">
        <f>I39*J42</f>
        <v>7</v>
      </c>
      <c r="J42" s="2">
        <v>1</v>
      </c>
      <c r="K42" s="2">
        <v>1</v>
      </c>
      <c r="L42" s="2"/>
      <c r="M42" s="2"/>
      <c r="N42" s="2"/>
      <c r="O42" s="2">
        <f>ROUND(CP42,2)</f>
        <v>6666.66</v>
      </c>
      <c r="P42" s="2">
        <f>ROUND(CQ42*I42,2)</f>
        <v>6666.66</v>
      </c>
      <c r="Q42" s="2">
        <f>ROUND(CR42*I42,2)</f>
        <v>0</v>
      </c>
      <c r="R42" s="2">
        <f>ROUND(CS42*I42,2)</f>
        <v>0</v>
      </c>
      <c r="S42" s="2">
        <f>ROUND(CT42*I42,2)</f>
        <v>0</v>
      </c>
      <c r="T42" s="2">
        <f t="shared" si="14"/>
        <v>0</v>
      </c>
      <c r="U42" s="2">
        <f>ROUND(CV42*I42,7)</f>
        <v>0</v>
      </c>
      <c r="V42" s="2">
        <f>ROUND(CW42*I42,7)</f>
        <v>0</v>
      </c>
      <c r="W42" s="2">
        <f t="shared" si="15"/>
        <v>0</v>
      </c>
      <c r="X42" s="2">
        <f t="shared" si="16"/>
        <v>0</v>
      </c>
      <c r="Y42" s="2">
        <f t="shared" si="17"/>
        <v>0</v>
      </c>
      <c r="Z42" s="2"/>
      <c r="AA42" s="2">
        <v>-1</v>
      </c>
      <c r="AB42" s="2">
        <f t="shared" si="18"/>
        <v>952.38</v>
      </c>
      <c r="AC42" s="2">
        <f>ROUND((ES42),6)</f>
        <v>952.38</v>
      </c>
      <c r="AD42" s="2">
        <f>ROUND((((ET42)-(EU42))+AE42),6)</f>
        <v>0</v>
      </c>
      <c r="AE42" s="2">
        <f t="shared" si="31"/>
        <v>0</v>
      </c>
      <c r="AF42" s="2">
        <f t="shared" si="31"/>
        <v>0</v>
      </c>
      <c r="AG42" s="2">
        <f t="shared" si="19"/>
        <v>0</v>
      </c>
      <c r="AH42" s="2">
        <f t="shared" si="32"/>
        <v>0</v>
      </c>
      <c r="AI42" s="2">
        <f t="shared" si="32"/>
        <v>0</v>
      </c>
      <c r="AJ42" s="2">
        <f t="shared" si="20"/>
        <v>0</v>
      </c>
      <c r="AK42" s="2">
        <v>952.38</v>
      </c>
      <c r="AL42" s="2">
        <v>952.38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0</v>
      </c>
      <c r="AS42" s="2">
        <v>0</v>
      </c>
      <c r="AT42" s="2">
        <v>0</v>
      </c>
      <c r="AU42" s="2">
        <v>44</v>
      </c>
      <c r="AV42" s="2">
        <v>1</v>
      </c>
      <c r="AW42" s="2">
        <v>1</v>
      </c>
      <c r="AX42" s="2"/>
      <c r="AY42" s="2"/>
      <c r="AZ42" s="2">
        <v>1</v>
      </c>
      <c r="BA42" s="2">
        <v>1</v>
      </c>
      <c r="BB42" s="2">
        <v>1</v>
      </c>
      <c r="BC42" s="2">
        <v>1</v>
      </c>
      <c r="BD42" s="2" t="s">
        <v>3</v>
      </c>
      <c r="BE42" s="2" t="s">
        <v>3</v>
      </c>
      <c r="BF42" s="2" t="s">
        <v>3</v>
      </c>
      <c r="BG42" s="2" t="s">
        <v>3</v>
      </c>
      <c r="BH42" s="2">
        <v>3</v>
      </c>
      <c r="BI42" s="2">
        <v>3</v>
      </c>
      <c r="BJ42" s="2" t="s">
        <v>3</v>
      </c>
      <c r="BK42" s="2"/>
      <c r="BL42" s="2"/>
      <c r="BM42" s="2">
        <v>100</v>
      </c>
      <c r="BN42" s="2">
        <v>0</v>
      </c>
      <c r="BO42" s="2" t="s">
        <v>3</v>
      </c>
      <c r="BP42" s="2">
        <v>0</v>
      </c>
      <c r="BQ42" s="2">
        <v>5</v>
      </c>
      <c r="BR42" s="2">
        <v>0</v>
      </c>
      <c r="BS42" s="2">
        <v>1</v>
      </c>
      <c r="BT42" s="2">
        <v>1</v>
      </c>
      <c r="BU42" s="2">
        <v>1</v>
      </c>
      <c r="BV42" s="2">
        <v>1</v>
      </c>
      <c r="BW42" s="2">
        <v>1</v>
      </c>
      <c r="BX42" s="2">
        <v>1</v>
      </c>
      <c r="BY42" s="2" t="s">
        <v>3</v>
      </c>
      <c r="BZ42" s="2">
        <v>89</v>
      </c>
      <c r="CA42" s="2">
        <v>44</v>
      </c>
      <c r="CB42" s="2" t="s">
        <v>3</v>
      </c>
      <c r="CC42" s="2"/>
      <c r="CD42" s="2"/>
      <c r="CE42" s="2">
        <v>0</v>
      </c>
      <c r="CF42" s="2">
        <v>0</v>
      </c>
      <c r="CG42" s="2">
        <v>0</v>
      </c>
      <c r="CH42" s="2"/>
      <c r="CI42" s="2"/>
      <c r="CJ42" s="2"/>
      <c r="CK42" s="2"/>
      <c r="CL42" s="2"/>
      <c r="CM42" s="2">
        <v>0</v>
      </c>
      <c r="CN42" s="2" t="s">
        <v>3</v>
      </c>
      <c r="CO42" s="2">
        <v>0</v>
      </c>
      <c r="CP42" s="2">
        <f>(P42+Q42+S42+R42)</f>
        <v>6666.66</v>
      </c>
      <c r="CQ42" s="2">
        <f>ROUND(AL42,2)</f>
        <v>952.38</v>
      </c>
      <c r="CR42" s="2">
        <f>ROUND(AM42,2)</f>
        <v>0</v>
      </c>
      <c r="CS42" s="2">
        <f>ROUND(AN42*BS42,2)</f>
        <v>0</v>
      </c>
      <c r="CT42" s="2">
        <f>ROUND(AO42*BA42,2)</f>
        <v>0</v>
      </c>
      <c r="CU42" s="2">
        <f t="shared" si="33"/>
        <v>0</v>
      </c>
      <c r="CV42" s="2">
        <f t="shared" si="33"/>
        <v>0</v>
      </c>
      <c r="CW42" s="2">
        <f t="shared" si="33"/>
        <v>0</v>
      </c>
      <c r="CX42" s="2">
        <f t="shared" si="33"/>
        <v>0</v>
      </c>
      <c r="CY42" s="2">
        <f>0</f>
        <v>0</v>
      </c>
      <c r="CZ42" s="2">
        <f>0</f>
        <v>0</v>
      </c>
      <c r="DA42" s="2"/>
      <c r="DB42" s="2"/>
      <c r="DC42" s="2" t="s">
        <v>3</v>
      </c>
      <c r="DD42" s="2" t="s">
        <v>3</v>
      </c>
      <c r="DE42" s="2" t="s">
        <v>3</v>
      </c>
      <c r="DF42" s="2" t="s">
        <v>3</v>
      </c>
      <c r="DG42" s="2" t="s">
        <v>3</v>
      </c>
      <c r="DH42" s="2" t="s">
        <v>3</v>
      </c>
      <c r="DI42" s="2" t="s">
        <v>3</v>
      </c>
      <c r="DJ42" s="2" t="s">
        <v>3</v>
      </c>
      <c r="DK42" s="2" t="s">
        <v>3</v>
      </c>
      <c r="DL42" s="2" t="s">
        <v>3</v>
      </c>
      <c r="DM42" s="2" t="s">
        <v>3</v>
      </c>
      <c r="DN42" s="2">
        <v>0</v>
      </c>
      <c r="DO42" s="2">
        <v>0</v>
      </c>
      <c r="DP42" s="2">
        <v>1</v>
      </c>
      <c r="DQ42" s="2">
        <v>1</v>
      </c>
      <c r="DR42" s="2"/>
      <c r="DS42" s="2"/>
      <c r="DT42" s="2"/>
      <c r="DU42" s="2">
        <v>1013</v>
      </c>
      <c r="DV42" s="2" t="s">
        <v>18</v>
      </c>
      <c r="DW42" s="2" t="s">
        <v>18</v>
      </c>
      <c r="DX42" s="2">
        <v>1</v>
      </c>
      <c r="DY42" s="2"/>
      <c r="DZ42" s="2" t="s">
        <v>3</v>
      </c>
      <c r="EA42" s="2" t="s">
        <v>3</v>
      </c>
      <c r="EB42" s="2" t="s">
        <v>3</v>
      </c>
      <c r="EC42" s="2" t="s">
        <v>3</v>
      </c>
      <c r="ED42" s="2"/>
      <c r="EE42" s="2">
        <v>91082373</v>
      </c>
      <c r="EF42" s="2">
        <v>5</v>
      </c>
      <c r="EG42" s="2" t="s">
        <v>36</v>
      </c>
      <c r="EH42" s="2">
        <v>0</v>
      </c>
      <c r="EI42" s="2" t="s">
        <v>3</v>
      </c>
      <c r="EJ42" s="2">
        <v>3</v>
      </c>
      <c r="EK42" s="2">
        <v>100</v>
      </c>
      <c r="EL42" s="2" t="s">
        <v>37</v>
      </c>
      <c r="EM42" s="2" t="s">
        <v>38</v>
      </c>
      <c r="EN42" s="2"/>
      <c r="EO42" s="2" t="s">
        <v>3</v>
      </c>
      <c r="EP42" s="2"/>
      <c r="EQ42" s="2">
        <v>1024</v>
      </c>
      <c r="ER42" s="2">
        <v>952.38</v>
      </c>
      <c r="ES42" s="2">
        <v>952.38</v>
      </c>
      <c r="ET42" s="2">
        <v>0</v>
      </c>
      <c r="EU42" s="2">
        <v>0</v>
      </c>
      <c r="EV42" s="2">
        <v>0</v>
      </c>
      <c r="EW42" s="2">
        <v>0</v>
      </c>
      <c r="EX42" s="2">
        <v>0</v>
      </c>
      <c r="EY42" s="2"/>
      <c r="EZ42" s="2">
        <v>5</v>
      </c>
      <c r="FA42" s="2"/>
      <c r="FB42" s="2"/>
      <c r="FC42" s="2">
        <v>1</v>
      </c>
      <c r="FD42" s="2">
        <v>18</v>
      </c>
      <c r="FE42" s="2"/>
      <c r="FF42" s="2">
        <v>1000</v>
      </c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>
        <v>0</v>
      </c>
      <c r="FR42" s="2">
        <f>P42</f>
        <v>6666.66</v>
      </c>
      <c r="FS42" s="2">
        <v>0</v>
      </c>
      <c r="FT42" s="2"/>
      <c r="FU42" s="2"/>
      <c r="FV42" s="2"/>
      <c r="FW42" s="2"/>
      <c r="FX42" s="2">
        <v>89</v>
      </c>
      <c r="FY42" s="2">
        <v>44</v>
      </c>
      <c r="FZ42" s="2"/>
      <c r="GA42" s="2" t="s">
        <v>61</v>
      </c>
      <c r="GB42" s="2"/>
      <c r="GC42" s="2"/>
      <c r="GD42" s="2">
        <v>1</v>
      </c>
      <c r="GE42" s="2"/>
      <c r="GF42" s="2">
        <v>-658677130</v>
      </c>
      <c r="GG42" s="2">
        <v>2</v>
      </c>
      <c r="GH42" s="2">
        <v>3</v>
      </c>
      <c r="GI42" s="2">
        <v>-2</v>
      </c>
      <c r="GJ42" s="2">
        <v>0</v>
      </c>
      <c r="GK42" s="2">
        <v>0</v>
      </c>
      <c r="GL42" s="2">
        <f t="shared" si="21"/>
        <v>0</v>
      </c>
      <c r="GM42" s="2">
        <f t="shared" si="22"/>
        <v>6666.66</v>
      </c>
      <c r="GN42" s="2">
        <f t="shared" si="23"/>
        <v>0</v>
      </c>
      <c r="GO42" s="2">
        <f t="shared" si="24"/>
        <v>0</v>
      </c>
      <c r="GP42" s="2">
        <f t="shared" si="25"/>
        <v>0</v>
      </c>
      <c r="GQ42" s="2"/>
      <c r="GR42" s="2">
        <v>1</v>
      </c>
      <c r="GS42" s="2">
        <v>1</v>
      </c>
      <c r="GT42" s="2">
        <v>0</v>
      </c>
      <c r="GU42" s="2" t="s">
        <v>3</v>
      </c>
      <c r="GV42" s="2">
        <f t="shared" si="26"/>
        <v>0</v>
      </c>
      <c r="GW42" s="2">
        <v>1</v>
      </c>
      <c r="GX42" s="2">
        <f t="shared" si="27"/>
        <v>0</v>
      </c>
      <c r="GY42" s="2"/>
      <c r="GZ42" s="2"/>
      <c r="HA42" s="2">
        <v>0</v>
      </c>
      <c r="HB42" s="2">
        <v>0</v>
      </c>
      <c r="HC42" s="2">
        <f>GV42*GW42</f>
        <v>0</v>
      </c>
      <c r="HD42" s="2"/>
      <c r="HE42" s="2" t="s">
        <v>40</v>
      </c>
      <c r="HF42" s="2" t="s">
        <v>40</v>
      </c>
      <c r="HG42" s="2"/>
      <c r="HH42" s="2">
        <f>ROUND(ROUND(AL42,2)*I42,2)</f>
        <v>6666.66</v>
      </c>
      <c r="HI42" s="2"/>
      <c r="HJ42" s="2"/>
      <c r="HK42" s="2"/>
      <c r="HL42" s="2"/>
      <c r="HM42" s="2" t="s">
        <v>3</v>
      </c>
      <c r="HN42" s="2" t="s">
        <v>3</v>
      </c>
      <c r="HO42" s="2" t="s">
        <v>3</v>
      </c>
      <c r="HP42" s="2" t="s">
        <v>3</v>
      </c>
      <c r="HQ42" s="2" t="s">
        <v>3</v>
      </c>
      <c r="HR42" s="2"/>
      <c r="HS42" s="2">
        <v>0</v>
      </c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>
        <v>0</v>
      </c>
      <c r="IL42" s="2"/>
      <c r="IM42" s="2"/>
      <c r="IN42" s="2"/>
      <c r="IO42" s="2"/>
      <c r="IP42" s="2"/>
      <c r="IQ42" s="2"/>
      <c r="IR42" s="2"/>
      <c r="IS42" s="2"/>
      <c r="IT42" s="2"/>
      <c r="IU42" s="2"/>
    </row>
    <row r="43" spans="1:255" x14ac:dyDescent="0.2">
      <c r="A43" s="2">
        <v>17</v>
      </c>
      <c r="B43" s="2">
        <v>1</v>
      </c>
      <c r="C43" s="2">
        <f>ROW(SmtRes!A40)</f>
        <v>40</v>
      </c>
      <c r="D43" s="2">
        <f>ROW(EtalonRes!A31)</f>
        <v>31</v>
      </c>
      <c r="E43" s="2" t="s">
        <v>65</v>
      </c>
      <c r="F43" s="2" t="s">
        <v>66</v>
      </c>
      <c r="G43" s="2" t="s">
        <v>67</v>
      </c>
      <c r="H43" s="2" t="s">
        <v>18</v>
      </c>
      <c r="I43" s="2">
        <f>ROUND(7,7)</f>
        <v>7</v>
      </c>
      <c r="J43" s="2">
        <v>0</v>
      </c>
      <c r="K43" s="2">
        <f>ROUND(7,7)</f>
        <v>7</v>
      </c>
      <c r="L43" s="2"/>
      <c r="M43" s="2"/>
      <c r="N43" s="2"/>
      <c r="O43" s="2">
        <f>ROUND(CP43,2)</f>
        <v>22690.639999999999</v>
      </c>
      <c r="P43" s="2">
        <f>SUMIF(SmtRes!AQ37:'SmtRes'!AQ40,"=1",SmtRes!DF37:'SmtRes'!DF40)</f>
        <v>0</v>
      </c>
      <c r="Q43" s="2">
        <f>SUMIF(SmtRes!AQ37:'SmtRes'!AQ40,"=1",SmtRes!DG37:'SmtRes'!DG40)</f>
        <v>0</v>
      </c>
      <c r="R43" s="2">
        <f>SUMIF(SmtRes!AQ37:'SmtRes'!AQ40,"=1",SmtRes!DH37:'SmtRes'!DH40)</f>
        <v>0</v>
      </c>
      <c r="S43" s="2">
        <f>SUMIF(SmtRes!AQ37:'SmtRes'!AQ40,"=1",SmtRes!DI37:'SmtRes'!DI40)</f>
        <v>22690.639999999999</v>
      </c>
      <c r="T43" s="2">
        <f t="shared" si="14"/>
        <v>0</v>
      </c>
      <c r="U43" s="2">
        <f>SUMIF(SmtRes!AQ37:'SmtRes'!AQ40,"=1",SmtRes!CV37:'SmtRes'!CV40)</f>
        <v>34.090000000000003</v>
      </c>
      <c r="V43" s="2">
        <f>SUMIF(SmtRes!AQ37:'SmtRes'!AQ40,"=1",SmtRes!CW37:'SmtRes'!CW40)</f>
        <v>0</v>
      </c>
      <c r="W43" s="2">
        <f t="shared" si="15"/>
        <v>0</v>
      </c>
      <c r="X43" s="2">
        <f t="shared" si="16"/>
        <v>20194.669999999998</v>
      </c>
      <c r="Y43" s="2">
        <f t="shared" si="17"/>
        <v>9983.8799999999992</v>
      </c>
      <c r="Z43" s="2"/>
      <c r="AA43" s="2">
        <v>92678453</v>
      </c>
      <c r="AB43" s="2">
        <f t="shared" si="18"/>
        <v>3241.5207</v>
      </c>
      <c r="AC43" s="2">
        <f>ROUND((0),6)</f>
        <v>0</v>
      </c>
      <c r="AD43" s="2">
        <f>ROUND((((0)-(0))+AE43),6)</f>
        <v>0</v>
      </c>
      <c r="AE43" s="2">
        <f>ROUND((0),6)</f>
        <v>0</v>
      </c>
      <c r="AF43" s="2">
        <f>ROUND((SUM(SmtRes!BT37:'SmtRes'!BT40)),6)</f>
        <v>3241.5207</v>
      </c>
      <c r="AG43" s="2">
        <f t="shared" si="19"/>
        <v>0</v>
      </c>
      <c r="AH43" s="2">
        <f>(SUM(SmtRes!BU37:'SmtRes'!BU40))</f>
        <v>4.87</v>
      </c>
      <c r="AI43" s="2">
        <f>(0)</f>
        <v>0</v>
      </c>
      <c r="AJ43" s="2">
        <f t="shared" si="20"/>
        <v>0</v>
      </c>
      <c r="AK43" s="2">
        <v>3241.5207</v>
      </c>
      <c r="AL43" s="2">
        <v>0</v>
      </c>
      <c r="AM43" s="2">
        <v>0</v>
      </c>
      <c r="AN43" s="2">
        <v>0</v>
      </c>
      <c r="AO43" s="2">
        <v>3241.5207</v>
      </c>
      <c r="AP43" s="2">
        <v>0</v>
      </c>
      <c r="AQ43" s="2">
        <v>4.87</v>
      </c>
      <c r="AR43" s="2">
        <v>0</v>
      </c>
      <c r="AS43" s="2">
        <v>0</v>
      </c>
      <c r="AT43" s="2">
        <v>89</v>
      </c>
      <c r="AU43" s="2">
        <v>44</v>
      </c>
      <c r="AV43" s="2">
        <v>1</v>
      </c>
      <c r="AW43" s="2">
        <v>1</v>
      </c>
      <c r="AX43" s="2"/>
      <c r="AY43" s="2"/>
      <c r="AZ43" s="2">
        <v>1</v>
      </c>
      <c r="BA43" s="2">
        <v>1</v>
      </c>
      <c r="BB43" s="2">
        <v>1</v>
      </c>
      <c r="BC43" s="2">
        <v>1</v>
      </c>
      <c r="BD43" s="2" t="s">
        <v>3</v>
      </c>
      <c r="BE43" s="2" t="s">
        <v>3</v>
      </c>
      <c r="BF43" s="2" t="s">
        <v>3</v>
      </c>
      <c r="BG43" s="2" t="s">
        <v>3</v>
      </c>
      <c r="BH43" s="2">
        <v>0</v>
      </c>
      <c r="BI43" s="2">
        <v>2</v>
      </c>
      <c r="BJ43" s="2" t="s">
        <v>68</v>
      </c>
      <c r="BK43" s="2"/>
      <c r="BL43" s="2"/>
      <c r="BM43" s="2">
        <v>141001</v>
      </c>
      <c r="BN43" s="2">
        <v>0</v>
      </c>
      <c r="BO43" s="2" t="s">
        <v>3</v>
      </c>
      <c r="BP43" s="2">
        <v>0</v>
      </c>
      <c r="BQ43" s="2">
        <v>3</v>
      </c>
      <c r="BR43" s="2">
        <v>0</v>
      </c>
      <c r="BS43" s="2">
        <v>1</v>
      </c>
      <c r="BT43" s="2">
        <v>1</v>
      </c>
      <c r="BU43" s="2">
        <v>1</v>
      </c>
      <c r="BV43" s="2">
        <v>1</v>
      </c>
      <c r="BW43" s="2">
        <v>1</v>
      </c>
      <c r="BX43" s="2">
        <v>1</v>
      </c>
      <c r="BY43" s="2" t="s">
        <v>3</v>
      </c>
      <c r="BZ43" s="2">
        <v>89</v>
      </c>
      <c r="CA43" s="2">
        <v>44</v>
      </c>
      <c r="CB43" s="2" t="s">
        <v>3</v>
      </c>
      <c r="CC43" s="2"/>
      <c r="CD43" s="2"/>
      <c r="CE43" s="2">
        <v>0</v>
      </c>
      <c r="CF43" s="2">
        <v>0</v>
      </c>
      <c r="CG43" s="2">
        <v>0</v>
      </c>
      <c r="CH43" s="2"/>
      <c r="CI43" s="2"/>
      <c r="CJ43" s="2"/>
      <c r="CK43" s="2"/>
      <c r="CL43" s="2"/>
      <c r="CM43" s="2">
        <v>0</v>
      </c>
      <c r="CN43" s="2" t="s">
        <v>3</v>
      </c>
      <c r="CO43" s="2">
        <v>0</v>
      </c>
      <c r="CP43" s="2">
        <f>(P43+Q43+S43+R43)</f>
        <v>22690.639999999999</v>
      </c>
      <c r="CQ43" s="2">
        <f>SUMIF(SmtRes!AQ37:'SmtRes'!AQ40,"=1",SmtRes!AA37:'SmtRes'!AA40)</f>
        <v>0</v>
      </c>
      <c r="CR43" s="2">
        <f>SUMIF(SmtRes!AQ37:'SmtRes'!AQ40,"=1",SmtRes!AB37:'SmtRes'!AB40)</f>
        <v>0</v>
      </c>
      <c r="CS43" s="2">
        <f>SUMIF(SmtRes!AQ37:'SmtRes'!AQ40,"=1",SmtRes!AC37:'SmtRes'!AC40)</f>
        <v>0</v>
      </c>
      <c r="CT43" s="2">
        <f>SUMIF(SmtRes!AQ37:'SmtRes'!AQ40,"=1",SmtRes!AD37:'SmtRes'!AD40)</f>
        <v>665.61</v>
      </c>
      <c r="CU43" s="2">
        <f>AG43</f>
        <v>0</v>
      </c>
      <c r="CV43" s="2">
        <f>SUMIF(SmtRes!AQ37:'SmtRes'!AQ40,"=1",SmtRes!BU37:'SmtRes'!BU40)</f>
        <v>4.87</v>
      </c>
      <c r="CW43" s="2">
        <f>SUMIF(SmtRes!AQ37:'SmtRes'!AQ40,"=1",SmtRes!BV37:'SmtRes'!BV40)</f>
        <v>0</v>
      </c>
      <c r="CX43" s="2">
        <f>AJ43</f>
        <v>0</v>
      </c>
      <c r="CY43" s="2">
        <f>(((S43+R43)*AT43)/100)</f>
        <v>20194.669600000001</v>
      </c>
      <c r="CZ43" s="2">
        <f>(((S43+R43)*AU43)/100)</f>
        <v>9983.8815999999988</v>
      </c>
      <c r="DA43" s="2"/>
      <c r="DB43" s="2"/>
      <c r="DC43" s="2" t="s">
        <v>3</v>
      </c>
      <c r="DD43" s="2" t="s">
        <v>3</v>
      </c>
      <c r="DE43" s="2" t="s">
        <v>3</v>
      </c>
      <c r="DF43" s="2" t="s">
        <v>3</v>
      </c>
      <c r="DG43" s="2" t="s">
        <v>3</v>
      </c>
      <c r="DH43" s="2" t="s">
        <v>3</v>
      </c>
      <c r="DI43" s="2" t="s">
        <v>3</v>
      </c>
      <c r="DJ43" s="2" t="s">
        <v>3</v>
      </c>
      <c r="DK43" s="2" t="s">
        <v>3</v>
      </c>
      <c r="DL43" s="2" t="s">
        <v>3</v>
      </c>
      <c r="DM43" s="2" t="s">
        <v>3</v>
      </c>
      <c r="DN43" s="2">
        <v>0</v>
      </c>
      <c r="DO43" s="2">
        <v>0</v>
      </c>
      <c r="DP43" s="2">
        <v>1</v>
      </c>
      <c r="DQ43" s="2">
        <v>1</v>
      </c>
      <c r="DR43" s="2"/>
      <c r="DS43" s="2"/>
      <c r="DT43" s="2"/>
      <c r="DU43" s="2">
        <v>1013</v>
      </c>
      <c r="DV43" s="2" t="s">
        <v>18</v>
      </c>
      <c r="DW43" s="2" t="s">
        <v>18</v>
      </c>
      <c r="DX43" s="2">
        <v>1</v>
      </c>
      <c r="DY43" s="2"/>
      <c r="DZ43" s="2" t="s">
        <v>3</v>
      </c>
      <c r="EA43" s="2" t="s">
        <v>3</v>
      </c>
      <c r="EB43" s="2" t="s">
        <v>3</v>
      </c>
      <c r="EC43" s="2" t="s">
        <v>3</v>
      </c>
      <c r="ED43" s="2"/>
      <c r="EE43" s="2">
        <v>91082123</v>
      </c>
      <c r="EF43" s="2">
        <v>3</v>
      </c>
      <c r="EG43" s="2" t="s">
        <v>20</v>
      </c>
      <c r="EH43" s="2">
        <v>104</v>
      </c>
      <c r="EI43" s="2" t="s">
        <v>21</v>
      </c>
      <c r="EJ43" s="2">
        <v>2</v>
      </c>
      <c r="EK43" s="2">
        <v>141001</v>
      </c>
      <c r="EL43" s="2" t="s">
        <v>21</v>
      </c>
      <c r="EM43" s="2" t="s">
        <v>22</v>
      </c>
      <c r="EN43" s="2"/>
      <c r="EO43" s="2" t="s">
        <v>3</v>
      </c>
      <c r="EP43" s="2"/>
      <c r="EQ43" s="2">
        <v>0</v>
      </c>
      <c r="ER43" s="2">
        <v>0</v>
      </c>
      <c r="ES43" s="2">
        <v>0</v>
      </c>
      <c r="ET43" s="2">
        <v>0</v>
      </c>
      <c r="EU43" s="2">
        <v>0</v>
      </c>
      <c r="EV43" s="2">
        <v>0</v>
      </c>
      <c r="EW43" s="2">
        <v>4.87</v>
      </c>
      <c r="EX43" s="2">
        <v>0</v>
      </c>
      <c r="EY43" s="2">
        <v>0</v>
      </c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>
        <v>0</v>
      </c>
      <c r="FR43" s="2">
        <v>0</v>
      </c>
      <c r="FS43" s="2">
        <v>0</v>
      </c>
      <c r="FT43" s="2"/>
      <c r="FU43" s="2"/>
      <c r="FV43" s="2"/>
      <c r="FW43" s="2"/>
      <c r="FX43" s="2">
        <v>89</v>
      </c>
      <c r="FY43" s="2">
        <v>44</v>
      </c>
      <c r="FZ43" s="2"/>
      <c r="GA43" s="2" t="s">
        <v>3</v>
      </c>
      <c r="GB43" s="2"/>
      <c r="GC43" s="2"/>
      <c r="GD43" s="2">
        <v>1</v>
      </c>
      <c r="GE43" s="2"/>
      <c r="GF43" s="2">
        <v>1143368966</v>
      </c>
      <c r="GG43" s="2">
        <v>2</v>
      </c>
      <c r="GH43" s="2">
        <v>1</v>
      </c>
      <c r="GI43" s="2">
        <v>-2</v>
      </c>
      <c r="GJ43" s="2">
        <v>0</v>
      </c>
      <c r="GK43" s="2">
        <v>0</v>
      </c>
      <c r="GL43" s="2">
        <f t="shared" si="21"/>
        <v>0</v>
      </c>
      <c r="GM43" s="2">
        <f t="shared" si="22"/>
        <v>52869.19</v>
      </c>
      <c r="GN43" s="2">
        <f t="shared" si="23"/>
        <v>0</v>
      </c>
      <c r="GO43" s="2">
        <f t="shared" si="24"/>
        <v>52869.19</v>
      </c>
      <c r="GP43" s="2">
        <f t="shared" si="25"/>
        <v>0</v>
      </c>
      <c r="GQ43" s="2"/>
      <c r="GR43" s="2">
        <v>0</v>
      </c>
      <c r="GS43" s="2">
        <v>3</v>
      </c>
      <c r="GT43" s="2">
        <v>0</v>
      </c>
      <c r="GU43" s="2" t="s">
        <v>3</v>
      </c>
      <c r="GV43" s="2">
        <f t="shared" si="26"/>
        <v>0</v>
      </c>
      <c r="GW43" s="2">
        <v>1</v>
      </c>
      <c r="GX43" s="2">
        <f t="shared" si="27"/>
        <v>0</v>
      </c>
      <c r="GY43" s="2"/>
      <c r="GZ43" s="2"/>
      <c r="HA43" s="2">
        <v>0</v>
      </c>
      <c r="HB43" s="2">
        <v>0</v>
      </c>
      <c r="HC43" s="2">
        <f>GV43*GW43</f>
        <v>0</v>
      </c>
      <c r="HD43" s="2"/>
      <c r="HE43" s="2" t="s">
        <v>3</v>
      </c>
      <c r="HF43" s="2" t="s">
        <v>3</v>
      </c>
      <c r="HG43" s="2"/>
      <c r="HH43" s="2"/>
      <c r="HI43" s="2"/>
      <c r="HJ43" s="2"/>
      <c r="HK43" s="2"/>
      <c r="HL43" s="2"/>
      <c r="HM43" s="2" t="s">
        <v>3</v>
      </c>
      <c r="HN43" s="2" t="s">
        <v>23</v>
      </c>
      <c r="HO43" s="2" t="s">
        <v>24</v>
      </c>
      <c r="HP43" s="2" t="s">
        <v>21</v>
      </c>
      <c r="HQ43" s="2" t="s">
        <v>21</v>
      </c>
      <c r="HR43" s="2"/>
      <c r="HS43" s="2">
        <v>0</v>
      </c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>
        <v>0</v>
      </c>
      <c r="IL43" s="2"/>
      <c r="IM43" s="2"/>
      <c r="IN43" s="2"/>
      <c r="IO43" s="2"/>
      <c r="IP43" s="2"/>
      <c r="IQ43" s="2"/>
      <c r="IR43" s="2"/>
      <c r="IS43" s="2"/>
      <c r="IT43" s="2"/>
      <c r="IU43" s="2"/>
    </row>
    <row r="44" spans="1:255" x14ac:dyDescent="0.2">
      <c r="A44" s="2">
        <v>18</v>
      </c>
      <c r="B44" s="2">
        <v>1</v>
      </c>
      <c r="C44" s="2">
        <v>38</v>
      </c>
      <c r="D44" s="2"/>
      <c r="E44" s="2" t="s">
        <v>69</v>
      </c>
      <c r="F44" s="2" t="s">
        <v>25</v>
      </c>
      <c r="G44" s="2" t="s">
        <v>26</v>
      </c>
      <c r="H44" s="2" t="s">
        <v>27</v>
      </c>
      <c r="I44" s="2">
        <f>J44</f>
        <v>3</v>
      </c>
      <c r="J44" s="2">
        <v>3</v>
      </c>
      <c r="K44" s="2">
        <v>3</v>
      </c>
      <c r="L44" s="2"/>
      <c r="M44" s="2"/>
      <c r="N44" s="2"/>
      <c r="O44" s="2">
        <f>ROUND(P44,2)</f>
        <v>680.72</v>
      </c>
      <c r="P44" s="2">
        <f>ROUND(ROUND(ROUND(SUMIF(SmtRes!AQ37:'SmtRes'!AQ40,"=1",SmtRes!CU37:'SmtRes'!CU40),2),2)*I44/100,2)</f>
        <v>680.72</v>
      </c>
      <c r="Q44" s="2">
        <f>ROUND(CR44*I44,2)</f>
        <v>0</v>
      </c>
      <c r="R44" s="2">
        <f>ROUND(CS44*I44,2)</f>
        <v>0</v>
      </c>
      <c r="S44" s="2">
        <f>ROUND(CT44*I44,2)</f>
        <v>0</v>
      </c>
      <c r="T44" s="2">
        <f t="shared" si="14"/>
        <v>0</v>
      </c>
      <c r="U44" s="2">
        <f>ROUND(CV44*I44,7)</f>
        <v>0</v>
      </c>
      <c r="V44" s="2">
        <f>ROUND(CW44*I44,7)</f>
        <v>0</v>
      </c>
      <c r="W44" s="2">
        <f t="shared" si="15"/>
        <v>0</v>
      </c>
      <c r="X44" s="2">
        <f t="shared" si="16"/>
        <v>0</v>
      </c>
      <c r="Y44" s="2">
        <f t="shared" si="17"/>
        <v>0</v>
      </c>
      <c r="Z44" s="2"/>
      <c r="AA44" s="2">
        <v>92678453</v>
      </c>
      <c r="AB44" s="2">
        <f t="shared" si="18"/>
        <v>0</v>
      </c>
      <c r="AC44" s="2">
        <f>ROUND((ES44),6)</f>
        <v>0</v>
      </c>
      <c r="AD44" s="2">
        <f>ROUND((((ET44)-(EU44))+AE44),6)</f>
        <v>0</v>
      </c>
      <c r="AE44" s="2">
        <f t="shared" ref="AE44:AF46" si="34">ROUND((EU44),6)</f>
        <v>0</v>
      </c>
      <c r="AF44" s="2">
        <f t="shared" si="34"/>
        <v>0</v>
      </c>
      <c r="AG44" s="2">
        <f t="shared" si="19"/>
        <v>0</v>
      </c>
      <c r="AH44" s="2">
        <f t="shared" ref="AH44:AI46" si="35">(EW44)</f>
        <v>0</v>
      </c>
      <c r="AI44" s="2">
        <f t="shared" si="35"/>
        <v>0</v>
      </c>
      <c r="AJ44" s="2">
        <f t="shared" si="20"/>
        <v>0</v>
      </c>
      <c r="AK44" s="2">
        <v>0</v>
      </c>
      <c r="AL44" s="2">
        <v>0</v>
      </c>
      <c r="AM44" s="2">
        <v>0</v>
      </c>
      <c r="AN44" s="2">
        <v>0</v>
      </c>
      <c r="AO44" s="2">
        <v>0</v>
      </c>
      <c r="AP44" s="2">
        <v>0</v>
      </c>
      <c r="AQ44" s="2">
        <v>0</v>
      </c>
      <c r="AR44" s="2">
        <v>0</v>
      </c>
      <c r="AS44" s="2">
        <v>0</v>
      </c>
      <c r="AT44" s="2">
        <v>89</v>
      </c>
      <c r="AU44" s="2">
        <v>44</v>
      </c>
      <c r="AV44" s="2">
        <v>1</v>
      </c>
      <c r="AW44" s="2">
        <v>1</v>
      </c>
      <c r="AX44" s="2"/>
      <c r="AY44" s="2"/>
      <c r="AZ44" s="2">
        <v>1</v>
      </c>
      <c r="BA44" s="2">
        <v>1</v>
      </c>
      <c r="BB44" s="2">
        <v>1</v>
      </c>
      <c r="BC44" s="2">
        <v>1</v>
      </c>
      <c r="BD44" s="2" t="s">
        <v>3</v>
      </c>
      <c r="BE44" s="2" t="s">
        <v>3</v>
      </c>
      <c r="BF44" s="2" t="s">
        <v>3</v>
      </c>
      <c r="BG44" s="2" t="s">
        <v>3</v>
      </c>
      <c r="BH44" s="2">
        <v>3</v>
      </c>
      <c r="BI44" s="2">
        <v>2</v>
      </c>
      <c r="BJ44" s="2" t="s">
        <v>3</v>
      </c>
      <c r="BK44" s="2"/>
      <c r="BL44" s="2"/>
      <c r="BM44" s="2">
        <v>141001</v>
      </c>
      <c r="BN44" s="2">
        <v>0</v>
      </c>
      <c r="BO44" s="2" t="s">
        <v>3</v>
      </c>
      <c r="BP44" s="2">
        <v>0</v>
      </c>
      <c r="BQ44" s="2">
        <v>3</v>
      </c>
      <c r="BR44" s="2">
        <v>0</v>
      </c>
      <c r="BS44" s="2">
        <v>1</v>
      </c>
      <c r="BT44" s="2">
        <v>1</v>
      </c>
      <c r="BU44" s="2">
        <v>1</v>
      </c>
      <c r="BV44" s="2">
        <v>1</v>
      </c>
      <c r="BW44" s="2">
        <v>1</v>
      </c>
      <c r="BX44" s="2">
        <v>1</v>
      </c>
      <c r="BY44" s="2" t="s">
        <v>3</v>
      </c>
      <c r="BZ44" s="2">
        <v>89</v>
      </c>
      <c r="CA44" s="2">
        <v>44</v>
      </c>
      <c r="CB44" s="2" t="s">
        <v>3</v>
      </c>
      <c r="CC44" s="2"/>
      <c r="CD44" s="2"/>
      <c r="CE44" s="2">
        <v>0</v>
      </c>
      <c r="CF44" s="2">
        <v>0</v>
      </c>
      <c r="CG44" s="2">
        <v>0</v>
      </c>
      <c r="CH44" s="2"/>
      <c r="CI44" s="2"/>
      <c r="CJ44" s="2"/>
      <c r="CK44" s="2"/>
      <c r="CL44" s="2"/>
      <c r="CM44" s="2">
        <v>0</v>
      </c>
      <c r="CN44" s="2" t="s">
        <v>3</v>
      </c>
      <c r="CO44" s="2">
        <v>0</v>
      </c>
      <c r="CP44" s="2">
        <f>0</f>
        <v>0</v>
      </c>
      <c r="CQ44" s="2">
        <f>0</f>
        <v>0</v>
      </c>
      <c r="CR44" s="2">
        <f>0</f>
        <v>0</v>
      </c>
      <c r="CS44" s="2">
        <f>0</f>
        <v>0</v>
      </c>
      <c r="CT44" s="2">
        <f>0</f>
        <v>0</v>
      </c>
      <c r="CU44" s="2">
        <f>0</f>
        <v>0</v>
      </c>
      <c r="CV44" s="2">
        <f>0</f>
        <v>0</v>
      </c>
      <c r="CW44" s="2">
        <f>0</f>
        <v>0</v>
      </c>
      <c r="CX44" s="2">
        <f>0</f>
        <v>0</v>
      </c>
      <c r="CY44" s="2">
        <f>0</f>
        <v>0</v>
      </c>
      <c r="CZ44" s="2">
        <f>0</f>
        <v>0</v>
      </c>
      <c r="DA44" s="2"/>
      <c r="DB44" s="2"/>
      <c r="DC44" s="2" t="s">
        <v>3</v>
      </c>
      <c r="DD44" s="2" t="s">
        <v>3</v>
      </c>
      <c r="DE44" s="2" t="s">
        <v>3</v>
      </c>
      <c r="DF44" s="2" t="s">
        <v>3</v>
      </c>
      <c r="DG44" s="2" t="s">
        <v>3</v>
      </c>
      <c r="DH44" s="2" t="s">
        <v>3</v>
      </c>
      <c r="DI44" s="2" t="s">
        <v>3</v>
      </c>
      <c r="DJ44" s="2" t="s">
        <v>3</v>
      </c>
      <c r="DK44" s="2" t="s">
        <v>3</v>
      </c>
      <c r="DL44" s="2" t="s">
        <v>3</v>
      </c>
      <c r="DM44" s="2" t="s">
        <v>3</v>
      </c>
      <c r="DN44" s="2">
        <v>0</v>
      </c>
      <c r="DO44" s="2">
        <v>0</v>
      </c>
      <c r="DP44" s="2">
        <v>1</v>
      </c>
      <c r="DQ44" s="2">
        <v>1</v>
      </c>
      <c r="DR44" s="2"/>
      <c r="DS44" s="2"/>
      <c r="DT44" s="2"/>
      <c r="DU44" s="2">
        <v>1013</v>
      </c>
      <c r="DV44" s="2" t="s">
        <v>27</v>
      </c>
      <c r="DW44" s="2" t="s">
        <v>27</v>
      </c>
      <c r="DX44" s="2">
        <v>1</v>
      </c>
      <c r="DY44" s="2"/>
      <c r="DZ44" s="2" t="s">
        <v>3</v>
      </c>
      <c r="EA44" s="2" t="s">
        <v>3</v>
      </c>
      <c r="EB44" s="2" t="s">
        <v>3</v>
      </c>
      <c r="EC44" s="2" t="s">
        <v>3</v>
      </c>
      <c r="ED44" s="2"/>
      <c r="EE44" s="2">
        <v>91082123</v>
      </c>
      <c r="EF44" s="2">
        <v>3</v>
      </c>
      <c r="EG44" s="2" t="s">
        <v>20</v>
      </c>
      <c r="EH44" s="2">
        <v>104</v>
      </c>
      <c r="EI44" s="2" t="s">
        <v>21</v>
      </c>
      <c r="EJ44" s="2">
        <v>2</v>
      </c>
      <c r="EK44" s="2">
        <v>141001</v>
      </c>
      <c r="EL44" s="2" t="s">
        <v>21</v>
      </c>
      <c r="EM44" s="2" t="s">
        <v>22</v>
      </c>
      <c r="EN44" s="2"/>
      <c r="EO44" s="2" t="s">
        <v>3</v>
      </c>
      <c r="EP44" s="2"/>
      <c r="EQ44" s="2">
        <v>0</v>
      </c>
      <c r="ER44" s="2">
        <v>0</v>
      </c>
      <c r="ES44" s="2">
        <v>0</v>
      </c>
      <c r="ET44" s="2">
        <v>0</v>
      </c>
      <c r="EU44" s="2">
        <v>0</v>
      </c>
      <c r="EV44" s="2">
        <v>0</v>
      </c>
      <c r="EW44" s="2">
        <v>0</v>
      </c>
      <c r="EX44" s="2">
        <v>0</v>
      </c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>
        <v>0</v>
      </c>
      <c r="FR44" s="2">
        <v>0</v>
      </c>
      <c r="FS44" s="2">
        <v>0</v>
      </c>
      <c r="FT44" s="2"/>
      <c r="FU44" s="2"/>
      <c r="FV44" s="2"/>
      <c r="FW44" s="2"/>
      <c r="FX44" s="2">
        <v>89</v>
      </c>
      <c r="FY44" s="2">
        <v>44</v>
      </c>
      <c r="FZ44" s="2"/>
      <c r="GA44" s="2" t="s">
        <v>3</v>
      </c>
      <c r="GB44" s="2"/>
      <c r="GC44" s="2"/>
      <c r="GD44" s="2">
        <v>1</v>
      </c>
      <c r="GE44" s="2"/>
      <c r="GF44" s="2">
        <v>-152123987</v>
      </c>
      <c r="GG44" s="2">
        <v>2</v>
      </c>
      <c r="GH44" s="2">
        <v>1</v>
      </c>
      <c r="GI44" s="2">
        <v>-2</v>
      </c>
      <c r="GJ44" s="2">
        <v>0</v>
      </c>
      <c r="GK44" s="2">
        <v>0</v>
      </c>
      <c r="GL44" s="2">
        <f t="shared" si="21"/>
        <v>0</v>
      </c>
      <c r="GM44" s="2">
        <f t="shared" si="22"/>
        <v>680.72</v>
      </c>
      <c r="GN44" s="2">
        <f t="shared" si="23"/>
        <v>0</v>
      </c>
      <c r="GO44" s="2">
        <f t="shared" si="24"/>
        <v>680.72</v>
      </c>
      <c r="GP44" s="2">
        <f t="shared" si="25"/>
        <v>0</v>
      </c>
      <c r="GQ44" s="2"/>
      <c r="GR44" s="2">
        <v>0</v>
      </c>
      <c r="GS44" s="2">
        <v>3</v>
      </c>
      <c r="GT44" s="2">
        <v>0</v>
      </c>
      <c r="GU44" s="2" t="s">
        <v>3</v>
      </c>
      <c r="GV44" s="2">
        <f t="shared" si="26"/>
        <v>0</v>
      </c>
      <c r="GW44" s="2">
        <v>1</v>
      </c>
      <c r="GX44" s="2">
        <f t="shared" si="27"/>
        <v>0</v>
      </c>
      <c r="GY44" s="2"/>
      <c r="GZ44" s="2"/>
      <c r="HA44" s="2">
        <v>0</v>
      </c>
      <c r="HB44" s="2">
        <v>0</v>
      </c>
      <c r="HC44" s="2">
        <f>0</f>
        <v>0</v>
      </c>
      <c r="HD44" s="2"/>
      <c r="HE44" s="2" t="s">
        <v>3</v>
      </c>
      <c r="HF44" s="2" t="s">
        <v>3</v>
      </c>
      <c r="HG44" s="2"/>
      <c r="HH44" s="2"/>
      <c r="HI44" s="2"/>
      <c r="HJ44" s="2"/>
      <c r="HK44" s="2"/>
      <c r="HL44" s="2"/>
      <c r="HM44" s="2" t="s">
        <v>3</v>
      </c>
      <c r="HN44" s="2" t="s">
        <v>23</v>
      </c>
      <c r="HO44" s="2" t="s">
        <v>24</v>
      </c>
      <c r="HP44" s="2" t="s">
        <v>21</v>
      </c>
      <c r="HQ44" s="2" t="s">
        <v>21</v>
      </c>
      <c r="HR44" s="2"/>
      <c r="HS44" s="2">
        <v>0</v>
      </c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>
        <v>0</v>
      </c>
      <c r="IL44" s="2"/>
      <c r="IM44" s="2"/>
      <c r="IN44" s="2"/>
      <c r="IO44" s="2"/>
      <c r="IP44" s="2"/>
      <c r="IQ44" s="2"/>
      <c r="IR44" s="2"/>
      <c r="IS44" s="2"/>
      <c r="IT44" s="2"/>
      <c r="IU44" s="2"/>
    </row>
    <row r="45" spans="1:255" x14ac:dyDescent="0.2">
      <c r="A45" s="2">
        <v>18</v>
      </c>
      <c r="B45" s="2">
        <v>1</v>
      </c>
      <c r="C45" s="2">
        <v>39</v>
      </c>
      <c r="D45" s="2"/>
      <c r="E45" s="2" t="s">
        <v>70</v>
      </c>
      <c r="F45" s="2" t="s">
        <v>33</v>
      </c>
      <c r="G45" s="2" t="s">
        <v>58</v>
      </c>
      <c r="H45" s="2" t="s">
        <v>18</v>
      </c>
      <c r="I45" s="2">
        <f>I43*J45</f>
        <v>7</v>
      </c>
      <c r="J45" s="2">
        <v>1</v>
      </c>
      <c r="K45" s="2">
        <v>1</v>
      </c>
      <c r="L45" s="2"/>
      <c r="M45" s="2"/>
      <c r="N45" s="2"/>
      <c r="O45" s="2">
        <f>ROUND(CP45,2)</f>
        <v>43333.36</v>
      </c>
      <c r="P45" s="2">
        <f>ROUND(CQ45*I45,2)</f>
        <v>43333.36</v>
      </c>
      <c r="Q45" s="2">
        <f>ROUND(CR45*I45,2)</f>
        <v>0</v>
      </c>
      <c r="R45" s="2">
        <f>ROUND(CS45*I45,2)</f>
        <v>0</v>
      </c>
      <c r="S45" s="2">
        <f>ROUND(CT45*I45,2)</f>
        <v>0</v>
      </c>
      <c r="T45" s="2">
        <f t="shared" si="14"/>
        <v>0</v>
      </c>
      <c r="U45" s="2">
        <f>ROUND(CV45*I45,7)</f>
        <v>0</v>
      </c>
      <c r="V45" s="2">
        <f>ROUND(CW45*I45,7)</f>
        <v>0</v>
      </c>
      <c r="W45" s="2">
        <f t="shared" si="15"/>
        <v>0</v>
      </c>
      <c r="X45" s="2">
        <f t="shared" si="16"/>
        <v>0</v>
      </c>
      <c r="Y45" s="2">
        <f t="shared" si="17"/>
        <v>0</v>
      </c>
      <c r="Z45" s="2"/>
      <c r="AA45" s="2">
        <v>92678453</v>
      </c>
      <c r="AB45" s="2">
        <f t="shared" si="18"/>
        <v>6190.48</v>
      </c>
      <c r="AC45" s="2">
        <f>ROUND((ES45),6)</f>
        <v>6190.48</v>
      </c>
      <c r="AD45" s="2">
        <f>ROUND((((ET45)-(EU45))+AE45),6)</f>
        <v>0</v>
      </c>
      <c r="AE45" s="2">
        <f t="shared" si="34"/>
        <v>0</v>
      </c>
      <c r="AF45" s="2">
        <f t="shared" si="34"/>
        <v>0</v>
      </c>
      <c r="AG45" s="2">
        <f t="shared" si="19"/>
        <v>0</v>
      </c>
      <c r="AH45" s="2">
        <f t="shared" si="35"/>
        <v>0</v>
      </c>
      <c r="AI45" s="2">
        <f t="shared" si="35"/>
        <v>0</v>
      </c>
      <c r="AJ45" s="2">
        <f t="shared" si="20"/>
        <v>0</v>
      </c>
      <c r="AK45" s="2">
        <v>6190.48</v>
      </c>
      <c r="AL45" s="2">
        <v>6190.48</v>
      </c>
      <c r="AM45" s="2">
        <v>0</v>
      </c>
      <c r="AN45" s="2">
        <v>0</v>
      </c>
      <c r="AO45" s="2">
        <v>0</v>
      </c>
      <c r="AP45" s="2">
        <v>0</v>
      </c>
      <c r="AQ45" s="2">
        <v>0</v>
      </c>
      <c r="AR45" s="2">
        <v>0</v>
      </c>
      <c r="AS45" s="2">
        <v>0</v>
      </c>
      <c r="AT45" s="2">
        <v>0</v>
      </c>
      <c r="AU45" s="2">
        <v>44</v>
      </c>
      <c r="AV45" s="2">
        <v>1</v>
      </c>
      <c r="AW45" s="2">
        <v>1</v>
      </c>
      <c r="AX45" s="2"/>
      <c r="AY45" s="2"/>
      <c r="AZ45" s="2">
        <v>1</v>
      </c>
      <c r="BA45" s="2">
        <v>1</v>
      </c>
      <c r="BB45" s="2">
        <v>1</v>
      </c>
      <c r="BC45" s="2">
        <v>1</v>
      </c>
      <c r="BD45" s="2" t="s">
        <v>3</v>
      </c>
      <c r="BE45" s="2" t="s">
        <v>3</v>
      </c>
      <c r="BF45" s="2" t="s">
        <v>3</v>
      </c>
      <c r="BG45" s="2" t="s">
        <v>3</v>
      </c>
      <c r="BH45" s="2">
        <v>3</v>
      </c>
      <c r="BI45" s="2">
        <v>3</v>
      </c>
      <c r="BJ45" s="2" t="s">
        <v>3</v>
      </c>
      <c r="BK45" s="2"/>
      <c r="BL45" s="2"/>
      <c r="BM45" s="2">
        <v>100</v>
      </c>
      <c r="BN45" s="2">
        <v>0</v>
      </c>
      <c r="BO45" s="2" t="s">
        <v>3</v>
      </c>
      <c r="BP45" s="2">
        <v>0</v>
      </c>
      <c r="BQ45" s="2">
        <v>5</v>
      </c>
      <c r="BR45" s="2">
        <v>0</v>
      </c>
      <c r="BS45" s="2">
        <v>1</v>
      </c>
      <c r="BT45" s="2">
        <v>1</v>
      </c>
      <c r="BU45" s="2">
        <v>1</v>
      </c>
      <c r="BV45" s="2">
        <v>1</v>
      </c>
      <c r="BW45" s="2">
        <v>1</v>
      </c>
      <c r="BX45" s="2">
        <v>1</v>
      </c>
      <c r="BY45" s="2" t="s">
        <v>3</v>
      </c>
      <c r="BZ45" s="2">
        <v>89</v>
      </c>
      <c r="CA45" s="2">
        <v>44</v>
      </c>
      <c r="CB45" s="2" t="s">
        <v>3</v>
      </c>
      <c r="CC45" s="2"/>
      <c r="CD45" s="2"/>
      <c r="CE45" s="2">
        <v>0</v>
      </c>
      <c r="CF45" s="2">
        <v>0</v>
      </c>
      <c r="CG45" s="2">
        <v>0</v>
      </c>
      <c r="CH45" s="2"/>
      <c r="CI45" s="2"/>
      <c r="CJ45" s="2"/>
      <c r="CK45" s="2"/>
      <c r="CL45" s="2"/>
      <c r="CM45" s="2">
        <v>0</v>
      </c>
      <c r="CN45" s="2" t="s">
        <v>3</v>
      </c>
      <c r="CO45" s="2">
        <v>0</v>
      </c>
      <c r="CP45" s="2">
        <f>(P45+Q45+S45+R45)</f>
        <v>43333.36</v>
      </c>
      <c r="CQ45" s="2">
        <f>ROUND(AL45,2)</f>
        <v>6190.48</v>
      </c>
      <c r="CR45" s="2">
        <f>ROUND(AM45,2)</f>
        <v>0</v>
      </c>
      <c r="CS45" s="2">
        <f>ROUND(AN45*BS45,2)</f>
        <v>0</v>
      </c>
      <c r="CT45" s="2">
        <f>ROUND(AO45*BA45,2)</f>
        <v>0</v>
      </c>
      <c r="CU45" s="2">
        <f t="shared" ref="CU45:CX46" si="36">AG45</f>
        <v>0</v>
      </c>
      <c r="CV45" s="2">
        <f t="shared" si="36"/>
        <v>0</v>
      </c>
      <c r="CW45" s="2">
        <f t="shared" si="36"/>
        <v>0</v>
      </c>
      <c r="CX45" s="2">
        <f t="shared" si="36"/>
        <v>0</v>
      </c>
      <c r="CY45" s="2">
        <f>0</f>
        <v>0</v>
      </c>
      <c r="CZ45" s="2">
        <f>0</f>
        <v>0</v>
      </c>
      <c r="DA45" s="2"/>
      <c r="DB45" s="2"/>
      <c r="DC45" s="2" t="s">
        <v>3</v>
      </c>
      <c r="DD45" s="2" t="s">
        <v>3</v>
      </c>
      <c r="DE45" s="2" t="s">
        <v>3</v>
      </c>
      <c r="DF45" s="2" t="s">
        <v>3</v>
      </c>
      <c r="DG45" s="2" t="s">
        <v>3</v>
      </c>
      <c r="DH45" s="2" t="s">
        <v>3</v>
      </c>
      <c r="DI45" s="2" t="s">
        <v>3</v>
      </c>
      <c r="DJ45" s="2" t="s">
        <v>3</v>
      </c>
      <c r="DK45" s="2" t="s">
        <v>3</v>
      </c>
      <c r="DL45" s="2" t="s">
        <v>3</v>
      </c>
      <c r="DM45" s="2" t="s">
        <v>3</v>
      </c>
      <c r="DN45" s="2">
        <v>0</v>
      </c>
      <c r="DO45" s="2">
        <v>0</v>
      </c>
      <c r="DP45" s="2">
        <v>1</v>
      </c>
      <c r="DQ45" s="2">
        <v>1</v>
      </c>
      <c r="DR45" s="2"/>
      <c r="DS45" s="2"/>
      <c r="DT45" s="2"/>
      <c r="DU45" s="2">
        <v>1013</v>
      </c>
      <c r="DV45" s="2" t="s">
        <v>18</v>
      </c>
      <c r="DW45" s="2" t="s">
        <v>18</v>
      </c>
      <c r="DX45" s="2">
        <v>1</v>
      </c>
      <c r="DY45" s="2"/>
      <c r="DZ45" s="2" t="s">
        <v>3</v>
      </c>
      <c r="EA45" s="2" t="s">
        <v>3</v>
      </c>
      <c r="EB45" s="2" t="s">
        <v>3</v>
      </c>
      <c r="EC45" s="2" t="s">
        <v>3</v>
      </c>
      <c r="ED45" s="2"/>
      <c r="EE45" s="2">
        <v>91082373</v>
      </c>
      <c r="EF45" s="2">
        <v>5</v>
      </c>
      <c r="EG45" s="2" t="s">
        <v>36</v>
      </c>
      <c r="EH45" s="2">
        <v>0</v>
      </c>
      <c r="EI45" s="2" t="s">
        <v>3</v>
      </c>
      <c r="EJ45" s="2">
        <v>3</v>
      </c>
      <c r="EK45" s="2">
        <v>100</v>
      </c>
      <c r="EL45" s="2" t="s">
        <v>37</v>
      </c>
      <c r="EM45" s="2" t="s">
        <v>38</v>
      </c>
      <c r="EN45" s="2"/>
      <c r="EO45" s="2" t="s">
        <v>3</v>
      </c>
      <c r="EP45" s="2"/>
      <c r="EQ45" s="2">
        <v>0</v>
      </c>
      <c r="ER45" s="2">
        <v>6190.48</v>
      </c>
      <c r="ES45" s="2">
        <v>6190.48</v>
      </c>
      <c r="ET45" s="2">
        <v>0</v>
      </c>
      <c r="EU45" s="2">
        <v>0</v>
      </c>
      <c r="EV45" s="2">
        <v>0</v>
      </c>
      <c r="EW45" s="2">
        <v>0</v>
      </c>
      <c r="EX45" s="2">
        <v>0</v>
      </c>
      <c r="EY45" s="2"/>
      <c r="EZ45" s="2">
        <v>5</v>
      </c>
      <c r="FA45" s="2"/>
      <c r="FB45" s="2"/>
      <c r="FC45" s="2">
        <v>1</v>
      </c>
      <c r="FD45" s="2">
        <v>18</v>
      </c>
      <c r="FE45" s="2"/>
      <c r="FF45" s="2">
        <v>7552.38</v>
      </c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>
        <v>0</v>
      </c>
      <c r="FR45" s="2">
        <f>P45</f>
        <v>43333.36</v>
      </c>
      <c r="FS45" s="2">
        <v>0</v>
      </c>
      <c r="FT45" s="2"/>
      <c r="FU45" s="2"/>
      <c r="FV45" s="2"/>
      <c r="FW45" s="2"/>
      <c r="FX45" s="2">
        <v>89</v>
      </c>
      <c r="FY45" s="2">
        <v>44</v>
      </c>
      <c r="FZ45" s="2"/>
      <c r="GA45" s="2" t="s">
        <v>71</v>
      </c>
      <c r="GB45" s="2"/>
      <c r="GC45" s="2"/>
      <c r="GD45" s="2">
        <v>1</v>
      </c>
      <c r="GE45" s="2"/>
      <c r="GF45" s="2">
        <v>-1138193966</v>
      </c>
      <c r="GG45" s="2">
        <v>2</v>
      </c>
      <c r="GH45" s="2">
        <v>3</v>
      </c>
      <c r="GI45" s="2">
        <v>-2</v>
      </c>
      <c r="GJ45" s="2">
        <v>0</v>
      </c>
      <c r="GK45" s="2">
        <v>0</v>
      </c>
      <c r="GL45" s="2">
        <f t="shared" si="21"/>
        <v>0</v>
      </c>
      <c r="GM45" s="2">
        <f t="shared" si="22"/>
        <v>43333.36</v>
      </c>
      <c r="GN45" s="2">
        <f t="shared" si="23"/>
        <v>0</v>
      </c>
      <c r="GO45" s="2">
        <f t="shared" si="24"/>
        <v>0</v>
      </c>
      <c r="GP45" s="2">
        <f t="shared" si="25"/>
        <v>0</v>
      </c>
      <c r="GQ45" s="2"/>
      <c r="GR45" s="2">
        <v>1</v>
      </c>
      <c r="GS45" s="2">
        <v>1</v>
      </c>
      <c r="GT45" s="2">
        <v>0</v>
      </c>
      <c r="GU45" s="2" t="s">
        <v>3</v>
      </c>
      <c r="GV45" s="2">
        <f t="shared" si="26"/>
        <v>0</v>
      </c>
      <c r="GW45" s="2">
        <v>1</v>
      </c>
      <c r="GX45" s="2">
        <f t="shared" si="27"/>
        <v>0</v>
      </c>
      <c r="GY45" s="2"/>
      <c r="GZ45" s="2"/>
      <c r="HA45" s="2">
        <v>0</v>
      </c>
      <c r="HB45" s="2">
        <v>0</v>
      </c>
      <c r="HC45" s="2">
        <f>GV45*GW45</f>
        <v>0</v>
      </c>
      <c r="HD45" s="2"/>
      <c r="HE45" s="2" t="s">
        <v>40</v>
      </c>
      <c r="HF45" s="2" t="s">
        <v>40</v>
      </c>
      <c r="HG45" s="2"/>
      <c r="HH45" s="2">
        <f>ROUND(ROUND(AL45,2)*I45,2)</f>
        <v>43333.36</v>
      </c>
      <c r="HI45" s="2"/>
      <c r="HJ45" s="2"/>
      <c r="HK45" s="2"/>
      <c r="HL45" s="2"/>
      <c r="HM45" s="2" t="s">
        <v>3</v>
      </c>
      <c r="HN45" s="2" t="s">
        <v>3</v>
      </c>
      <c r="HO45" s="2" t="s">
        <v>3</v>
      </c>
      <c r="HP45" s="2" t="s">
        <v>3</v>
      </c>
      <c r="HQ45" s="2" t="s">
        <v>3</v>
      </c>
      <c r="HR45" s="2"/>
      <c r="HS45" s="2">
        <v>0</v>
      </c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>
        <v>0</v>
      </c>
      <c r="IL45" s="2"/>
      <c r="IM45" s="2"/>
      <c r="IN45" s="2"/>
      <c r="IO45" s="2"/>
      <c r="IP45" s="2"/>
      <c r="IQ45" s="2"/>
      <c r="IR45" s="2"/>
      <c r="IS45" s="2"/>
      <c r="IT45" s="2"/>
      <c r="IU45" s="2"/>
    </row>
    <row r="46" spans="1:255" x14ac:dyDescent="0.2">
      <c r="A46" s="2">
        <v>18</v>
      </c>
      <c r="B46" s="2">
        <v>1</v>
      </c>
      <c r="C46" s="2">
        <v>40</v>
      </c>
      <c r="D46" s="2"/>
      <c r="E46" s="2" t="s">
        <v>72</v>
      </c>
      <c r="F46" s="2" t="s">
        <v>33</v>
      </c>
      <c r="G46" s="2" t="s">
        <v>60</v>
      </c>
      <c r="H46" s="2" t="s">
        <v>18</v>
      </c>
      <c r="I46" s="2">
        <f>I43*J46</f>
        <v>7</v>
      </c>
      <c r="J46" s="2">
        <v>1</v>
      </c>
      <c r="K46" s="2">
        <v>1</v>
      </c>
      <c r="L46" s="2"/>
      <c r="M46" s="2"/>
      <c r="N46" s="2"/>
      <c r="O46" s="2">
        <f>ROUND(CP46,2)</f>
        <v>6666.66</v>
      </c>
      <c r="P46" s="2">
        <f>ROUND(CQ46*I46,2)</f>
        <v>6666.66</v>
      </c>
      <c r="Q46" s="2">
        <f>ROUND(CR46*I46,2)</f>
        <v>0</v>
      </c>
      <c r="R46" s="2">
        <f>ROUND(CS46*I46,2)</f>
        <v>0</v>
      </c>
      <c r="S46" s="2">
        <f>ROUND(CT46*I46,2)</f>
        <v>0</v>
      </c>
      <c r="T46" s="2">
        <f t="shared" si="14"/>
        <v>0</v>
      </c>
      <c r="U46" s="2">
        <f>ROUND(CV46*I46,7)</f>
        <v>0</v>
      </c>
      <c r="V46" s="2">
        <f>ROUND(CW46*I46,7)</f>
        <v>0</v>
      </c>
      <c r="W46" s="2">
        <f t="shared" si="15"/>
        <v>0</v>
      </c>
      <c r="X46" s="2">
        <f t="shared" si="16"/>
        <v>0</v>
      </c>
      <c r="Y46" s="2">
        <f t="shared" si="17"/>
        <v>0</v>
      </c>
      <c r="Z46" s="2"/>
      <c r="AA46" s="2">
        <v>92678453</v>
      </c>
      <c r="AB46" s="2">
        <f t="shared" si="18"/>
        <v>952.38</v>
      </c>
      <c r="AC46" s="2">
        <f>ROUND((ES46),6)</f>
        <v>952.38</v>
      </c>
      <c r="AD46" s="2">
        <f>ROUND((((ET46)-(EU46))+AE46),6)</f>
        <v>0</v>
      </c>
      <c r="AE46" s="2">
        <f t="shared" si="34"/>
        <v>0</v>
      </c>
      <c r="AF46" s="2">
        <f t="shared" si="34"/>
        <v>0</v>
      </c>
      <c r="AG46" s="2">
        <f t="shared" si="19"/>
        <v>0</v>
      </c>
      <c r="AH46" s="2">
        <f t="shared" si="35"/>
        <v>0</v>
      </c>
      <c r="AI46" s="2">
        <f t="shared" si="35"/>
        <v>0</v>
      </c>
      <c r="AJ46" s="2">
        <f t="shared" si="20"/>
        <v>0</v>
      </c>
      <c r="AK46" s="2">
        <v>952.38</v>
      </c>
      <c r="AL46" s="2">
        <v>952.38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2">
        <v>0</v>
      </c>
      <c r="AU46" s="2">
        <v>44</v>
      </c>
      <c r="AV46" s="2">
        <v>1</v>
      </c>
      <c r="AW46" s="2">
        <v>1</v>
      </c>
      <c r="AX46" s="2"/>
      <c r="AY46" s="2"/>
      <c r="AZ46" s="2">
        <v>1</v>
      </c>
      <c r="BA46" s="2">
        <v>1</v>
      </c>
      <c r="BB46" s="2">
        <v>1</v>
      </c>
      <c r="BC46" s="2">
        <v>1</v>
      </c>
      <c r="BD46" s="2" t="s">
        <v>3</v>
      </c>
      <c r="BE46" s="2" t="s">
        <v>3</v>
      </c>
      <c r="BF46" s="2" t="s">
        <v>3</v>
      </c>
      <c r="BG46" s="2" t="s">
        <v>3</v>
      </c>
      <c r="BH46" s="2">
        <v>3</v>
      </c>
      <c r="BI46" s="2">
        <v>3</v>
      </c>
      <c r="BJ46" s="2" t="s">
        <v>3</v>
      </c>
      <c r="BK46" s="2"/>
      <c r="BL46" s="2"/>
      <c r="BM46" s="2">
        <v>100</v>
      </c>
      <c r="BN46" s="2">
        <v>0</v>
      </c>
      <c r="BO46" s="2" t="s">
        <v>3</v>
      </c>
      <c r="BP46" s="2">
        <v>0</v>
      </c>
      <c r="BQ46" s="2">
        <v>5</v>
      </c>
      <c r="BR46" s="2">
        <v>0</v>
      </c>
      <c r="BS46" s="2">
        <v>1</v>
      </c>
      <c r="BT46" s="2">
        <v>1</v>
      </c>
      <c r="BU46" s="2">
        <v>1</v>
      </c>
      <c r="BV46" s="2">
        <v>1</v>
      </c>
      <c r="BW46" s="2">
        <v>1</v>
      </c>
      <c r="BX46" s="2">
        <v>1</v>
      </c>
      <c r="BY46" s="2" t="s">
        <v>3</v>
      </c>
      <c r="BZ46" s="2">
        <v>89</v>
      </c>
      <c r="CA46" s="2">
        <v>44</v>
      </c>
      <c r="CB46" s="2" t="s">
        <v>3</v>
      </c>
      <c r="CC46" s="2"/>
      <c r="CD46" s="2"/>
      <c r="CE46" s="2">
        <v>0</v>
      </c>
      <c r="CF46" s="2">
        <v>0</v>
      </c>
      <c r="CG46" s="2">
        <v>0</v>
      </c>
      <c r="CH46" s="2"/>
      <c r="CI46" s="2"/>
      <c r="CJ46" s="2"/>
      <c r="CK46" s="2"/>
      <c r="CL46" s="2"/>
      <c r="CM46" s="2">
        <v>0</v>
      </c>
      <c r="CN46" s="2" t="s">
        <v>3</v>
      </c>
      <c r="CO46" s="2">
        <v>0</v>
      </c>
      <c r="CP46" s="2">
        <f>(P46+Q46+S46+R46)</f>
        <v>6666.66</v>
      </c>
      <c r="CQ46" s="2">
        <f>ROUND(AL46,2)</f>
        <v>952.38</v>
      </c>
      <c r="CR46" s="2">
        <f>ROUND(AM46,2)</f>
        <v>0</v>
      </c>
      <c r="CS46" s="2">
        <f>ROUND(AN46*BS46,2)</f>
        <v>0</v>
      </c>
      <c r="CT46" s="2">
        <f>ROUND(AO46*BA46,2)</f>
        <v>0</v>
      </c>
      <c r="CU46" s="2">
        <f t="shared" si="36"/>
        <v>0</v>
      </c>
      <c r="CV46" s="2">
        <f t="shared" si="36"/>
        <v>0</v>
      </c>
      <c r="CW46" s="2">
        <f t="shared" si="36"/>
        <v>0</v>
      </c>
      <c r="CX46" s="2">
        <f t="shared" si="36"/>
        <v>0</v>
      </c>
      <c r="CY46" s="2">
        <f>0</f>
        <v>0</v>
      </c>
      <c r="CZ46" s="2">
        <f>0</f>
        <v>0</v>
      </c>
      <c r="DA46" s="2"/>
      <c r="DB46" s="2"/>
      <c r="DC46" s="2" t="s">
        <v>3</v>
      </c>
      <c r="DD46" s="2" t="s">
        <v>3</v>
      </c>
      <c r="DE46" s="2" t="s">
        <v>3</v>
      </c>
      <c r="DF46" s="2" t="s">
        <v>3</v>
      </c>
      <c r="DG46" s="2" t="s">
        <v>3</v>
      </c>
      <c r="DH46" s="2" t="s">
        <v>3</v>
      </c>
      <c r="DI46" s="2" t="s">
        <v>3</v>
      </c>
      <c r="DJ46" s="2" t="s">
        <v>3</v>
      </c>
      <c r="DK46" s="2" t="s">
        <v>3</v>
      </c>
      <c r="DL46" s="2" t="s">
        <v>3</v>
      </c>
      <c r="DM46" s="2" t="s">
        <v>3</v>
      </c>
      <c r="DN46" s="2">
        <v>0</v>
      </c>
      <c r="DO46" s="2">
        <v>0</v>
      </c>
      <c r="DP46" s="2">
        <v>1</v>
      </c>
      <c r="DQ46" s="2">
        <v>1</v>
      </c>
      <c r="DR46" s="2"/>
      <c r="DS46" s="2"/>
      <c r="DT46" s="2"/>
      <c r="DU46" s="2">
        <v>1013</v>
      </c>
      <c r="DV46" s="2" t="s">
        <v>18</v>
      </c>
      <c r="DW46" s="2" t="s">
        <v>18</v>
      </c>
      <c r="DX46" s="2">
        <v>1</v>
      </c>
      <c r="DY46" s="2"/>
      <c r="DZ46" s="2" t="s">
        <v>3</v>
      </c>
      <c r="EA46" s="2" t="s">
        <v>3</v>
      </c>
      <c r="EB46" s="2" t="s">
        <v>3</v>
      </c>
      <c r="EC46" s="2" t="s">
        <v>3</v>
      </c>
      <c r="ED46" s="2"/>
      <c r="EE46" s="2">
        <v>91082373</v>
      </c>
      <c r="EF46" s="2">
        <v>5</v>
      </c>
      <c r="EG46" s="2" t="s">
        <v>36</v>
      </c>
      <c r="EH46" s="2">
        <v>0</v>
      </c>
      <c r="EI46" s="2" t="s">
        <v>3</v>
      </c>
      <c r="EJ46" s="2">
        <v>3</v>
      </c>
      <c r="EK46" s="2">
        <v>100</v>
      </c>
      <c r="EL46" s="2" t="s">
        <v>37</v>
      </c>
      <c r="EM46" s="2" t="s">
        <v>38</v>
      </c>
      <c r="EN46" s="2"/>
      <c r="EO46" s="2" t="s">
        <v>3</v>
      </c>
      <c r="EP46" s="2"/>
      <c r="EQ46" s="2">
        <v>0</v>
      </c>
      <c r="ER46" s="2">
        <v>952.38</v>
      </c>
      <c r="ES46" s="2">
        <v>952.38</v>
      </c>
      <c r="ET46" s="2">
        <v>0</v>
      </c>
      <c r="EU46" s="2">
        <v>0</v>
      </c>
      <c r="EV46" s="2">
        <v>0</v>
      </c>
      <c r="EW46" s="2">
        <v>0</v>
      </c>
      <c r="EX46" s="2">
        <v>0</v>
      </c>
      <c r="EY46" s="2"/>
      <c r="EZ46" s="2">
        <v>5</v>
      </c>
      <c r="FA46" s="2"/>
      <c r="FB46" s="2"/>
      <c r="FC46" s="2">
        <v>1</v>
      </c>
      <c r="FD46" s="2">
        <v>18</v>
      </c>
      <c r="FE46" s="2"/>
      <c r="FF46" s="2">
        <v>1161.9000000000001</v>
      </c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>
        <v>0</v>
      </c>
      <c r="FR46" s="2">
        <f>P46</f>
        <v>6666.66</v>
      </c>
      <c r="FS46" s="2">
        <v>0</v>
      </c>
      <c r="FT46" s="2"/>
      <c r="FU46" s="2"/>
      <c r="FV46" s="2"/>
      <c r="FW46" s="2"/>
      <c r="FX46" s="2">
        <v>89</v>
      </c>
      <c r="FY46" s="2">
        <v>44</v>
      </c>
      <c r="FZ46" s="2"/>
      <c r="GA46" s="2" t="s">
        <v>73</v>
      </c>
      <c r="GB46" s="2"/>
      <c r="GC46" s="2"/>
      <c r="GD46" s="2">
        <v>1</v>
      </c>
      <c r="GE46" s="2"/>
      <c r="GF46" s="2">
        <v>-658677130</v>
      </c>
      <c r="GG46" s="2">
        <v>2</v>
      </c>
      <c r="GH46" s="2">
        <v>3</v>
      </c>
      <c r="GI46" s="2">
        <v>-2</v>
      </c>
      <c r="GJ46" s="2">
        <v>0</v>
      </c>
      <c r="GK46" s="2">
        <v>0</v>
      </c>
      <c r="GL46" s="2">
        <f t="shared" si="21"/>
        <v>0</v>
      </c>
      <c r="GM46" s="2">
        <f t="shared" si="22"/>
        <v>6666.66</v>
      </c>
      <c r="GN46" s="2">
        <f t="shared" si="23"/>
        <v>0</v>
      </c>
      <c r="GO46" s="2">
        <f t="shared" si="24"/>
        <v>0</v>
      </c>
      <c r="GP46" s="2">
        <f t="shared" si="25"/>
        <v>0</v>
      </c>
      <c r="GQ46" s="2"/>
      <c r="GR46" s="2">
        <v>1</v>
      </c>
      <c r="GS46" s="2">
        <v>1</v>
      </c>
      <c r="GT46" s="2">
        <v>0</v>
      </c>
      <c r="GU46" s="2" t="s">
        <v>3</v>
      </c>
      <c r="GV46" s="2">
        <f t="shared" si="26"/>
        <v>0</v>
      </c>
      <c r="GW46" s="2">
        <v>1</v>
      </c>
      <c r="GX46" s="2">
        <f t="shared" si="27"/>
        <v>0</v>
      </c>
      <c r="GY46" s="2"/>
      <c r="GZ46" s="2"/>
      <c r="HA46" s="2">
        <v>0</v>
      </c>
      <c r="HB46" s="2">
        <v>0</v>
      </c>
      <c r="HC46" s="2">
        <f>GV46*GW46</f>
        <v>0</v>
      </c>
      <c r="HD46" s="2"/>
      <c r="HE46" s="2" t="s">
        <v>40</v>
      </c>
      <c r="HF46" s="2" t="s">
        <v>40</v>
      </c>
      <c r="HG46" s="2"/>
      <c r="HH46" s="2">
        <f>ROUND(ROUND(AL46,2)*I46,2)</f>
        <v>6666.66</v>
      </c>
      <c r="HI46" s="2"/>
      <c r="HJ46" s="2"/>
      <c r="HK46" s="2"/>
      <c r="HL46" s="2"/>
      <c r="HM46" s="2" t="s">
        <v>3</v>
      </c>
      <c r="HN46" s="2" t="s">
        <v>3</v>
      </c>
      <c r="HO46" s="2" t="s">
        <v>3</v>
      </c>
      <c r="HP46" s="2" t="s">
        <v>3</v>
      </c>
      <c r="HQ46" s="2" t="s">
        <v>3</v>
      </c>
      <c r="HR46" s="2"/>
      <c r="HS46" s="2">
        <v>0</v>
      </c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>
        <v>0</v>
      </c>
      <c r="IL46" s="2"/>
      <c r="IM46" s="2"/>
      <c r="IN46" s="2"/>
      <c r="IO46" s="2"/>
      <c r="IP46" s="2"/>
      <c r="IQ46" s="2"/>
      <c r="IR46" s="2"/>
      <c r="IS46" s="2"/>
      <c r="IT46" s="2"/>
      <c r="IU46" s="2"/>
    </row>
    <row r="47" spans="1:255" x14ac:dyDescent="0.2">
      <c r="A47" s="2">
        <v>17</v>
      </c>
      <c r="B47" s="2">
        <v>1</v>
      </c>
      <c r="C47" s="2">
        <f>ROW(SmtRes!A42)</f>
        <v>42</v>
      </c>
      <c r="D47" s="2">
        <f>ROW(EtalonRes!A33)</f>
        <v>33</v>
      </c>
      <c r="E47" s="2" t="s">
        <v>3</v>
      </c>
      <c r="F47" s="2" t="s">
        <v>74</v>
      </c>
      <c r="G47" s="2" t="s">
        <v>75</v>
      </c>
      <c r="H47" s="2" t="s">
        <v>18</v>
      </c>
      <c r="I47" s="2">
        <v>0</v>
      </c>
      <c r="J47" s="2">
        <v>0</v>
      </c>
      <c r="K47" s="2">
        <v>0</v>
      </c>
      <c r="L47" s="2"/>
      <c r="M47" s="2"/>
      <c r="N47" s="2"/>
      <c r="O47" s="2">
        <f>ROUND(CP47,2)</f>
        <v>0</v>
      </c>
      <c r="P47" s="2">
        <f>SUMIF(SmtRes!AQ41:'SmtRes'!AQ42,"=1",SmtRes!DF41:'SmtRes'!DF42)</f>
        <v>0</v>
      </c>
      <c r="Q47" s="2">
        <f>SUMIF(SmtRes!AQ41:'SmtRes'!AQ42,"=1",SmtRes!DG41:'SmtRes'!DG42)</f>
        <v>0</v>
      </c>
      <c r="R47" s="2">
        <f>SUMIF(SmtRes!AQ41:'SmtRes'!AQ42,"=1",SmtRes!DH41:'SmtRes'!DH42)</f>
        <v>0</v>
      </c>
      <c r="S47" s="2">
        <f>SUMIF(SmtRes!AQ41:'SmtRes'!AQ42,"=1",SmtRes!DI41:'SmtRes'!DI42)</f>
        <v>0</v>
      </c>
      <c r="T47" s="2">
        <f t="shared" si="14"/>
        <v>0</v>
      </c>
      <c r="U47" s="2">
        <f>SUMIF(SmtRes!AQ41:'SmtRes'!AQ42,"=1",SmtRes!CV41:'SmtRes'!CV42)</f>
        <v>0</v>
      </c>
      <c r="V47" s="2">
        <f>SUMIF(SmtRes!AQ41:'SmtRes'!AQ42,"=1",SmtRes!CW41:'SmtRes'!CW42)</f>
        <v>0</v>
      </c>
      <c r="W47" s="2">
        <f t="shared" si="15"/>
        <v>0</v>
      </c>
      <c r="X47" s="2">
        <f t="shared" si="16"/>
        <v>0</v>
      </c>
      <c r="Y47" s="2">
        <f t="shared" si="17"/>
        <v>0</v>
      </c>
      <c r="Z47" s="2"/>
      <c r="AA47" s="2">
        <v>-1</v>
      </c>
      <c r="AB47" s="2">
        <f t="shared" si="18"/>
        <v>3948.4094</v>
      </c>
      <c r="AC47" s="2">
        <f>ROUND((0),6)</f>
        <v>0</v>
      </c>
      <c r="AD47" s="2">
        <f>ROUND((((0)-(0))+AE47),6)</f>
        <v>0</v>
      </c>
      <c r="AE47" s="2">
        <f>ROUND((0),6)</f>
        <v>0</v>
      </c>
      <c r="AF47" s="2">
        <f>ROUND((SUM(SmtRes!BT41:'SmtRes'!BT42)),6)</f>
        <v>3948.4094</v>
      </c>
      <c r="AG47" s="2">
        <f t="shared" si="19"/>
        <v>0</v>
      </c>
      <c r="AH47" s="2">
        <f>(SUM(SmtRes!BU41:'SmtRes'!BU42))</f>
        <v>5.86</v>
      </c>
      <c r="AI47" s="2">
        <f>(0)</f>
        <v>0</v>
      </c>
      <c r="AJ47" s="2">
        <f t="shared" si="20"/>
        <v>0</v>
      </c>
      <c r="AK47" s="2">
        <v>3948.4094</v>
      </c>
      <c r="AL47" s="2">
        <v>0</v>
      </c>
      <c r="AM47" s="2">
        <v>0</v>
      </c>
      <c r="AN47" s="2">
        <v>0</v>
      </c>
      <c r="AO47" s="2">
        <v>3948.4094</v>
      </c>
      <c r="AP47" s="2">
        <v>0</v>
      </c>
      <c r="AQ47" s="2">
        <v>5.86</v>
      </c>
      <c r="AR47" s="2">
        <v>0</v>
      </c>
      <c r="AS47" s="2">
        <v>0</v>
      </c>
      <c r="AT47" s="2">
        <v>89</v>
      </c>
      <c r="AU47" s="2">
        <v>44</v>
      </c>
      <c r="AV47" s="2">
        <v>1</v>
      </c>
      <c r="AW47" s="2">
        <v>1</v>
      </c>
      <c r="AX47" s="2"/>
      <c r="AY47" s="2"/>
      <c r="AZ47" s="2">
        <v>1</v>
      </c>
      <c r="BA47" s="2">
        <v>1</v>
      </c>
      <c r="BB47" s="2">
        <v>1</v>
      </c>
      <c r="BC47" s="2">
        <v>1</v>
      </c>
      <c r="BD47" s="2" t="s">
        <v>3</v>
      </c>
      <c r="BE47" s="2" t="s">
        <v>3</v>
      </c>
      <c r="BF47" s="2" t="s">
        <v>3</v>
      </c>
      <c r="BG47" s="2" t="s">
        <v>3</v>
      </c>
      <c r="BH47" s="2">
        <v>0</v>
      </c>
      <c r="BI47" s="2">
        <v>2</v>
      </c>
      <c r="BJ47" s="2" t="s">
        <v>76</v>
      </c>
      <c r="BK47" s="2"/>
      <c r="BL47" s="2"/>
      <c r="BM47" s="2">
        <v>141001</v>
      </c>
      <c r="BN47" s="2">
        <v>0</v>
      </c>
      <c r="BO47" s="2" t="s">
        <v>3</v>
      </c>
      <c r="BP47" s="2">
        <v>0</v>
      </c>
      <c r="BQ47" s="2">
        <v>3</v>
      </c>
      <c r="BR47" s="2">
        <v>0</v>
      </c>
      <c r="BS47" s="2">
        <v>1</v>
      </c>
      <c r="BT47" s="2">
        <v>1</v>
      </c>
      <c r="BU47" s="2">
        <v>1</v>
      </c>
      <c r="BV47" s="2">
        <v>1</v>
      </c>
      <c r="BW47" s="2">
        <v>1</v>
      </c>
      <c r="BX47" s="2">
        <v>1</v>
      </c>
      <c r="BY47" s="2" t="s">
        <v>3</v>
      </c>
      <c r="BZ47" s="2">
        <v>89</v>
      </c>
      <c r="CA47" s="2">
        <v>44</v>
      </c>
      <c r="CB47" s="2" t="s">
        <v>3</v>
      </c>
      <c r="CC47" s="2"/>
      <c r="CD47" s="2"/>
      <c r="CE47" s="2">
        <v>0</v>
      </c>
      <c r="CF47" s="2">
        <v>0</v>
      </c>
      <c r="CG47" s="2">
        <v>0</v>
      </c>
      <c r="CH47" s="2"/>
      <c r="CI47" s="2"/>
      <c r="CJ47" s="2"/>
      <c r="CK47" s="2"/>
      <c r="CL47" s="2"/>
      <c r="CM47" s="2">
        <v>0</v>
      </c>
      <c r="CN47" s="2" t="s">
        <v>3</v>
      </c>
      <c r="CO47" s="2">
        <v>0</v>
      </c>
      <c r="CP47" s="2">
        <f>(P47+Q47+S47+R47)</f>
        <v>0</v>
      </c>
      <c r="CQ47" s="2">
        <f>SUMIF(SmtRes!AQ41:'SmtRes'!AQ42,"=1",SmtRes!AA41:'SmtRes'!AA42)</f>
        <v>0</v>
      </c>
      <c r="CR47" s="2">
        <f>SUMIF(SmtRes!AQ41:'SmtRes'!AQ42,"=1",SmtRes!AB41:'SmtRes'!AB42)</f>
        <v>0</v>
      </c>
      <c r="CS47" s="2">
        <f>SUMIF(SmtRes!AQ41:'SmtRes'!AQ42,"=1",SmtRes!AC41:'SmtRes'!AC42)</f>
        <v>0</v>
      </c>
      <c r="CT47" s="2">
        <f>SUMIF(SmtRes!AQ41:'SmtRes'!AQ42,"=1",SmtRes!AD41:'SmtRes'!AD42)</f>
        <v>673.79</v>
      </c>
      <c r="CU47" s="2">
        <f>AG47</f>
        <v>0</v>
      </c>
      <c r="CV47" s="2">
        <f>SUMIF(SmtRes!AQ41:'SmtRes'!AQ42,"=1",SmtRes!BU41:'SmtRes'!BU42)</f>
        <v>5.86</v>
      </c>
      <c r="CW47" s="2">
        <f>SUMIF(SmtRes!AQ41:'SmtRes'!AQ42,"=1",SmtRes!BV41:'SmtRes'!BV42)</f>
        <v>0</v>
      </c>
      <c r="CX47" s="2">
        <f>AJ47</f>
        <v>0</v>
      </c>
      <c r="CY47" s="2">
        <f>(((S47+R47)*AT47)/100)</f>
        <v>0</v>
      </c>
      <c r="CZ47" s="2">
        <f>(((S47+R47)*AU47)/100)</f>
        <v>0</v>
      </c>
      <c r="DA47" s="2"/>
      <c r="DB47" s="2"/>
      <c r="DC47" s="2" t="s">
        <v>3</v>
      </c>
      <c r="DD47" s="2" t="s">
        <v>3</v>
      </c>
      <c r="DE47" s="2" t="s">
        <v>3</v>
      </c>
      <c r="DF47" s="2" t="s">
        <v>3</v>
      </c>
      <c r="DG47" s="2" t="s">
        <v>3</v>
      </c>
      <c r="DH47" s="2" t="s">
        <v>3</v>
      </c>
      <c r="DI47" s="2" t="s">
        <v>3</v>
      </c>
      <c r="DJ47" s="2" t="s">
        <v>3</v>
      </c>
      <c r="DK47" s="2" t="s">
        <v>3</v>
      </c>
      <c r="DL47" s="2" t="s">
        <v>3</v>
      </c>
      <c r="DM47" s="2" t="s">
        <v>3</v>
      </c>
      <c r="DN47" s="2">
        <v>0</v>
      </c>
      <c r="DO47" s="2">
        <v>0</v>
      </c>
      <c r="DP47" s="2">
        <v>1</v>
      </c>
      <c r="DQ47" s="2">
        <v>1</v>
      </c>
      <c r="DR47" s="2"/>
      <c r="DS47" s="2"/>
      <c r="DT47" s="2"/>
      <c r="DU47" s="2">
        <v>1013</v>
      </c>
      <c r="DV47" s="2" t="s">
        <v>18</v>
      </c>
      <c r="DW47" s="2" t="s">
        <v>18</v>
      </c>
      <c r="DX47" s="2">
        <v>1</v>
      </c>
      <c r="DY47" s="2"/>
      <c r="DZ47" s="2" t="s">
        <v>3</v>
      </c>
      <c r="EA47" s="2" t="s">
        <v>3</v>
      </c>
      <c r="EB47" s="2" t="s">
        <v>3</v>
      </c>
      <c r="EC47" s="2" t="s">
        <v>3</v>
      </c>
      <c r="ED47" s="2"/>
      <c r="EE47" s="2">
        <v>91082123</v>
      </c>
      <c r="EF47" s="2">
        <v>3</v>
      </c>
      <c r="EG47" s="2" t="s">
        <v>20</v>
      </c>
      <c r="EH47" s="2">
        <v>104</v>
      </c>
      <c r="EI47" s="2" t="s">
        <v>21</v>
      </c>
      <c r="EJ47" s="2">
        <v>2</v>
      </c>
      <c r="EK47" s="2">
        <v>141001</v>
      </c>
      <c r="EL47" s="2" t="s">
        <v>21</v>
      </c>
      <c r="EM47" s="2" t="s">
        <v>22</v>
      </c>
      <c r="EN47" s="2"/>
      <c r="EO47" s="2" t="s">
        <v>3</v>
      </c>
      <c r="EP47" s="2"/>
      <c r="EQ47" s="2">
        <v>1024</v>
      </c>
      <c r="ER47" s="2">
        <v>0</v>
      </c>
      <c r="ES47" s="2">
        <v>0</v>
      </c>
      <c r="ET47" s="2">
        <v>0</v>
      </c>
      <c r="EU47" s="2">
        <v>0</v>
      </c>
      <c r="EV47" s="2">
        <v>0</v>
      </c>
      <c r="EW47" s="2">
        <v>5.86</v>
      </c>
      <c r="EX47" s="2">
        <v>0</v>
      </c>
      <c r="EY47" s="2">
        <v>0</v>
      </c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>
        <v>0</v>
      </c>
      <c r="FR47" s="2">
        <v>0</v>
      </c>
      <c r="FS47" s="2">
        <v>0</v>
      </c>
      <c r="FT47" s="2"/>
      <c r="FU47" s="2"/>
      <c r="FV47" s="2"/>
      <c r="FW47" s="2"/>
      <c r="FX47" s="2">
        <v>89</v>
      </c>
      <c r="FY47" s="2">
        <v>44</v>
      </c>
      <c r="FZ47" s="2"/>
      <c r="GA47" s="2" t="s">
        <v>3</v>
      </c>
      <c r="GB47" s="2"/>
      <c r="GC47" s="2"/>
      <c r="GD47" s="2">
        <v>1</v>
      </c>
      <c r="GE47" s="2"/>
      <c r="GF47" s="2">
        <v>1376061623</v>
      </c>
      <c r="GG47" s="2">
        <v>2</v>
      </c>
      <c r="GH47" s="2">
        <v>1</v>
      </c>
      <c r="GI47" s="2">
        <v>-2</v>
      </c>
      <c r="GJ47" s="2">
        <v>0</v>
      </c>
      <c r="GK47" s="2">
        <v>0</v>
      </c>
      <c r="GL47" s="2">
        <f t="shared" si="21"/>
        <v>0</v>
      </c>
      <c r="GM47" s="2">
        <f t="shared" si="22"/>
        <v>0</v>
      </c>
      <c r="GN47" s="2">
        <f t="shared" si="23"/>
        <v>0</v>
      </c>
      <c r="GO47" s="2">
        <f t="shared" si="24"/>
        <v>0</v>
      </c>
      <c r="GP47" s="2">
        <f t="shared" si="25"/>
        <v>0</v>
      </c>
      <c r="GQ47" s="2"/>
      <c r="GR47" s="2">
        <v>0</v>
      </c>
      <c r="GS47" s="2">
        <v>3</v>
      </c>
      <c r="GT47" s="2">
        <v>0</v>
      </c>
      <c r="GU47" s="2" t="s">
        <v>3</v>
      </c>
      <c r="GV47" s="2">
        <f t="shared" si="26"/>
        <v>0</v>
      </c>
      <c r="GW47" s="2">
        <v>1</v>
      </c>
      <c r="GX47" s="2">
        <f t="shared" si="27"/>
        <v>0</v>
      </c>
      <c r="GY47" s="2"/>
      <c r="GZ47" s="2"/>
      <c r="HA47" s="2">
        <v>0</v>
      </c>
      <c r="HB47" s="2">
        <v>0</v>
      </c>
      <c r="HC47" s="2">
        <f>GV47*GW47</f>
        <v>0</v>
      </c>
      <c r="HD47" s="2"/>
      <c r="HE47" s="2" t="s">
        <v>3</v>
      </c>
      <c r="HF47" s="2" t="s">
        <v>3</v>
      </c>
      <c r="HG47" s="2"/>
      <c r="HH47" s="2"/>
      <c r="HI47" s="2"/>
      <c r="HJ47" s="2"/>
      <c r="HK47" s="2"/>
      <c r="HL47" s="2"/>
      <c r="HM47" s="2" t="s">
        <v>3</v>
      </c>
      <c r="HN47" s="2" t="s">
        <v>23</v>
      </c>
      <c r="HO47" s="2" t="s">
        <v>24</v>
      </c>
      <c r="HP47" s="2" t="s">
        <v>21</v>
      </c>
      <c r="HQ47" s="2" t="s">
        <v>21</v>
      </c>
      <c r="HR47" s="2"/>
      <c r="HS47" s="2">
        <v>0</v>
      </c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>
        <v>0</v>
      </c>
      <c r="IL47" s="2"/>
      <c r="IM47" s="2"/>
      <c r="IN47" s="2"/>
      <c r="IO47" s="2"/>
      <c r="IP47" s="2"/>
      <c r="IQ47" s="2"/>
      <c r="IR47" s="2"/>
      <c r="IS47" s="2"/>
      <c r="IT47" s="2"/>
      <c r="IU47" s="2"/>
    </row>
    <row r="48" spans="1:255" x14ac:dyDescent="0.2">
      <c r="A48" s="2">
        <v>18</v>
      </c>
      <c r="B48" s="2">
        <v>1</v>
      </c>
      <c r="C48" s="2">
        <v>42</v>
      </c>
      <c r="D48" s="2"/>
      <c r="E48" s="2" t="s">
        <v>3</v>
      </c>
      <c r="F48" s="2" t="s">
        <v>25</v>
      </c>
      <c r="G48" s="2" t="s">
        <v>26</v>
      </c>
      <c r="H48" s="2" t="s">
        <v>27</v>
      </c>
      <c r="I48" s="2">
        <f>J48</f>
        <v>3</v>
      </c>
      <c r="J48" s="2">
        <v>3</v>
      </c>
      <c r="K48" s="2">
        <v>3</v>
      </c>
      <c r="L48" s="2"/>
      <c r="M48" s="2"/>
      <c r="N48" s="2"/>
      <c r="O48" s="2">
        <f>ROUND(P48,2)</f>
        <v>0</v>
      </c>
      <c r="P48" s="2">
        <f>ROUND(ROUND(ROUND(SUMIF(SmtRes!AQ41:'SmtRes'!AQ42,"=1",SmtRes!CU41:'SmtRes'!CU42),2),2)*I48/100,2)</f>
        <v>0</v>
      </c>
      <c r="Q48" s="2">
        <f>ROUND(CR48*I48,2)</f>
        <v>0</v>
      </c>
      <c r="R48" s="2">
        <f>ROUND(CS48*I48,2)</f>
        <v>0</v>
      </c>
      <c r="S48" s="2">
        <f>ROUND(CT48*I48,2)</f>
        <v>0</v>
      </c>
      <c r="T48" s="2">
        <f t="shared" si="14"/>
        <v>0</v>
      </c>
      <c r="U48" s="2">
        <f>ROUND(CV48*I48,7)</f>
        <v>0</v>
      </c>
      <c r="V48" s="2">
        <f>ROUND(CW48*I48,7)</f>
        <v>0</v>
      </c>
      <c r="W48" s="2">
        <f t="shared" si="15"/>
        <v>0</v>
      </c>
      <c r="X48" s="2">
        <f t="shared" si="16"/>
        <v>0</v>
      </c>
      <c r="Y48" s="2">
        <f t="shared" si="17"/>
        <v>0</v>
      </c>
      <c r="Z48" s="2"/>
      <c r="AA48" s="2">
        <v>-1</v>
      </c>
      <c r="AB48" s="2">
        <f t="shared" si="18"/>
        <v>0</v>
      </c>
      <c r="AC48" s="2">
        <f>ROUND((ES48),6)</f>
        <v>0</v>
      </c>
      <c r="AD48" s="2">
        <f>ROUND((((ET48)-(EU48))+AE48),6)</f>
        <v>0</v>
      </c>
      <c r="AE48" s="2">
        <f>ROUND((EU48),6)</f>
        <v>0</v>
      </c>
      <c r="AF48" s="2">
        <f>ROUND((EV48),6)</f>
        <v>0</v>
      </c>
      <c r="AG48" s="2">
        <f t="shared" si="19"/>
        <v>0</v>
      </c>
      <c r="AH48" s="2">
        <f>(EW48)</f>
        <v>0</v>
      </c>
      <c r="AI48" s="2">
        <f>(EX48)</f>
        <v>0</v>
      </c>
      <c r="AJ48" s="2">
        <f t="shared" si="20"/>
        <v>0</v>
      </c>
      <c r="AK48" s="2">
        <v>0</v>
      </c>
      <c r="AL48" s="2">
        <v>0</v>
      </c>
      <c r="AM48" s="2">
        <v>0</v>
      </c>
      <c r="AN48" s="2">
        <v>0</v>
      </c>
      <c r="AO48" s="2">
        <v>0</v>
      </c>
      <c r="AP48" s="2">
        <v>0</v>
      </c>
      <c r="AQ48" s="2">
        <v>0</v>
      </c>
      <c r="AR48" s="2">
        <v>0</v>
      </c>
      <c r="AS48" s="2">
        <v>0</v>
      </c>
      <c r="AT48" s="2">
        <v>89</v>
      </c>
      <c r="AU48" s="2">
        <v>44</v>
      </c>
      <c r="AV48" s="2">
        <v>1</v>
      </c>
      <c r="AW48" s="2">
        <v>1</v>
      </c>
      <c r="AX48" s="2"/>
      <c r="AY48" s="2"/>
      <c r="AZ48" s="2">
        <v>1</v>
      </c>
      <c r="BA48" s="2">
        <v>1</v>
      </c>
      <c r="BB48" s="2">
        <v>1</v>
      </c>
      <c r="BC48" s="2">
        <v>1</v>
      </c>
      <c r="BD48" s="2" t="s">
        <v>3</v>
      </c>
      <c r="BE48" s="2" t="s">
        <v>3</v>
      </c>
      <c r="BF48" s="2" t="s">
        <v>3</v>
      </c>
      <c r="BG48" s="2" t="s">
        <v>3</v>
      </c>
      <c r="BH48" s="2">
        <v>3</v>
      </c>
      <c r="BI48" s="2">
        <v>2</v>
      </c>
      <c r="BJ48" s="2" t="s">
        <v>3</v>
      </c>
      <c r="BK48" s="2"/>
      <c r="BL48" s="2"/>
      <c r="BM48" s="2">
        <v>141001</v>
      </c>
      <c r="BN48" s="2">
        <v>0</v>
      </c>
      <c r="BO48" s="2" t="s">
        <v>3</v>
      </c>
      <c r="BP48" s="2">
        <v>0</v>
      </c>
      <c r="BQ48" s="2">
        <v>3</v>
      </c>
      <c r="BR48" s="2">
        <v>0</v>
      </c>
      <c r="BS48" s="2">
        <v>1</v>
      </c>
      <c r="BT48" s="2">
        <v>1</v>
      </c>
      <c r="BU48" s="2">
        <v>1</v>
      </c>
      <c r="BV48" s="2">
        <v>1</v>
      </c>
      <c r="BW48" s="2">
        <v>1</v>
      </c>
      <c r="BX48" s="2">
        <v>1</v>
      </c>
      <c r="BY48" s="2" t="s">
        <v>3</v>
      </c>
      <c r="BZ48" s="2">
        <v>89</v>
      </c>
      <c r="CA48" s="2">
        <v>44</v>
      </c>
      <c r="CB48" s="2" t="s">
        <v>3</v>
      </c>
      <c r="CC48" s="2"/>
      <c r="CD48" s="2"/>
      <c r="CE48" s="2">
        <v>0</v>
      </c>
      <c r="CF48" s="2">
        <v>0</v>
      </c>
      <c r="CG48" s="2">
        <v>0</v>
      </c>
      <c r="CH48" s="2"/>
      <c r="CI48" s="2"/>
      <c r="CJ48" s="2"/>
      <c r="CK48" s="2"/>
      <c r="CL48" s="2"/>
      <c r="CM48" s="2">
        <v>0</v>
      </c>
      <c r="CN48" s="2" t="s">
        <v>3</v>
      </c>
      <c r="CO48" s="2">
        <v>0</v>
      </c>
      <c r="CP48" s="2">
        <f>0</f>
        <v>0</v>
      </c>
      <c r="CQ48" s="2">
        <f>0</f>
        <v>0</v>
      </c>
      <c r="CR48" s="2">
        <f>0</f>
        <v>0</v>
      </c>
      <c r="CS48" s="2">
        <f>0</f>
        <v>0</v>
      </c>
      <c r="CT48" s="2">
        <f>0</f>
        <v>0</v>
      </c>
      <c r="CU48" s="2">
        <f>0</f>
        <v>0</v>
      </c>
      <c r="CV48" s="2">
        <f>0</f>
        <v>0</v>
      </c>
      <c r="CW48" s="2">
        <f>0</f>
        <v>0</v>
      </c>
      <c r="CX48" s="2">
        <f>0</f>
        <v>0</v>
      </c>
      <c r="CY48" s="2">
        <f>0</f>
        <v>0</v>
      </c>
      <c r="CZ48" s="2">
        <f>0</f>
        <v>0</v>
      </c>
      <c r="DA48" s="2"/>
      <c r="DB48" s="2"/>
      <c r="DC48" s="2" t="s">
        <v>3</v>
      </c>
      <c r="DD48" s="2" t="s">
        <v>3</v>
      </c>
      <c r="DE48" s="2" t="s">
        <v>3</v>
      </c>
      <c r="DF48" s="2" t="s">
        <v>3</v>
      </c>
      <c r="DG48" s="2" t="s">
        <v>3</v>
      </c>
      <c r="DH48" s="2" t="s">
        <v>3</v>
      </c>
      <c r="DI48" s="2" t="s">
        <v>3</v>
      </c>
      <c r="DJ48" s="2" t="s">
        <v>3</v>
      </c>
      <c r="DK48" s="2" t="s">
        <v>3</v>
      </c>
      <c r="DL48" s="2" t="s">
        <v>3</v>
      </c>
      <c r="DM48" s="2" t="s">
        <v>3</v>
      </c>
      <c r="DN48" s="2">
        <v>0</v>
      </c>
      <c r="DO48" s="2">
        <v>0</v>
      </c>
      <c r="DP48" s="2">
        <v>1</v>
      </c>
      <c r="DQ48" s="2">
        <v>1</v>
      </c>
      <c r="DR48" s="2"/>
      <c r="DS48" s="2"/>
      <c r="DT48" s="2"/>
      <c r="DU48" s="2">
        <v>1013</v>
      </c>
      <c r="DV48" s="2" t="s">
        <v>27</v>
      </c>
      <c r="DW48" s="2" t="s">
        <v>27</v>
      </c>
      <c r="DX48" s="2">
        <v>1</v>
      </c>
      <c r="DY48" s="2"/>
      <c r="DZ48" s="2" t="s">
        <v>3</v>
      </c>
      <c r="EA48" s="2" t="s">
        <v>3</v>
      </c>
      <c r="EB48" s="2" t="s">
        <v>3</v>
      </c>
      <c r="EC48" s="2" t="s">
        <v>3</v>
      </c>
      <c r="ED48" s="2"/>
      <c r="EE48" s="2">
        <v>91082123</v>
      </c>
      <c r="EF48" s="2">
        <v>3</v>
      </c>
      <c r="EG48" s="2" t="s">
        <v>20</v>
      </c>
      <c r="EH48" s="2">
        <v>104</v>
      </c>
      <c r="EI48" s="2" t="s">
        <v>21</v>
      </c>
      <c r="EJ48" s="2">
        <v>2</v>
      </c>
      <c r="EK48" s="2">
        <v>141001</v>
      </c>
      <c r="EL48" s="2" t="s">
        <v>21</v>
      </c>
      <c r="EM48" s="2" t="s">
        <v>22</v>
      </c>
      <c r="EN48" s="2"/>
      <c r="EO48" s="2" t="s">
        <v>3</v>
      </c>
      <c r="EP48" s="2"/>
      <c r="EQ48" s="2">
        <v>1024</v>
      </c>
      <c r="ER48" s="2">
        <v>0</v>
      </c>
      <c r="ES48" s="2">
        <v>0</v>
      </c>
      <c r="ET48" s="2">
        <v>0</v>
      </c>
      <c r="EU48" s="2">
        <v>0</v>
      </c>
      <c r="EV48" s="2">
        <v>0</v>
      </c>
      <c r="EW48" s="2">
        <v>0</v>
      </c>
      <c r="EX48" s="2">
        <v>0</v>
      </c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>
        <v>0</v>
      </c>
      <c r="FR48" s="2">
        <v>0</v>
      </c>
      <c r="FS48" s="2">
        <v>0</v>
      </c>
      <c r="FT48" s="2"/>
      <c r="FU48" s="2"/>
      <c r="FV48" s="2"/>
      <c r="FW48" s="2"/>
      <c r="FX48" s="2">
        <v>89</v>
      </c>
      <c r="FY48" s="2">
        <v>44</v>
      </c>
      <c r="FZ48" s="2"/>
      <c r="GA48" s="2" t="s">
        <v>3</v>
      </c>
      <c r="GB48" s="2"/>
      <c r="GC48" s="2"/>
      <c r="GD48" s="2">
        <v>1</v>
      </c>
      <c r="GE48" s="2"/>
      <c r="GF48" s="2">
        <v>-152123987</v>
      </c>
      <c r="GG48" s="2">
        <v>2</v>
      </c>
      <c r="GH48" s="2">
        <v>1</v>
      </c>
      <c r="GI48" s="2">
        <v>-2</v>
      </c>
      <c r="GJ48" s="2">
        <v>0</v>
      </c>
      <c r="GK48" s="2">
        <v>0</v>
      </c>
      <c r="GL48" s="2">
        <f t="shared" si="21"/>
        <v>0</v>
      </c>
      <c r="GM48" s="2">
        <f t="shared" si="22"/>
        <v>0</v>
      </c>
      <c r="GN48" s="2">
        <f t="shared" si="23"/>
        <v>0</v>
      </c>
      <c r="GO48" s="2">
        <f t="shared" si="24"/>
        <v>0</v>
      </c>
      <c r="GP48" s="2">
        <f t="shared" si="25"/>
        <v>0</v>
      </c>
      <c r="GQ48" s="2"/>
      <c r="GR48" s="2">
        <v>0</v>
      </c>
      <c r="GS48" s="2">
        <v>3</v>
      </c>
      <c r="GT48" s="2">
        <v>0</v>
      </c>
      <c r="GU48" s="2" t="s">
        <v>3</v>
      </c>
      <c r="GV48" s="2">
        <f t="shared" si="26"/>
        <v>0</v>
      </c>
      <c r="GW48" s="2">
        <v>1</v>
      </c>
      <c r="GX48" s="2">
        <f t="shared" si="27"/>
        <v>0</v>
      </c>
      <c r="GY48" s="2"/>
      <c r="GZ48" s="2"/>
      <c r="HA48" s="2">
        <v>0</v>
      </c>
      <c r="HB48" s="2">
        <v>0</v>
      </c>
      <c r="HC48" s="2">
        <f>0</f>
        <v>0</v>
      </c>
      <c r="HD48" s="2"/>
      <c r="HE48" s="2" t="s">
        <v>3</v>
      </c>
      <c r="HF48" s="2" t="s">
        <v>3</v>
      </c>
      <c r="HG48" s="2"/>
      <c r="HH48" s="2"/>
      <c r="HI48" s="2"/>
      <c r="HJ48" s="2"/>
      <c r="HK48" s="2"/>
      <c r="HL48" s="2"/>
      <c r="HM48" s="2" t="s">
        <v>3</v>
      </c>
      <c r="HN48" s="2" t="s">
        <v>23</v>
      </c>
      <c r="HO48" s="2" t="s">
        <v>24</v>
      </c>
      <c r="HP48" s="2" t="s">
        <v>21</v>
      </c>
      <c r="HQ48" s="2" t="s">
        <v>21</v>
      </c>
      <c r="HR48" s="2"/>
      <c r="HS48" s="2">
        <v>0</v>
      </c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>
        <v>0</v>
      </c>
      <c r="IL48" s="2"/>
      <c r="IM48" s="2"/>
      <c r="IN48" s="2"/>
      <c r="IO48" s="2"/>
      <c r="IP48" s="2"/>
      <c r="IQ48" s="2"/>
      <c r="IR48" s="2"/>
      <c r="IS48" s="2"/>
      <c r="IT48" s="2"/>
      <c r="IU48" s="2"/>
    </row>
    <row r="49" spans="1:255" x14ac:dyDescent="0.2">
      <c r="A49" s="2">
        <v>17</v>
      </c>
      <c r="B49" s="2">
        <v>1</v>
      </c>
      <c r="C49" s="2">
        <f>ROW(SmtRes!A44)</f>
        <v>44</v>
      </c>
      <c r="D49" s="2">
        <f>ROW(EtalonRes!A35)</f>
        <v>35</v>
      </c>
      <c r="E49" s="2" t="s">
        <v>3</v>
      </c>
      <c r="F49" s="2" t="s">
        <v>77</v>
      </c>
      <c r="G49" s="2" t="s">
        <v>78</v>
      </c>
      <c r="H49" s="2" t="s">
        <v>18</v>
      </c>
      <c r="I49" s="2">
        <v>0</v>
      </c>
      <c r="J49" s="2">
        <v>0</v>
      </c>
      <c r="K49" s="2">
        <v>0</v>
      </c>
      <c r="L49" s="2"/>
      <c r="M49" s="2"/>
      <c r="N49" s="2"/>
      <c r="O49" s="2">
        <f>ROUND(CP49,2)</f>
        <v>0</v>
      </c>
      <c r="P49" s="2">
        <f>SUMIF(SmtRes!AQ43:'SmtRes'!AQ44,"=1",SmtRes!DF43:'SmtRes'!DF44)</f>
        <v>0</v>
      </c>
      <c r="Q49" s="2">
        <f>SUMIF(SmtRes!AQ43:'SmtRes'!AQ44,"=1",SmtRes!DG43:'SmtRes'!DG44)</f>
        <v>0</v>
      </c>
      <c r="R49" s="2">
        <f>SUMIF(SmtRes!AQ43:'SmtRes'!AQ44,"=1",SmtRes!DH43:'SmtRes'!DH44)</f>
        <v>0</v>
      </c>
      <c r="S49" s="2">
        <f>SUMIF(SmtRes!AQ43:'SmtRes'!AQ44,"=1",SmtRes!DI43:'SmtRes'!DI44)</f>
        <v>0</v>
      </c>
      <c r="T49" s="2">
        <f t="shared" si="14"/>
        <v>0</v>
      </c>
      <c r="U49" s="2">
        <f>SUMIF(SmtRes!AQ43:'SmtRes'!AQ44,"=1",SmtRes!CV43:'SmtRes'!CV44)</f>
        <v>0</v>
      </c>
      <c r="V49" s="2">
        <f>SUMIF(SmtRes!AQ43:'SmtRes'!AQ44,"=1",SmtRes!CW43:'SmtRes'!CW44)</f>
        <v>0</v>
      </c>
      <c r="W49" s="2">
        <f t="shared" si="15"/>
        <v>0</v>
      </c>
      <c r="X49" s="2">
        <f t="shared" si="16"/>
        <v>0</v>
      </c>
      <c r="Y49" s="2">
        <f t="shared" si="17"/>
        <v>0</v>
      </c>
      <c r="Z49" s="2"/>
      <c r="AA49" s="2">
        <v>-1</v>
      </c>
      <c r="AB49" s="2">
        <f t="shared" si="18"/>
        <v>3510.4459000000002</v>
      </c>
      <c r="AC49" s="2">
        <f>ROUND((0),6)</f>
        <v>0</v>
      </c>
      <c r="AD49" s="2">
        <f>ROUND((((0)-(0))+AE49),6)</f>
        <v>0</v>
      </c>
      <c r="AE49" s="2">
        <f>ROUND((0),6)</f>
        <v>0</v>
      </c>
      <c r="AF49" s="2">
        <f>ROUND((SUM(SmtRes!BT43:'SmtRes'!BT44)),6)</f>
        <v>3510.4459000000002</v>
      </c>
      <c r="AG49" s="2">
        <f t="shared" si="19"/>
        <v>0</v>
      </c>
      <c r="AH49" s="2">
        <f>(SUM(SmtRes!BU43:'SmtRes'!BU44))</f>
        <v>5.21</v>
      </c>
      <c r="AI49" s="2">
        <f>(0)</f>
        <v>0</v>
      </c>
      <c r="AJ49" s="2">
        <f t="shared" si="20"/>
        <v>0</v>
      </c>
      <c r="AK49" s="2">
        <v>3510.4458999999997</v>
      </c>
      <c r="AL49" s="2">
        <v>0</v>
      </c>
      <c r="AM49" s="2">
        <v>0</v>
      </c>
      <c r="AN49" s="2">
        <v>0</v>
      </c>
      <c r="AO49" s="2">
        <v>3510.4458999999997</v>
      </c>
      <c r="AP49" s="2">
        <v>0</v>
      </c>
      <c r="AQ49" s="2">
        <v>5.21</v>
      </c>
      <c r="AR49" s="2">
        <v>0</v>
      </c>
      <c r="AS49" s="2">
        <v>0</v>
      </c>
      <c r="AT49" s="2">
        <v>89</v>
      </c>
      <c r="AU49" s="2">
        <v>44</v>
      </c>
      <c r="AV49" s="2">
        <v>1</v>
      </c>
      <c r="AW49" s="2">
        <v>1</v>
      </c>
      <c r="AX49" s="2"/>
      <c r="AY49" s="2"/>
      <c r="AZ49" s="2">
        <v>1</v>
      </c>
      <c r="BA49" s="2">
        <v>1</v>
      </c>
      <c r="BB49" s="2">
        <v>1</v>
      </c>
      <c r="BC49" s="2">
        <v>1</v>
      </c>
      <c r="BD49" s="2" t="s">
        <v>3</v>
      </c>
      <c r="BE49" s="2" t="s">
        <v>3</v>
      </c>
      <c r="BF49" s="2" t="s">
        <v>3</v>
      </c>
      <c r="BG49" s="2" t="s">
        <v>3</v>
      </c>
      <c r="BH49" s="2">
        <v>0</v>
      </c>
      <c r="BI49" s="2">
        <v>2</v>
      </c>
      <c r="BJ49" s="2" t="s">
        <v>79</v>
      </c>
      <c r="BK49" s="2"/>
      <c r="BL49" s="2"/>
      <c r="BM49" s="2">
        <v>141001</v>
      </c>
      <c r="BN49" s="2">
        <v>0</v>
      </c>
      <c r="BO49" s="2" t="s">
        <v>3</v>
      </c>
      <c r="BP49" s="2">
        <v>0</v>
      </c>
      <c r="BQ49" s="2">
        <v>3</v>
      </c>
      <c r="BR49" s="2">
        <v>0</v>
      </c>
      <c r="BS49" s="2">
        <v>1</v>
      </c>
      <c r="BT49" s="2">
        <v>1</v>
      </c>
      <c r="BU49" s="2">
        <v>1</v>
      </c>
      <c r="BV49" s="2">
        <v>1</v>
      </c>
      <c r="BW49" s="2">
        <v>1</v>
      </c>
      <c r="BX49" s="2">
        <v>1</v>
      </c>
      <c r="BY49" s="2" t="s">
        <v>3</v>
      </c>
      <c r="BZ49" s="2">
        <v>89</v>
      </c>
      <c r="CA49" s="2">
        <v>44</v>
      </c>
      <c r="CB49" s="2" t="s">
        <v>3</v>
      </c>
      <c r="CC49" s="2"/>
      <c r="CD49" s="2"/>
      <c r="CE49" s="2">
        <v>0</v>
      </c>
      <c r="CF49" s="2">
        <v>0</v>
      </c>
      <c r="CG49" s="2">
        <v>0</v>
      </c>
      <c r="CH49" s="2"/>
      <c r="CI49" s="2"/>
      <c r="CJ49" s="2"/>
      <c r="CK49" s="2"/>
      <c r="CL49" s="2"/>
      <c r="CM49" s="2">
        <v>0</v>
      </c>
      <c r="CN49" s="2" t="s">
        <v>3</v>
      </c>
      <c r="CO49" s="2">
        <v>0</v>
      </c>
      <c r="CP49" s="2">
        <f>(P49+Q49+S49+R49)</f>
        <v>0</v>
      </c>
      <c r="CQ49" s="2">
        <f>SUMIF(SmtRes!AQ43:'SmtRes'!AQ44,"=1",SmtRes!AA43:'SmtRes'!AA44)</f>
        <v>0</v>
      </c>
      <c r="CR49" s="2">
        <f>SUMIF(SmtRes!AQ43:'SmtRes'!AQ44,"=1",SmtRes!AB43:'SmtRes'!AB44)</f>
        <v>0</v>
      </c>
      <c r="CS49" s="2">
        <f>SUMIF(SmtRes!AQ43:'SmtRes'!AQ44,"=1",SmtRes!AC43:'SmtRes'!AC44)</f>
        <v>0</v>
      </c>
      <c r="CT49" s="2">
        <f>SUMIF(SmtRes!AQ43:'SmtRes'!AQ44,"=1",SmtRes!AD43:'SmtRes'!AD44)</f>
        <v>673.79</v>
      </c>
      <c r="CU49" s="2">
        <f>AG49</f>
        <v>0</v>
      </c>
      <c r="CV49" s="2">
        <f>SUMIF(SmtRes!AQ43:'SmtRes'!AQ44,"=1",SmtRes!BU43:'SmtRes'!BU44)</f>
        <v>5.21</v>
      </c>
      <c r="CW49" s="2">
        <f>SUMIF(SmtRes!AQ43:'SmtRes'!AQ44,"=1",SmtRes!BV43:'SmtRes'!BV44)</f>
        <v>0</v>
      </c>
      <c r="CX49" s="2">
        <f>AJ49</f>
        <v>0</v>
      </c>
      <c r="CY49" s="2">
        <f>(((S49+R49)*AT49)/100)</f>
        <v>0</v>
      </c>
      <c r="CZ49" s="2">
        <f>(((S49+R49)*AU49)/100)</f>
        <v>0</v>
      </c>
      <c r="DA49" s="2"/>
      <c r="DB49" s="2"/>
      <c r="DC49" s="2" t="s">
        <v>3</v>
      </c>
      <c r="DD49" s="2" t="s">
        <v>3</v>
      </c>
      <c r="DE49" s="2" t="s">
        <v>3</v>
      </c>
      <c r="DF49" s="2" t="s">
        <v>3</v>
      </c>
      <c r="DG49" s="2" t="s">
        <v>3</v>
      </c>
      <c r="DH49" s="2" t="s">
        <v>3</v>
      </c>
      <c r="DI49" s="2" t="s">
        <v>3</v>
      </c>
      <c r="DJ49" s="2" t="s">
        <v>3</v>
      </c>
      <c r="DK49" s="2" t="s">
        <v>3</v>
      </c>
      <c r="DL49" s="2" t="s">
        <v>3</v>
      </c>
      <c r="DM49" s="2" t="s">
        <v>3</v>
      </c>
      <c r="DN49" s="2">
        <v>0</v>
      </c>
      <c r="DO49" s="2">
        <v>0</v>
      </c>
      <c r="DP49" s="2">
        <v>1</v>
      </c>
      <c r="DQ49" s="2">
        <v>1</v>
      </c>
      <c r="DR49" s="2"/>
      <c r="DS49" s="2"/>
      <c r="DT49" s="2"/>
      <c r="DU49" s="2">
        <v>1013</v>
      </c>
      <c r="DV49" s="2" t="s">
        <v>18</v>
      </c>
      <c r="DW49" s="2" t="s">
        <v>18</v>
      </c>
      <c r="DX49" s="2">
        <v>1</v>
      </c>
      <c r="DY49" s="2"/>
      <c r="DZ49" s="2" t="s">
        <v>3</v>
      </c>
      <c r="EA49" s="2" t="s">
        <v>3</v>
      </c>
      <c r="EB49" s="2" t="s">
        <v>3</v>
      </c>
      <c r="EC49" s="2" t="s">
        <v>3</v>
      </c>
      <c r="ED49" s="2"/>
      <c r="EE49" s="2">
        <v>91082123</v>
      </c>
      <c r="EF49" s="2">
        <v>3</v>
      </c>
      <c r="EG49" s="2" t="s">
        <v>20</v>
      </c>
      <c r="EH49" s="2">
        <v>104</v>
      </c>
      <c r="EI49" s="2" t="s">
        <v>21</v>
      </c>
      <c r="EJ49" s="2">
        <v>2</v>
      </c>
      <c r="EK49" s="2">
        <v>141001</v>
      </c>
      <c r="EL49" s="2" t="s">
        <v>21</v>
      </c>
      <c r="EM49" s="2" t="s">
        <v>22</v>
      </c>
      <c r="EN49" s="2"/>
      <c r="EO49" s="2" t="s">
        <v>3</v>
      </c>
      <c r="EP49" s="2"/>
      <c r="EQ49" s="2">
        <v>1024</v>
      </c>
      <c r="ER49" s="2">
        <v>0</v>
      </c>
      <c r="ES49" s="2">
        <v>0</v>
      </c>
      <c r="ET49" s="2">
        <v>0</v>
      </c>
      <c r="EU49" s="2">
        <v>0</v>
      </c>
      <c r="EV49" s="2">
        <v>0</v>
      </c>
      <c r="EW49" s="2">
        <v>5.21</v>
      </c>
      <c r="EX49" s="2">
        <v>0</v>
      </c>
      <c r="EY49" s="2">
        <v>0</v>
      </c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>
        <v>0</v>
      </c>
      <c r="FR49" s="2">
        <v>0</v>
      </c>
      <c r="FS49" s="2">
        <v>0</v>
      </c>
      <c r="FT49" s="2"/>
      <c r="FU49" s="2"/>
      <c r="FV49" s="2"/>
      <c r="FW49" s="2"/>
      <c r="FX49" s="2">
        <v>89</v>
      </c>
      <c r="FY49" s="2">
        <v>44</v>
      </c>
      <c r="FZ49" s="2"/>
      <c r="GA49" s="2" t="s">
        <v>3</v>
      </c>
      <c r="GB49" s="2"/>
      <c r="GC49" s="2"/>
      <c r="GD49" s="2">
        <v>1</v>
      </c>
      <c r="GE49" s="2"/>
      <c r="GF49" s="2">
        <v>-633496534</v>
      </c>
      <c r="GG49" s="2">
        <v>2</v>
      </c>
      <c r="GH49" s="2">
        <v>1</v>
      </c>
      <c r="GI49" s="2">
        <v>-2</v>
      </c>
      <c r="GJ49" s="2">
        <v>0</v>
      </c>
      <c r="GK49" s="2">
        <v>0</v>
      </c>
      <c r="GL49" s="2">
        <f t="shared" si="21"/>
        <v>0</v>
      </c>
      <c r="GM49" s="2">
        <f t="shared" si="22"/>
        <v>0</v>
      </c>
      <c r="GN49" s="2">
        <f t="shared" si="23"/>
        <v>0</v>
      </c>
      <c r="GO49" s="2">
        <f t="shared" si="24"/>
        <v>0</v>
      </c>
      <c r="GP49" s="2">
        <f t="shared" si="25"/>
        <v>0</v>
      </c>
      <c r="GQ49" s="2"/>
      <c r="GR49" s="2">
        <v>0</v>
      </c>
      <c r="GS49" s="2">
        <v>3</v>
      </c>
      <c r="GT49" s="2">
        <v>0</v>
      </c>
      <c r="GU49" s="2" t="s">
        <v>3</v>
      </c>
      <c r="GV49" s="2">
        <f t="shared" si="26"/>
        <v>0</v>
      </c>
      <c r="GW49" s="2">
        <v>1</v>
      </c>
      <c r="GX49" s="2">
        <f t="shared" si="27"/>
        <v>0</v>
      </c>
      <c r="GY49" s="2"/>
      <c r="GZ49" s="2"/>
      <c r="HA49" s="2">
        <v>0</v>
      </c>
      <c r="HB49" s="2">
        <v>0</v>
      </c>
      <c r="HC49" s="2">
        <f>GV49*GW49</f>
        <v>0</v>
      </c>
      <c r="HD49" s="2"/>
      <c r="HE49" s="2" t="s">
        <v>3</v>
      </c>
      <c r="HF49" s="2" t="s">
        <v>3</v>
      </c>
      <c r="HG49" s="2"/>
      <c r="HH49" s="2"/>
      <c r="HI49" s="2"/>
      <c r="HJ49" s="2"/>
      <c r="HK49" s="2"/>
      <c r="HL49" s="2"/>
      <c r="HM49" s="2" t="s">
        <v>3</v>
      </c>
      <c r="HN49" s="2" t="s">
        <v>23</v>
      </c>
      <c r="HO49" s="2" t="s">
        <v>24</v>
      </c>
      <c r="HP49" s="2" t="s">
        <v>21</v>
      </c>
      <c r="HQ49" s="2" t="s">
        <v>21</v>
      </c>
      <c r="HR49" s="2"/>
      <c r="HS49" s="2">
        <v>0</v>
      </c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>
        <v>0</v>
      </c>
      <c r="IL49" s="2"/>
      <c r="IM49" s="2"/>
      <c r="IN49" s="2"/>
      <c r="IO49" s="2"/>
      <c r="IP49" s="2"/>
      <c r="IQ49" s="2"/>
      <c r="IR49" s="2"/>
      <c r="IS49" s="2"/>
      <c r="IT49" s="2"/>
      <c r="IU49" s="2"/>
    </row>
    <row r="50" spans="1:255" x14ac:dyDescent="0.2">
      <c r="A50" s="2">
        <v>18</v>
      </c>
      <c r="B50" s="2">
        <v>1</v>
      </c>
      <c r="C50" s="2">
        <v>44</v>
      </c>
      <c r="D50" s="2"/>
      <c r="E50" s="2" t="s">
        <v>3</v>
      </c>
      <c r="F50" s="2" t="s">
        <v>25</v>
      </c>
      <c r="G50" s="2" t="s">
        <v>26</v>
      </c>
      <c r="H50" s="2" t="s">
        <v>27</v>
      </c>
      <c r="I50" s="2">
        <f>J50</f>
        <v>3</v>
      </c>
      <c r="J50" s="2">
        <v>3</v>
      </c>
      <c r="K50" s="2">
        <v>3</v>
      </c>
      <c r="L50" s="2"/>
      <c r="M50" s="2"/>
      <c r="N50" s="2"/>
      <c r="O50" s="2">
        <f>ROUND(P50,2)</f>
        <v>0</v>
      </c>
      <c r="P50" s="2">
        <f>ROUND(ROUND(ROUND(SUMIF(SmtRes!AQ43:'SmtRes'!AQ44,"=1",SmtRes!CU43:'SmtRes'!CU44),2),2)*I50/100,2)</f>
        <v>0</v>
      </c>
      <c r="Q50" s="2">
        <f>ROUND(CR50*I50,2)</f>
        <v>0</v>
      </c>
      <c r="R50" s="2">
        <f>ROUND(CS50*I50,2)</f>
        <v>0</v>
      </c>
      <c r="S50" s="2">
        <f>ROUND(CT50*I50,2)</f>
        <v>0</v>
      </c>
      <c r="T50" s="2">
        <f t="shared" si="14"/>
        <v>0</v>
      </c>
      <c r="U50" s="2">
        <f>ROUND(CV50*I50,7)</f>
        <v>0</v>
      </c>
      <c r="V50" s="2">
        <f>ROUND(CW50*I50,7)</f>
        <v>0</v>
      </c>
      <c r="W50" s="2">
        <f t="shared" si="15"/>
        <v>0</v>
      </c>
      <c r="X50" s="2">
        <f t="shared" si="16"/>
        <v>0</v>
      </c>
      <c r="Y50" s="2">
        <f t="shared" si="17"/>
        <v>0</v>
      </c>
      <c r="Z50" s="2"/>
      <c r="AA50" s="2">
        <v>-1</v>
      </c>
      <c r="AB50" s="2">
        <f t="shared" si="18"/>
        <v>0</v>
      </c>
      <c r="AC50" s="2">
        <f>ROUND((ES50),6)</f>
        <v>0</v>
      </c>
      <c r="AD50" s="2">
        <f>ROUND((((ET50)-(EU50))+AE50),6)</f>
        <v>0</v>
      </c>
      <c r="AE50" s="2">
        <f>ROUND((EU50),6)</f>
        <v>0</v>
      </c>
      <c r="AF50" s="2">
        <f>ROUND((EV50),6)</f>
        <v>0</v>
      </c>
      <c r="AG50" s="2">
        <f t="shared" si="19"/>
        <v>0</v>
      </c>
      <c r="AH50" s="2">
        <f>(EW50)</f>
        <v>0</v>
      </c>
      <c r="AI50" s="2">
        <f>(EX50)</f>
        <v>0</v>
      </c>
      <c r="AJ50" s="2">
        <f t="shared" si="20"/>
        <v>0</v>
      </c>
      <c r="AK50" s="2">
        <v>0</v>
      </c>
      <c r="AL50" s="2">
        <v>0</v>
      </c>
      <c r="AM50" s="2">
        <v>0</v>
      </c>
      <c r="AN50" s="2">
        <v>0</v>
      </c>
      <c r="AO50" s="2">
        <v>0</v>
      </c>
      <c r="AP50" s="2">
        <v>0</v>
      </c>
      <c r="AQ50" s="2">
        <v>0</v>
      </c>
      <c r="AR50" s="2">
        <v>0</v>
      </c>
      <c r="AS50" s="2">
        <v>0</v>
      </c>
      <c r="AT50" s="2">
        <v>89</v>
      </c>
      <c r="AU50" s="2">
        <v>44</v>
      </c>
      <c r="AV50" s="2">
        <v>1</v>
      </c>
      <c r="AW50" s="2">
        <v>1</v>
      </c>
      <c r="AX50" s="2"/>
      <c r="AY50" s="2"/>
      <c r="AZ50" s="2">
        <v>1</v>
      </c>
      <c r="BA50" s="2">
        <v>1</v>
      </c>
      <c r="BB50" s="2">
        <v>1</v>
      </c>
      <c r="BC50" s="2">
        <v>1</v>
      </c>
      <c r="BD50" s="2" t="s">
        <v>3</v>
      </c>
      <c r="BE50" s="2" t="s">
        <v>3</v>
      </c>
      <c r="BF50" s="2" t="s">
        <v>3</v>
      </c>
      <c r="BG50" s="2" t="s">
        <v>3</v>
      </c>
      <c r="BH50" s="2">
        <v>3</v>
      </c>
      <c r="BI50" s="2">
        <v>2</v>
      </c>
      <c r="BJ50" s="2" t="s">
        <v>3</v>
      </c>
      <c r="BK50" s="2"/>
      <c r="BL50" s="2"/>
      <c r="BM50" s="2">
        <v>141001</v>
      </c>
      <c r="BN50" s="2">
        <v>0</v>
      </c>
      <c r="BO50" s="2" t="s">
        <v>3</v>
      </c>
      <c r="BP50" s="2">
        <v>0</v>
      </c>
      <c r="BQ50" s="2">
        <v>3</v>
      </c>
      <c r="BR50" s="2">
        <v>0</v>
      </c>
      <c r="BS50" s="2">
        <v>1</v>
      </c>
      <c r="BT50" s="2">
        <v>1</v>
      </c>
      <c r="BU50" s="2">
        <v>1</v>
      </c>
      <c r="BV50" s="2">
        <v>1</v>
      </c>
      <c r="BW50" s="2">
        <v>1</v>
      </c>
      <c r="BX50" s="2">
        <v>1</v>
      </c>
      <c r="BY50" s="2" t="s">
        <v>3</v>
      </c>
      <c r="BZ50" s="2">
        <v>89</v>
      </c>
      <c r="CA50" s="2">
        <v>44</v>
      </c>
      <c r="CB50" s="2" t="s">
        <v>3</v>
      </c>
      <c r="CC50" s="2"/>
      <c r="CD50" s="2"/>
      <c r="CE50" s="2">
        <v>0</v>
      </c>
      <c r="CF50" s="2">
        <v>0</v>
      </c>
      <c r="CG50" s="2">
        <v>0</v>
      </c>
      <c r="CH50" s="2"/>
      <c r="CI50" s="2"/>
      <c r="CJ50" s="2"/>
      <c r="CK50" s="2"/>
      <c r="CL50" s="2"/>
      <c r="CM50" s="2">
        <v>0</v>
      </c>
      <c r="CN50" s="2" t="s">
        <v>3</v>
      </c>
      <c r="CO50" s="2">
        <v>0</v>
      </c>
      <c r="CP50" s="2">
        <f>0</f>
        <v>0</v>
      </c>
      <c r="CQ50" s="2">
        <f>0</f>
        <v>0</v>
      </c>
      <c r="CR50" s="2">
        <f>0</f>
        <v>0</v>
      </c>
      <c r="CS50" s="2">
        <f>0</f>
        <v>0</v>
      </c>
      <c r="CT50" s="2">
        <f>0</f>
        <v>0</v>
      </c>
      <c r="CU50" s="2">
        <f>0</f>
        <v>0</v>
      </c>
      <c r="CV50" s="2">
        <f>0</f>
        <v>0</v>
      </c>
      <c r="CW50" s="2">
        <f>0</f>
        <v>0</v>
      </c>
      <c r="CX50" s="2">
        <f>0</f>
        <v>0</v>
      </c>
      <c r="CY50" s="2">
        <f>0</f>
        <v>0</v>
      </c>
      <c r="CZ50" s="2">
        <f>0</f>
        <v>0</v>
      </c>
      <c r="DA50" s="2"/>
      <c r="DB50" s="2"/>
      <c r="DC50" s="2" t="s">
        <v>3</v>
      </c>
      <c r="DD50" s="2" t="s">
        <v>3</v>
      </c>
      <c r="DE50" s="2" t="s">
        <v>3</v>
      </c>
      <c r="DF50" s="2" t="s">
        <v>3</v>
      </c>
      <c r="DG50" s="2" t="s">
        <v>3</v>
      </c>
      <c r="DH50" s="2" t="s">
        <v>3</v>
      </c>
      <c r="DI50" s="2" t="s">
        <v>3</v>
      </c>
      <c r="DJ50" s="2" t="s">
        <v>3</v>
      </c>
      <c r="DK50" s="2" t="s">
        <v>3</v>
      </c>
      <c r="DL50" s="2" t="s">
        <v>3</v>
      </c>
      <c r="DM50" s="2" t="s">
        <v>3</v>
      </c>
      <c r="DN50" s="2">
        <v>0</v>
      </c>
      <c r="DO50" s="2">
        <v>0</v>
      </c>
      <c r="DP50" s="2">
        <v>1</v>
      </c>
      <c r="DQ50" s="2">
        <v>1</v>
      </c>
      <c r="DR50" s="2"/>
      <c r="DS50" s="2"/>
      <c r="DT50" s="2"/>
      <c r="DU50" s="2">
        <v>1013</v>
      </c>
      <c r="DV50" s="2" t="s">
        <v>27</v>
      </c>
      <c r="DW50" s="2" t="s">
        <v>27</v>
      </c>
      <c r="DX50" s="2">
        <v>1</v>
      </c>
      <c r="DY50" s="2"/>
      <c r="DZ50" s="2" t="s">
        <v>3</v>
      </c>
      <c r="EA50" s="2" t="s">
        <v>3</v>
      </c>
      <c r="EB50" s="2" t="s">
        <v>3</v>
      </c>
      <c r="EC50" s="2" t="s">
        <v>3</v>
      </c>
      <c r="ED50" s="2"/>
      <c r="EE50" s="2">
        <v>91082123</v>
      </c>
      <c r="EF50" s="2">
        <v>3</v>
      </c>
      <c r="EG50" s="2" t="s">
        <v>20</v>
      </c>
      <c r="EH50" s="2">
        <v>104</v>
      </c>
      <c r="EI50" s="2" t="s">
        <v>21</v>
      </c>
      <c r="EJ50" s="2">
        <v>2</v>
      </c>
      <c r="EK50" s="2">
        <v>141001</v>
      </c>
      <c r="EL50" s="2" t="s">
        <v>21</v>
      </c>
      <c r="EM50" s="2" t="s">
        <v>22</v>
      </c>
      <c r="EN50" s="2"/>
      <c r="EO50" s="2" t="s">
        <v>3</v>
      </c>
      <c r="EP50" s="2"/>
      <c r="EQ50" s="2">
        <v>1024</v>
      </c>
      <c r="ER50" s="2">
        <v>0</v>
      </c>
      <c r="ES50" s="2">
        <v>0</v>
      </c>
      <c r="ET50" s="2">
        <v>0</v>
      </c>
      <c r="EU50" s="2">
        <v>0</v>
      </c>
      <c r="EV50" s="2">
        <v>0</v>
      </c>
      <c r="EW50" s="2">
        <v>0</v>
      </c>
      <c r="EX50" s="2">
        <v>0</v>
      </c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>
        <v>0</v>
      </c>
      <c r="FR50" s="2">
        <v>0</v>
      </c>
      <c r="FS50" s="2">
        <v>0</v>
      </c>
      <c r="FT50" s="2"/>
      <c r="FU50" s="2"/>
      <c r="FV50" s="2"/>
      <c r="FW50" s="2"/>
      <c r="FX50" s="2">
        <v>89</v>
      </c>
      <c r="FY50" s="2">
        <v>44</v>
      </c>
      <c r="FZ50" s="2"/>
      <c r="GA50" s="2" t="s">
        <v>3</v>
      </c>
      <c r="GB50" s="2"/>
      <c r="GC50" s="2"/>
      <c r="GD50" s="2">
        <v>1</v>
      </c>
      <c r="GE50" s="2"/>
      <c r="GF50" s="2">
        <v>-152123987</v>
      </c>
      <c r="GG50" s="2">
        <v>2</v>
      </c>
      <c r="GH50" s="2">
        <v>1</v>
      </c>
      <c r="GI50" s="2">
        <v>-2</v>
      </c>
      <c r="GJ50" s="2">
        <v>0</v>
      </c>
      <c r="GK50" s="2">
        <v>0</v>
      </c>
      <c r="GL50" s="2">
        <f t="shared" si="21"/>
        <v>0</v>
      </c>
      <c r="GM50" s="2">
        <f t="shared" si="22"/>
        <v>0</v>
      </c>
      <c r="GN50" s="2">
        <f t="shared" si="23"/>
        <v>0</v>
      </c>
      <c r="GO50" s="2">
        <f t="shared" si="24"/>
        <v>0</v>
      </c>
      <c r="GP50" s="2">
        <f t="shared" si="25"/>
        <v>0</v>
      </c>
      <c r="GQ50" s="2"/>
      <c r="GR50" s="2">
        <v>0</v>
      </c>
      <c r="GS50" s="2">
        <v>3</v>
      </c>
      <c r="GT50" s="2">
        <v>0</v>
      </c>
      <c r="GU50" s="2" t="s">
        <v>3</v>
      </c>
      <c r="GV50" s="2">
        <f t="shared" si="26"/>
        <v>0</v>
      </c>
      <c r="GW50" s="2">
        <v>1</v>
      </c>
      <c r="GX50" s="2">
        <f t="shared" si="27"/>
        <v>0</v>
      </c>
      <c r="GY50" s="2"/>
      <c r="GZ50" s="2"/>
      <c r="HA50" s="2">
        <v>0</v>
      </c>
      <c r="HB50" s="2">
        <v>0</v>
      </c>
      <c r="HC50" s="2">
        <f>0</f>
        <v>0</v>
      </c>
      <c r="HD50" s="2"/>
      <c r="HE50" s="2" t="s">
        <v>3</v>
      </c>
      <c r="HF50" s="2" t="s">
        <v>3</v>
      </c>
      <c r="HG50" s="2"/>
      <c r="HH50" s="2"/>
      <c r="HI50" s="2"/>
      <c r="HJ50" s="2"/>
      <c r="HK50" s="2"/>
      <c r="HL50" s="2"/>
      <c r="HM50" s="2" t="s">
        <v>3</v>
      </c>
      <c r="HN50" s="2" t="s">
        <v>23</v>
      </c>
      <c r="HO50" s="2" t="s">
        <v>24</v>
      </c>
      <c r="HP50" s="2" t="s">
        <v>21</v>
      </c>
      <c r="HQ50" s="2" t="s">
        <v>21</v>
      </c>
      <c r="HR50" s="2"/>
      <c r="HS50" s="2">
        <v>0</v>
      </c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>
        <v>0</v>
      </c>
      <c r="IL50" s="2"/>
      <c r="IM50" s="2"/>
      <c r="IN50" s="2"/>
      <c r="IO50" s="2"/>
      <c r="IP50" s="2"/>
      <c r="IQ50" s="2"/>
      <c r="IR50" s="2"/>
      <c r="IS50" s="2"/>
      <c r="IT50" s="2"/>
      <c r="IU50" s="2"/>
    </row>
    <row r="52" spans="1:255" x14ac:dyDescent="0.2">
      <c r="A52" s="3">
        <v>51</v>
      </c>
      <c r="B52" s="3">
        <f>B20</f>
        <v>1</v>
      </c>
      <c r="C52" s="3">
        <f>A20</f>
        <v>3</v>
      </c>
      <c r="D52" s="3">
        <f>ROW(A20)</f>
        <v>20</v>
      </c>
      <c r="E52" s="3"/>
      <c r="F52" s="3" t="str">
        <f>IF(F20&lt;&gt;"",F20,"")</f>
        <v>Новая локальная смета</v>
      </c>
      <c r="G52" s="3" t="str">
        <f>IF(G20&lt;&gt;"",G20,"")</f>
        <v>Замена оборудования пассажирского лифта № 59327 по адресу: г. Москва, Петроверигский пер., д.10, стр.3</v>
      </c>
      <c r="H52" s="3">
        <v>0</v>
      </c>
      <c r="I52" s="3"/>
      <c r="J52" s="3"/>
      <c r="K52" s="3"/>
      <c r="L52" s="3"/>
      <c r="M52" s="3"/>
      <c r="N52" s="3"/>
      <c r="O52" s="3">
        <f t="shared" ref="O52:T52" si="37">ROUND(AB52,2)</f>
        <v>116939.07</v>
      </c>
      <c r="P52" s="3">
        <f t="shared" si="37"/>
        <v>69517.899999999994</v>
      </c>
      <c r="Q52" s="3">
        <f t="shared" si="37"/>
        <v>0</v>
      </c>
      <c r="R52" s="3">
        <f t="shared" si="37"/>
        <v>0</v>
      </c>
      <c r="S52" s="3">
        <f t="shared" si="37"/>
        <v>47421.17</v>
      </c>
      <c r="T52" s="3">
        <f t="shared" si="37"/>
        <v>0</v>
      </c>
      <c r="U52" s="3">
        <f>AH52</f>
        <v>67.42</v>
      </c>
      <c r="V52" s="3">
        <f>AI52</f>
        <v>0</v>
      </c>
      <c r="W52" s="3">
        <f>ROUND(AJ52,2)</f>
        <v>0</v>
      </c>
      <c r="X52" s="3">
        <f>ROUND(AK52,2)</f>
        <v>42204.84</v>
      </c>
      <c r="Y52" s="3">
        <f>ROUND(AL52,2)</f>
        <v>20865.310000000001</v>
      </c>
      <c r="Z52" s="3"/>
      <c r="AA52" s="3"/>
      <c r="AB52" s="3">
        <f>ROUND(SUMIF(AA24:AA50,"=92678453",O24:O50),2)</f>
        <v>116939.07</v>
      </c>
      <c r="AC52" s="3">
        <f>ROUND(SUMIF(AA24:AA50,"=92678453",P24:P50),2)</f>
        <v>69517.899999999994</v>
      </c>
      <c r="AD52" s="3">
        <f>ROUND(SUMIF(AA24:AA50,"=92678453",Q24:Q50),2)</f>
        <v>0</v>
      </c>
      <c r="AE52" s="3">
        <f>ROUND(SUMIF(AA24:AA50,"=92678453",R24:R50),2)</f>
        <v>0</v>
      </c>
      <c r="AF52" s="3">
        <f>ROUND(SUMIF(AA24:AA50,"=92678453",S24:S50),2)</f>
        <v>47421.17</v>
      </c>
      <c r="AG52" s="3">
        <f>ROUND(SUMIF(AA24:AA50,"=92678453",T24:T50),2)</f>
        <v>0</v>
      </c>
      <c r="AH52" s="3">
        <f>SUMIF(AA24:AA50,"=92678453",U24:U50)</f>
        <v>67.42</v>
      </c>
      <c r="AI52" s="3">
        <f>SUMIF(AA24:AA50,"=92678453",V24:V50)</f>
        <v>0</v>
      </c>
      <c r="AJ52" s="3">
        <f>ROUND(SUMIF(AA24:AA50,"=92678453",W24:W50),2)</f>
        <v>0</v>
      </c>
      <c r="AK52" s="3">
        <f>ROUND(SUMIF(AA24:AA50,"=92678453",X24:X50),2)</f>
        <v>42204.84</v>
      </c>
      <c r="AL52" s="3">
        <f>ROUND(SUMIF(AA24:AA50,"=92678453",Y24:Y50),2)</f>
        <v>20865.310000000001</v>
      </c>
      <c r="AM52" s="3"/>
      <c r="AN52" s="3"/>
      <c r="AO52" s="3">
        <f t="shared" ref="AO52:BD52" si="38">ROUND(BX52,2)</f>
        <v>0</v>
      </c>
      <c r="AP52" s="3">
        <f t="shared" si="38"/>
        <v>68095.259999999995</v>
      </c>
      <c r="AQ52" s="3">
        <f t="shared" si="38"/>
        <v>0</v>
      </c>
      <c r="AR52" s="3">
        <f t="shared" si="38"/>
        <v>180009.22</v>
      </c>
      <c r="AS52" s="3">
        <f t="shared" si="38"/>
        <v>0</v>
      </c>
      <c r="AT52" s="3">
        <f t="shared" si="38"/>
        <v>111913.96</v>
      </c>
      <c r="AU52" s="3">
        <f t="shared" si="38"/>
        <v>0</v>
      </c>
      <c r="AV52" s="3">
        <f t="shared" si="38"/>
        <v>69517.899999999994</v>
      </c>
      <c r="AW52" s="3">
        <f t="shared" si="38"/>
        <v>1422.64</v>
      </c>
      <c r="AX52" s="3">
        <f t="shared" si="38"/>
        <v>0</v>
      </c>
      <c r="AY52" s="3">
        <f t="shared" si="38"/>
        <v>1422.64</v>
      </c>
      <c r="AZ52" s="3">
        <f t="shared" si="38"/>
        <v>68095.259999999995</v>
      </c>
      <c r="BA52" s="3">
        <f t="shared" si="38"/>
        <v>0</v>
      </c>
      <c r="BB52" s="3">
        <f t="shared" si="38"/>
        <v>0</v>
      </c>
      <c r="BC52" s="3">
        <f t="shared" si="38"/>
        <v>0</v>
      </c>
      <c r="BD52" s="3">
        <f t="shared" si="38"/>
        <v>0</v>
      </c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>
        <f>ROUND(SUMIF(AA24:AA50,"=92678453",FQ24:FQ50),2)</f>
        <v>0</v>
      </c>
      <c r="BY52" s="3">
        <f>ROUND(SUMIF(AA24:AA50,"=92678453",FR24:FR50),2)</f>
        <v>68095.259999999995</v>
      </c>
      <c r="BZ52" s="3">
        <f>ROUND(SUMIF(AA24:AA50,"=92678453",GL24:GL50),2)</f>
        <v>0</v>
      </c>
      <c r="CA52" s="3">
        <f>ROUND(SUMIF(AA24:AA50,"=92678453",GM24:GM50),2)</f>
        <v>180009.22</v>
      </c>
      <c r="CB52" s="3">
        <f>ROUND(SUMIF(AA24:AA50,"=92678453",GN24:GN50),2)</f>
        <v>0</v>
      </c>
      <c r="CC52" s="3">
        <f>ROUND(SUMIF(AA24:AA50,"=92678453",GO24:GO50),2)</f>
        <v>111913.96</v>
      </c>
      <c r="CD52" s="3">
        <f>ROUND(SUMIF(AA24:AA50,"=92678453",GP24:GP50),2)</f>
        <v>0</v>
      </c>
      <c r="CE52" s="3">
        <f>AC52-BX52</f>
        <v>69517.899999999994</v>
      </c>
      <c r="CF52" s="3">
        <f>AC52-BY52</f>
        <v>1422.6399999999994</v>
      </c>
      <c r="CG52" s="3">
        <f>BX52-BZ52</f>
        <v>0</v>
      </c>
      <c r="CH52" s="3">
        <f>AC52-BX52-BY52+BZ52</f>
        <v>1422.6399999999994</v>
      </c>
      <c r="CI52" s="3">
        <f>BY52-BZ52</f>
        <v>68095.259999999995</v>
      </c>
      <c r="CJ52" s="3">
        <f>ROUND(SUMIF(AA24:AA50,"=92678453",GX24:GX50),2)</f>
        <v>0</v>
      </c>
      <c r="CK52" s="3">
        <f>ROUND(SUMIF(AA24:AA50,"=92678453",GY24:GY50),2)</f>
        <v>0</v>
      </c>
      <c r="CL52" s="3">
        <f>ROUND(SUMIF(AA24:AA50,"=92678453",GZ24:GZ50),2)</f>
        <v>0</v>
      </c>
      <c r="CM52" s="3">
        <f>ROUND(SUMIF(AA24:AA50,"=92678453",HD24:HD50),2)</f>
        <v>0</v>
      </c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>
        <v>0</v>
      </c>
    </row>
    <row r="54" spans="1:255" x14ac:dyDescent="0.2">
      <c r="A54" s="5">
        <v>50</v>
      </c>
      <c r="B54" s="5">
        <v>0</v>
      </c>
      <c r="C54" s="5">
        <v>0</v>
      </c>
      <c r="D54" s="5">
        <v>1</v>
      </c>
      <c r="E54" s="5">
        <v>201</v>
      </c>
      <c r="F54" s="5">
        <f>ROUND(Source!O52,O54)</f>
        <v>116939.07</v>
      </c>
      <c r="G54" s="5" t="s">
        <v>80</v>
      </c>
      <c r="H54" s="5" t="s">
        <v>81</v>
      </c>
      <c r="I54" s="5"/>
      <c r="J54" s="5"/>
      <c r="K54" s="5">
        <v>201</v>
      </c>
      <c r="L54" s="5">
        <v>1</v>
      </c>
      <c r="M54" s="5">
        <v>3</v>
      </c>
      <c r="N54" s="5" t="s">
        <v>3</v>
      </c>
      <c r="O54" s="5">
        <v>2</v>
      </c>
      <c r="P54" s="5"/>
      <c r="Q54" s="5"/>
      <c r="R54" s="5"/>
      <c r="S54" s="5"/>
      <c r="T54" s="5"/>
      <c r="U54" s="5"/>
      <c r="V54" s="5"/>
      <c r="W54" s="5">
        <v>48843.81</v>
      </c>
      <c r="X54" s="5">
        <v>1</v>
      </c>
      <c r="Y54" s="5">
        <v>48843.81</v>
      </c>
      <c r="Z54" s="5"/>
      <c r="AA54" s="5"/>
      <c r="AB54" s="5"/>
    </row>
    <row r="55" spans="1:255" x14ac:dyDescent="0.2">
      <c r="A55" s="5">
        <v>50</v>
      </c>
      <c r="B55" s="5">
        <v>0</v>
      </c>
      <c r="C55" s="5">
        <v>0</v>
      </c>
      <c r="D55" s="5">
        <v>1</v>
      </c>
      <c r="E55" s="5">
        <v>202</v>
      </c>
      <c r="F55" s="5">
        <f>ROUND(Source!P52,O55)</f>
        <v>69517.899999999994</v>
      </c>
      <c r="G55" s="5" t="s">
        <v>82</v>
      </c>
      <c r="H55" s="5" t="s">
        <v>83</v>
      </c>
      <c r="I55" s="5"/>
      <c r="J55" s="5"/>
      <c r="K55" s="5">
        <v>202</v>
      </c>
      <c r="L55" s="5">
        <v>2</v>
      </c>
      <c r="M55" s="5">
        <v>3</v>
      </c>
      <c r="N55" s="5" t="s">
        <v>3</v>
      </c>
      <c r="O55" s="5">
        <v>2</v>
      </c>
      <c r="P55" s="5"/>
      <c r="Q55" s="5"/>
      <c r="R55" s="5"/>
      <c r="S55" s="5"/>
      <c r="T55" s="5"/>
      <c r="U55" s="5"/>
      <c r="V55" s="5"/>
      <c r="W55" s="5">
        <v>69517.899999999994</v>
      </c>
      <c r="X55" s="5">
        <v>1</v>
      </c>
      <c r="Y55" s="5">
        <v>69517.899999999994</v>
      </c>
      <c r="Z55" s="5"/>
      <c r="AA55" s="5"/>
      <c r="AB55" s="5"/>
    </row>
    <row r="56" spans="1:255" x14ac:dyDescent="0.2">
      <c r="A56" s="5">
        <v>50</v>
      </c>
      <c r="B56" s="5">
        <v>0</v>
      </c>
      <c r="C56" s="5">
        <v>0</v>
      </c>
      <c r="D56" s="5">
        <v>1</v>
      </c>
      <c r="E56" s="5">
        <v>222</v>
      </c>
      <c r="F56" s="5">
        <f>ROUND(Source!AO52,O56)</f>
        <v>0</v>
      </c>
      <c r="G56" s="5" t="s">
        <v>84</v>
      </c>
      <c r="H56" s="5" t="s">
        <v>85</v>
      </c>
      <c r="I56" s="5"/>
      <c r="J56" s="5"/>
      <c r="K56" s="5">
        <v>222</v>
      </c>
      <c r="L56" s="5">
        <v>3</v>
      </c>
      <c r="M56" s="5">
        <v>3</v>
      </c>
      <c r="N56" s="5" t="s">
        <v>3</v>
      </c>
      <c r="O56" s="5">
        <v>2</v>
      </c>
      <c r="P56" s="5"/>
      <c r="Q56" s="5"/>
      <c r="R56" s="5"/>
      <c r="S56" s="5"/>
      <c r="T56" s="5"/>
      <c r="U56" s="5"/>
      <c r="V56" s="5"/>
      <c r="W56" s="5">
        <v>0</v>
      </c>
      <c r="X56" s="5">
        <v>1</v>
      </c>
      <c r="Y56" s="5">
        <v>0</v>
      </c>
      <c r="Z56" s="5"/>
      <c r="AA56" s="5"/>
      <c r="AB56" s="5"/>
    </row>
    <row r="57" spans="1:255" x14ac:dyDescent="0.2">
      <c r="A57" s="5">
        <v>50</v>
      </c>
      <c r="B57" s="5">
        <v>0</v>
      </c>
      <c r="C57" s="5">
        <v>0</v>
      </c>
      <c r="D57" s="5">
        <v>1</v>
      </c>
      <c r="E57" s="5">
        <v>225</v>
      </c>
      <c r="F57" s="5">
        <f>ROUND(Source!AV52,O57)</f>
        <v>69517.899999999994</v>
      </c>
      <c r="G57" s="5" t="s">
        <v>86</v>
      </c>
      <c r="H57" s="5" t="s">
        <v>87</v>
      </c>
      <c r="I57" s="5"/>
      <c r="J57" s="5"/>
      <c r="K57" s="5">
        <v>225</v>
      </c>
      <c r="L57" s="5">
        <v>4</v>
      </c>
      <c r="M57" s="5">
        <v>3</v>
      </c>
      <c r="N57" s="5" t="s">
        <v>3</v>
      </c>
      <c r="O57" s="5">
        <v>2</v>
      </c>
      <c r="P57" s="5"/>
      <c r="Q57" s="5"/>
      <c r="R57" s="5"/>
      <c r="S57" s="5"/>
      <c r="T57" s="5"/>
      <c r="U57" s="5"/>
      <c r="V57" s="5"/>
      <c r="W57" s="5">
        <v>69517.899999999994</v>
      </c>
      <c r="X57" s="5">
        <v>1</v>
      </c>
      <c r="Y57" s="5">
        <v>69517.899999999994</v>
      </c>
      <c r="Z57" s="5"/>
      <c r="AA57" s="5"/>
      <c r="AB57" s="5"/>
    </row>
    <row r="58" spans="1:255" x14ac:dyDescent="0.2">
      <c r="A58" s="5">
        <v>50</v>
      </c>
      <c r="B58" s="5">
        <v>0</v>
      </c>
      <c r="C58" s="5">
        <v>0</v>
      </c>
      <c r="D58" s="5">
        <v>1</v>
      </c>
      <c r="E58" s="5">
        <v>226</v>
      </c>
      <c r="F58" s="5">
        <f>ROUND(Source!AW52,O58)</f>
        <v>1422.64</v>
      </c>
      <c r="G58" s="5" t="s">
        <v>88</v>
      </c>
      <c r="H58" s="5" t="s">
        <v>89</v>
      </c>
      <c r="I58" s="5"/>
      <c r="J58" s="5"/>
      <c r="K58" s="5">
        <v>226</v>
      </c>
      <c r="L58" s="5">
        <v>5</v>
      </c>
      <c r="M58" s="5">
        <v>3</v>
      </c>
      <c r="N58" s="5" t="s">
        <v>3</v>
      </c>
      <c r="O58" s="5">
        <v>2</v>
      </c>
      <c r="P58" s="5"/>
      <c r="Q58" s="5"/>
      <c r="R58" s="5"/>
      <c r="S58" s="5"/>
      <c r="T58" s="5"/>
      <c r="U58" s="5"/>
      <c r="V58" s="5"/>
      <c r="W58" s="5">
        <v>1422.64</v>
      </c>
      <c r="X58" s="5">
        <v>1</v>
      </c>
      <c r="Y58" s="5">
        <v>1422.64</v>
      </c>
      <c r="Z58" s="5"/>
      <c r="AA58" s="5"/>
      <c r="AB58" s="5"/>
    </row>
    <row r="59" spans="1:255" x14ac:dyDescent="0.2">
      <c r="A59" s="5">
        <v>50</v>
      </c>
      <c r="B59" s="5">
        <v>0</v>
      </c>
      <c r="C59" s="5">
        <v>0</v>
      </c>
      <c r="D59" s="5">
        <v>1</v>
      </c>
      <c r="E59" s="5">
        <v>227</v>
      </c>
      <c r="F59" s="5">
        <f>ROUND(Source!AX52,O59)</f>
        <v>0</v>
      </c>
      <c r="G59" s="5" t="s">
        <v>90</v>
      </c>
      <c r="H59" s="5" t="s">
        <v>91</v>
      </c>
      <c r="I59" s="5"/>
      <c r="J59" s="5"/>
      <c r="K59" s="5">
        <v>227</v>
      </c>
      <c r="L59" s="5">
        <v>6</v>
      </c>
      <c r="M59" s="5">
        <v>3</v>
      </c>
      <c r="N59" s="5" t="s">
        <v>3</v>
      </c>
      <c r="O59" s="5">
        <v>2</v>
      </c>
      <c r="P59" s="5"/>
      <c r="Q59" s="5"/>
      <c r="R59" s="5"/>
      <c r="S59" s="5"/>
      <c r="T59" s="5"/>
      <c r="U59" s="5"/>
      <c r="V59" s="5"/>
      <c r="W59" s="5">
        <v>0</v>
      </c>
      <c r="X59" s="5">
        <v>1</v>
      </c>
      <c r="Y59" s="5">
        <v>0</v>
      </c>
      <c r="Z59" s="5"/>
      <c r="AA59" s="5"/>
      <c r="AB59" s="5"/>
    </row>
    <row r="60" spans="1:255" x14ac:dyDescent="0.2">
      <c r="A60" s="5">
        <v>50</v>
      </c>
      <c r="B60" s="5">
        <v>0</v>
      </c>
      <c r="C60" s="5">
        <v>0</v>
      </c>
      <c r="D60" s="5">
        <v>1</v>
      </c>
      <c r="E60" s="5">
        <v>228</v>
      </c>
      <c r="F60" s="5">
        <f>ROUND(Source!AY52,O60)</f>
        <v>1422.64</v>
      </c>
      <c r="G60" s="5" t="s">
        <v>92</v>
      </c>
      <c r="H60" s="5" t="s">
        <v>93</v>
      </c>
      <c r="I60" s="5"/>
      <c r="J60" s="5"/>
      <c r="K60" s="5">
        <v>228</v>
      </c>
      <c r="L60" s="5">
        <v>7</v>
      </c>
      <c r="M60" s="5">
        <v>3</v>
      </c>
      <c r="N60" s="5" t="s">
        <v>3</v>
      </c>
      <c r="O60" s="5">
        <v>2</v>
      </c>
      <c r="P60" s="5"/>
      <c r="Q60" s="5"/>
      <c r="R60" s="5"/>
      <c r="S60" s="5"/>
      <c r="T60" s="5"/>
      <c r="U60" s="5"/>
      <c r="V60" s="5"/>
      <c r="W60" s="5">
        <v>1422.64</v>
      </c>
      <c r="X60" s="5">
        <v>1</v>
      </c>
      <c r="Y60" s="5">
        <v>1422.64</v>
      </c>
      <c r="Z60" s="5"/>
      <c r="AA60" s="5"/>
      <c r="AB60" s="5"/>
    </row>
    <row r="61" spans="1:255" x14ac:dyDescent="0.2">
      <c r="A61" s="5">
        <v>50</v>
      </c>
      <c r="B61" s="5">
        <v>0</v>
      </c>
      <c r="C61" s="5">
        <v>0</v>
      </c>
      <c r="D61" s="5">
        <v>1</v>
      </c>
      <c r="E61" s="5">
        <v>216</v>
      </c>
      <c r="F61" s="5">
        <f>ROUND(Source!AP52,O61)</f>
        <v>68095.259999999995</v>
      </c>
      <c r="G61" s="5" t="s">
        <v>94</v>
      </c>
      <c r="H61" s="5" t="s">
        <v>95</v>
      </c>
      <c r="I61" s="5"/>
      <c r="J61" s="5"/>
      <c r="K61" s="5">
        <v>216</v>
      </c>
      <c r="L61" s="5">
        <v>8</v>
      </c>
      <c r="M61" s="5">
        <v>3</v>
      </c>
      <c r="N61" s="5" t="s">
        <v>3</v>
      </c>
      <c r="O61" s="5">
        <v>2</v>
      </c>
      <c r="P61" s="5"/>
      <c r="Q61" s="5"/>
      <c r="R61" s="5"/>
      <c r="S61" s="5"/>
      <c r="T61" s="5"/>
      <c r="U61" s="5"/>
      <c r="V61" s="5"/>
      <c r="W61" s="5">
        <v>68095.259999999995</v>
      </c>
      <c r="X61" s="5">
        <v>1</v>
      </c>
      <c r="Y61" s="5">
        <v>68095.259999999995</v>
      </c>
      <c r="Z61" s="5"/>
      <c r="AA61" s="5"/>
      <c r="AB61" s="5"/>
    </row>
    <row r="62" spans="1:255" x14ac:dyDescent="0.2">
      <c r="A62" s="5">
        <v>50</v>
      </c>
      <c r="B62" s="5">
        <v>0</v>
      </c>
      <c r="C62" s="5">
        <v>0</v>
      </c>
      <c r="D62" s="5">
        <v>1</v>
      </c>
      <c r="E62" s="5">
        <v>223</v>
      </c>
      <c r="F62" s="5">
        <f>ROUND(Source!AQ52,O62)</f>
        <v>0</v>
      </c>
      <c r="G62" s="5" t="s">
        <v>96</v>
      </c>
      <c r="H62" s="5" t="s">
        <v>97</v>
      </c>
      <c r="I62" s="5"/>
      <c r="J62" s="5"/>
      <c r="K62" s="5">
        <v>223</v>
      </c>
      <c r="L62" s="5">
        <v>9</v>
      </c>
      <c r="M62" s="5">
        <v>3</v>
      </c>
      <c r="N62" s="5" t="s">
        <v>3</v>
      </c>
      <c r="O62" s="5">
        <v>2</v>
      </c>
      <c r="P62" s="5"/>
      <c r="Q62" s="5"/>
      <c r="R62" s="5"/>
      <c r="S62" s="5"/>
      <c r="T62" s="5"/>
      <c r="U62" s="5"/>
      <c r="V62" s="5"/>
      <c r="W62" s="5">
        <v>0</v>
      </c>
      <c r="X62" s="5">
        <v>1</v>
      </c>
      <c r="Y62" s="5">
        <v>0</v>
      </c>
      <c r="Z62" s="5"/>
      <c r="AA62" s="5"/>
      <c r="AB62" s="5"/>
    </row>
    <row r="63" spans="1:255" x14ac:dyDescent="0.2">
      <c r="A63" s="5">
        <v>50</v>
      </c>
      <c r="B63" s="5">
        <v>0</v>
      </c>
      <c r="C63" s="5">
        <v>0</v>
      </c>
      <c r="D63" s="5">
        <v>1</v>
      </c>
      <c r="E63" s="5">
        <v>229</v>
      </c>
      <c r="F63" s="5">
        <f>ROUND(Source!AZ52,O63)</f>
        <v>68095.259999999995</v>
      </c>
      <c r="G63" s="5" t="s">
        <v>98</v>
      </c>
      <c r="H63" s="5" t="s">
        <v>99</v>
      </c>
      <c r="I63" s="5"/>
      <c r="J63" s="5"/>
      <c r="K63" s="5">
        <v>229</v>
      </c>
      <c r="L63" s="5">
        <v>10</v>
      </c>
      <c r="M63" s="5">
        <v>3</v>
      </c>
      <c r="N63" s="5" t="s">
        <v>3</v>
      </c>
      <c r="O63" s="5">
        <v>2</v>
      </c>
      <c r="P63" s="5"/>
      <c r="Q63" s="5"/>
      <c r="R63" s="5"/>
      <c r="S63" s="5"/>
      <c r="T63" s="5"/>
      <c r="U63" s="5"/>
      <c r="V63" s="5"/>
      <c r="W63" s="5">
        <v>68095.259999999995</v>
      </c>
      <c r="X63" s="5">
        <v>1</v>
      </c>
      <c r="Y63" s="5">
        <v>68095.259999999995</v>
      </c>
      <c r="Z63" s="5"/>
      <c r="AA63" s="5"/>
      <c r="AB63" s="5"/>
    </row>
    <row r="64" spans="1:255" x14ac:dyDescent="0.2">
      <c r="A64" s="5">
        <v>50</v>
      </c>
      <c r="B64" s="5">
        <v>0</v>
      </c>
      <c r="C64" s="5">
        <v>0</v>
      </c>
      <c r="D64" s="5">
        <v>1</v>
      </c>
      <c r="E64" s="5">
        <v>203</v>
      </c>
      <c r="F64" s="5">
        <f>ROUND(Source!Q52,O64)</f>
        <v>0</v>
      </c>
      <c r="G64" s="5" t="s">
        <v>100</v>
      </c>
      <c r="H64" s="5" t="s">
        <v>101</v>
      </c>
      <c r="I64" s="5"/>
      <c r="J64" s="5"/>
      <c r="K64" s="5">
        <v>203</v>
      </c>
      <c r="L64" s="5">
        <v>11</v>
      </c>
      <c r="M64" s="5">
        <v>3</v>
      </c>
      <c r="N64" s="5" t="s">
        <v>3</v>
      </c>
      <c r="O64" s="5">
        <v>2</v>
      </c>
      <c r="P64" s="5"/>
      <c r="Q64" s="5"/>
      <c r="R64" s="5"/>
      <c r="S64" s="5"/>
      <c r="T64" s="5"/>
      <c r="U64" s="5"/>
      <c r="V64" s="5"/>
      <c r="W64" s="5">
        <v>0</v>
      </c>
      <c r="X64" s="5">
        <v>1</v>
      </c>
      <c r="Y64" s="5">
        <v>0</v>
      </c>
      <c r="Z64" s="5"/>
      <c r="AA64" s="5"/>
      <c r="AB64" s="5"/>
    </row>
    <row r="65" spans="1:28" x14ac:dyDescent="0.2">
      <c r="A65" s="5">
        <v>50</v>
      </c>
      <c r="B65" s="5">
        <v>0</v>
      </c>
      <c r="C65" s="5">
        <v>0</v>
      </c>
      <c r="D65" s="5">
        <v>1</v>
      </c>
      <c r="E65" s="5">
        <v>231</v>
      </c>
      <c r="F65" s="5">
        <f>ROUND(Source!BB52,O65)</f>
        <v>0</v>
      </c>
      <c r="G65" s="5" t="s">
        <v>102</v>
      </c>
      <c r="H65" s="5" t="s">
        <v>103</v>
      </c>
      <c r="I65" s="5"/>
      <c r="J65" s="5"/>
      <c r="K65" s="5">
        <v>231</v>
      </c>
      <c r="L65" s="5">
        <v>12</v>
      </c>
      <c r="M65" s="5">
        <v>3</v>
      </c>
      <c r="N65" s="5" t="s">
        <v>3</v>
      </c>
      <c r="O65" s="5">
        <v>2</v>
      </c>
      <c r="P65" s="5"/>
      <c r="Q65" s="5"/>
      <c r="R65" s="5"/>
      <c r="S65" s="5"/>
      <c r="T65" s="5"/>
      <c r="U65" s="5"/>
      <c r="V65" s="5"/>
      <c r="W65" s="5">
        <v>0</v>
      </c>
      <c r="X65" s="5">
        <v>1</v>
      </c>
      <c r="Y65" s="5">
        <v>0</v>
      </c>
      <c r="Z65" s="5"/>
      <c r="AA65" s="5"/>
      <c r="AB65" s="5"/>
    </row>
    <row r="66" spans="1:28" x14ac:dyDescent="0.2">
      <c r="A66" s="5">
        <v>50</v>
      </c>
      <c r="B66" s="5">
        <v>0</v>
      </c>
      <c r="C66" s="5">
        <v>0</v>
      </c>
      <c r="D66" s="5">
        <v>1</v>
      </c>
      <c r="E66" s="5">
        <v>204</v>
      </c>
      <c r="F66" s="5">
        <f>ROUND(Source!R52,O66)</f>
        <v>0</v>
      </c>
      <c r="G66" s="5" t="s">
        <v>104</v>
      </c>
      <c r="H66" s="5" t="s">
        <v>105</v>
      </c>
      <c r="I66" s="5"/>
      <c r="J66" s="5"/>
      <c r="K66" s="5">
        <v>204</v>
      </c>
      <c r="L66" s="5">
        <v>13</v>
      </c>
      <c r="M66" s="5">
        <v>3</v>
      </c>
      <c r="N66" s="5" t="s">
        <v>3</v>
      </c>
      <c r="O66" s="5">
        <v>2</v>
      </c>
      <c r="P66" s="5"/>
      <c r="Q66" s="5"/>
      <c r="R66" s="5"/>
      <c r="S66" s="5"/>
      <c r="T66" s="5"/>
      <c r="U66" s="5"/>
      <c r="V66" s="5"/>
      <c r="W66" s="5">
        <v>0</v>
      </c>
      <c r="X66" s="5">
        <v>1</v>
      </c>
      <c r="Y66" s="5">
        <v>0</v>
      </c>
      <c r="Z66" s="5"/>
      <c r="AA66" s="5"/>
      <c r="AB66" s="5"/>
    </row>
    <row r="67" spans="1:28" x14ac:dyDescent="0.2">
      <c r="A67" s="5">
        <v>50</v>
      </c>
      <c r="B67" s="5">
        <v>0</v>
      </c>
      <c r="C67" s="5">
        <v>0</v>
      </c>
      <c r="D67" s="5">
        <v>1</v>
      </c>
      <c r="E67" s="5">
        <v>205</v>
      </c>
      <c r="F67" s="5">
        <f>ROUND(Source!S52,O67)</f>
        <v>47421.17</v>
      </c>
      <c r="G67" s="5" t="s">
        <v>106</v>
      </c>
      <c r="H67" s="5" t="s">
        <v>107</v>
      </c>
      <c r="I67" s="5"/>
      <c r="J67" s="5"/>
      <c r="K67" s="5">
        <v>205</v>
      </c>
      <c r="L67" s="5">
        <v>14</v>
      </c>
      <c r="M67" s="5">
        <v>3</v>
      </c>
      <c r="N67" s="5" t="s">
        <v>3</v>
      </c>
      <c r="O67" s="5">
        <v>2</v>
      </c>
      <c r="P67" s="5"/>
      <c r="Q67" s="5"/>
      <c r="R67" s="5"/>
      <c r="S67" s="5"/>
      <c r="T67" s="5"/>
      <c r="U67" s="5"/>
      <c r="V67" s="5"/>
      <c r="W67" s="5">
        <v>47421.17</v>
      </c>
      <c r="X67" s="5">
        <v>1</v>
      </c>
      <c r="Y67" s="5">
        <v>47421.17</v>
      </c>
      <c r="Z67" s="5"/>
      <c r="AA67" s="5"/>
      <c r="AB67" s="5"/>
    </row>
    <row r="68" spans="1:28" x14ac:dyDescent="0.2">
      <c r="A68" s="5">
        <v>50</v>
      </c>
      <c r="B68" s="5">
        <v>0</v>
      </c>
      <c r="C68" s="5">
        <v>0</v>
      </c>
      <c r="D68" s="5">
        <v>1</v>
      </c>
      <c r="E68" s="5">
        <v>232</v>
      </c>
      <c r="F68" s="5">
        <f>ROUND(Source!BC52,O68)</f>
        <v>0</v>
      </c>
      <c r="G68" s="5" t="s">
        <v>108</v>
      </c>
      <c r="H68" s="5" t="s">
        <v>109</v>
      </c>
      <c r="I68" s="5"/>
      <c r="J68" s="5"/>
      <c r="K68" s="5">
        <v>232</v>
      </c>
      <c r="L68" s="5">
        <v>15</v>
      </c>
      <c r="M68" s="5">
        <v>3</v>
      </c>
      <c r="N68" s="5" t="s">
        <v>3</v>
      </c>
      <c r="O68" s="5">
        <v>2</v>
      </c>
      <c r="P68" s="5"/>
      <c r="Q68" s="5"/>
      <c r="R68" s="5"/>
      <c r="S68" s="5"/>
      <c r="T68" s="5"/>
      <c r="U68" s="5"/>
      <c r="V68" s="5"/>
      <c r="W68" s="5">
        <v>0</v>
      </c>
      <c r="X68" s="5">
        <v>1</v>
      </c>
      <c r="Y68" s="5">
        <v>0</v>
      </c>
      <c r="Z68" s="5"/>
      <c r="AA68" s="5"/>
      <c r="AB68" s="5"/>
    </row>
    <row r="69" spans="1:28" x14ac:dyDescent="0.2">
      <c r="A69" s="5">
        <v>50</v>
      </c>
      <c r="B69" s="5">
        <v>0</v>
      </c>
      <c r="C69" s="5">
        <v>0</v>
      </c>
      <c r="D69" s="5">
        <v>1</v>
      </c>
      <c r="E69" s="5">
        <v>214</v>
      </c>
      <c r="F69" s="5">
        <f>ROUND(Source!AS52,O69)</f>
        <v>0</v>
      </c>
      <c r="G69" s="5" t="s">
        <v>110</v>
      </c>
      <c r="H69" s="5" t="s">
        <v>111</v>
      </c>
      <c r="I69" s="5"/>
      <c r="J69" s="5"/>
      <c r="K69" s="5">
        <v>214</v>
      </c>
      <c r="L69" s="5">
        <v>16</v>
      </c>
      <c r="M69" s="5">
        <v>3</v>
      </c>
      <c r="N69" s="5" t="s">
        <v>3</v>
      </c>
      <c r="O69" s="5">
        <v>2</v>
      </c>
      <c r="P69" s="5"/>
      <c r="Q69" s="5"/>
      <c r="R69" s="5"/>
      <c r="S69" s="5"/>
      <c r="T69" s="5"/>
      <c r="U69" s="5"/>
      <c r="V69" s="5"/>
      <c r="W69" s="5">
        <v>0</v>
      </c>
      <c r="X69" s="5">
        <v>1</v>
      </c>
      <c r="Y69" s="5">
        <v>0</v>
      </c>
      <c r="Z69" s="5"/>
      <c r="AA69" s="5"/>
      <c r="AB69" s="5"/>
    </row>
    <row r="70" spans="1:28" x14ac:dyDescent="0.2">
      <c r="A70" s="5">
        <v>50</v>
      </c>
      <c r="B70" s="5">
        <v>0</v>
      </c>
      <c r="C70" s="5">
        <v>0</v>
      </c>
      <c r="D70" s="5">
        <v>1</v>
      </c>
      <c r="E70" s="5">
        <v>215</v>
      </c>
      <c r="F70" s="5">
        <f>ROUND(Source!AT52,O70)</f>
        <v>111913.96</v>
      </c>
      <c r="G70" s="5" t="s">
        <v>112</v>
      </c>
      <c r="H70" s="5" t="s">
        <v>113</v>
      </c>
      <c r="I70" s="5"/>
      <c r="J70" s="5"/>
      <c r="K70" s="5">
        <v>215</v>
      </c>
      <c r="L70" s="5">
        <v>17</v>
      </c>
      <c r="M70" s="5">
        <v>3</v>
      </c>
      <c r="N70" s="5" t="s">
        <v>3</v>
      </c>
      <c r="O70" s="5">
        <v>2</v>
      </c>
      <c r="P70" s="5"/>
      <c r="Q70" s="5"/>
      <c r="R70" s="5"/>
      <c r="S70" s="5"/>
      <c r="T70" s="5"/>
      <c r="U70" s="5"/>
      <c r="V70" s="5"/>
      <c r="W70" s="5">
        <v>111913.96</v>
      </c>
      <c r="X70" s="5">
        <v>1</v>
      </c>
      <c r="Y70" s="5">
        <v>111913.96</v>
      </c>
      <c r="Z70" s="5"/>
      <c r="AA70" s="5"/>
      <c r="AB70" s="5"/>
    </row>
    <row r="71" spans="1:28" x14ac:dyDescent="0.2">
      <c r="A71" s="5">
        <v>50</v>
      </c>
      <c r="B71" s="5">
        <v>0</v>
      </c>
      <c r="C71" s="5">
        <v>0</v>
      </c>
      <c r="D71" s="5">
        <v>1</v>
      </c>
      <c r="E71" s="5">
        <v>217</v>
      </c>
      <c r="F71" s="5">
        <f>ROUND(Source!AU52,O71)</f>
        <v>0</v>
      </c>
      <c r="G71" s="5" t="s">
        <v>114</v>
      </c>
      <c r="H71" s="5" t="s">
        <v>115</v>
      </c>
      <c r="I71" s="5"/>
      <c r="J71" s="5"/>
      <c r="K71" s="5">
        <v>217</v>
      </c>
      <c r="L71" s="5">
        <v>18</v>
      </c>
      <c r="M71" s="5">
        <v>3</v>
      </c>
      <c r="N71" s="5" t="s">
        <v>3</v>
      </c>
      <c r="O71" s="5">
        <v>2</v>
      </c>
      <c r="P71" s="5"/>
      <c r="Q71" s="5"/>
      <c r="R71" s="5"/>
      <c r="S71" s="5"/>
      <c r="T71" s="5"/>
      <c r="U71" s="5"/>
      <c r="V71" s="5"/>
      <c r="W71" s="5">
        <v>0</v>
      </c>
      <c r="X71" s="5">
        <v>1</v>
      </c>
      <c r="Y71" s="5">
        <v>0</v>
      </c>
      <c r="Z71" s="5"/>
      <c r="AA71" s="5"/>
      <c r="AB71" s="5"/>
    </row>
    <row r="72" spans="1:28" x14ac:dyDescent="0.2">
      <c r="A72" s="5">
        <v>50</v>
      </c>
      <c r="B72" s="5">
        <v>0</v>
      </c>
      <c r="C72" s="5">
        <v>0</v>
      </c>
      <c r="D72" s="5">
        <v>1</v>
      </c>
      <c r="E72" s="5">
        <v>230</v>
      </c>
      <c r="F72" s="5">
        <f>ROUND(Source!BA52,O72)</f>
        <v>0</v>
      </c>
      <c r="G72" s="5" t="s">
        <v>116</v>
      </c>
      <c r="H72" s="5" t="s">
        <v>117</v>
      </c>
      <c r="I72" s="5"/>
      <c r="J72" s="5"/>
      <c r="K72" s="5">
        <v>230</v>
      </c>
      <c r="L72" s="5">
        <v>19</v>
      </c>
      <c r="M72" s="5">
        <v>3</v>
      </c>
      <c r="N72" s="5" t="s">
        <v>3</v>
      </c>
      <c r="O72" s="5">
        <v>2</v>
      </c>
      <c r="P72" s="5"/>
      <c r="Q72" s="5"/>
      <c r="R72" s="5"/>
      <c r="S72" s="5"/>
      <c r="T72" s="5"/>
      <c r="U72" s="5"/>
      <c r="V72" s="5"/>
      <c r="W72" s="5">
        <v>0</v>
      </c>
      <c r="X72" s="5">
        <v>1</v>
      </c>
      <c r="Y72" s="5">
        <v>0</v>
      </c>
      <c r="Z72" s="5"/>
      <c r="AA72" s="5"/>
      <c r="AB72" s="5"/>
    </row>
    <row r="73" spans="1:28" x14ac:dyDescent="0.2">
      <c r="A73" s="5">
        <v>50</v>
      </c>
      <c r="B73" s="5">
        <v>0</v>
      </c>
      <c r="C73" s="5">
        <v>0</v>
      </c>
      <c r="D73" s="5">
        <v>1</v>
      </c>
      <c r="E73" s="5">
        <v>206</v>
      </c>
      <c r="F73" s="5">
        <f>ROUND(Source!T52,O73)</f>
        <v>0</v>
      </c>
      <c r="G73" s="5" t="s">
        <v>118</v>
      </c>
      <c r="H73" s="5" t="s">
        <v>119</v>
      </c>
      <c r="I73" s="5"/>
      <c r="J73" s="5"/>
      <c r="K73" s="5">
        <v>206</v>
      </c>
      <c r="L73" s="5">
        <v>20</v>
      </c>
      <c r="M73" s="5">
        <v>3</v>
      </c>
      <c r="N73" s="5" t="s">
        <v>3</v>
      </c>
      <c r="O73" s="5">
        <v>2</v>
      </c>
      <c r="P73" s="5"/>
      <c r="Q73" s="5"/>
      <c r="R73" s="5"/>
      <c r="S73" s="5"/>
      <c r="T73" s="5"/>
      <c r="U73" s="5"/>
      <c r="V73" s="5"/>
      <c r="W73" s="5">
        <v>0</v>
      </c>
      <c r="X73" s="5">
        <v>1</v>
      </c>
      <c r="Y73" s="5">
        <v>0</v>
      </c>
      <c r="Z73" s="5"/>
      <c r="AA73" s="5"/>
      <c r="AB73" s="5"/>
    </row>
    <row r="74" spans="1:28" x14ac:dyDescent="0.2">
      <c r="A74" s="5">
        <v>50</v>
      </c>
      <c r="B74" s="5">
        <v>0</v>
      </c>
      <c r="C74" s="5">
        <v>0</v>
      </c>
      <c r="D74" s="5">
        <v>1</v>
      </c>
      <c r="E74" s="5">
        <v>207</v>
      </c>
      <c r="F74" s="5">
        <f>ROUND(Source!U52,O74)</f>
        <v>67.42</v>
      </c>
      <c r="G74" s="5" t="s">
        <v>120</v>
      </c>
      <c r="H74" s="5" t="s">
        <v>121</v>
      </c>
      <c r="I74" s="5"/>
      <c r="J74" s="5"/>
      <c r="K74" s="5">
        <v>207</v>
      </c>
      <c r="L74" s="5">
        <v>21</v>
      </c>
      <c r="M74" s="5">
        <v>3</v>
      </c>
      <c r="N74" s="5" t="s">
        <v>3</v>
      </c>
      <c r="O74" s="5">
        <v>7</v>
      </c>
      <c r="P74" s="5"/>
      <c r="Q74" s="5"/>
      <c r="R74" s="5"/>
      <c r="S74" s="5"/>
      <c r="T74" s="5"/>
      <c r="U74" s="5"/>
      <c r="V74" s="5"/>
      <c r="W74" s="5">
        <v>67.42</v>
      </c>
      <c r="X74" s="5">
        <v>1</v>
      </c>
      <c r="Y74" s="5">
        <v>67.42</v>
      </c>
      <c r="Z74" s="5"/>
      <c r="AA74" s="5"/>
      <c r="AB74" s="5"/>
    </row>
    <row r="75" spans="1:28" x14ac:dyDescent="0.2">
      <c r="A75" s="5">
        <v>50</v>
      </c>
      <c r="B75" s="5">
        <v>0</v>
      </c>
      <c r="C75" s="5">
        <v>0</v>
      </c>
      <c r="D75" s="5">
        <v>1</v>
      </c>
      <c r="E75" s="5">
        <v>208</v>
      </c>
      <c r="F75" s="5">
        <f>ROUND(Source!V52,O75)</f>
        <v>0</v>
      </c>
      <c r="G75" s="5" t="s">
        <v>122</v>
      </c>
      <c r="H75" s="5" t="s">
        <v>123</v>
      </c>
      <c r="I75" s="5"/>
      <c r="J75" s="5"/>
      <c r="K75" s="5">
        <v>208</v>
      </c>
      <c r="L75" s="5">
        <v>22</v>
      </c>
      <c r="M75" s="5">
        <v>3</v>
      </c>
      <c r="N75" s="5" t="s">
        <v>3</v>
      </c>
      <c r="O75" s="5">
        <v>7</v>
      </c>
      <c r="P75" s="5"/>
      <c r="Q75" s="5"/>
      <c r="R75" s="5"/>
      <c r="S75" s="5"/>
      <c r="T75" s="5"/>
      <c r="U75" s="5"/>
      <c r="V75" s="5"/>
      <c r="W75" s="5">
        <v>0</v>
      </c>
      <c r="X75" s="5">
        <v>1</v>
      </c>
      <c r="Y75" s="5">
        <v>0</v>
      </c>
      <c r="Z75" s="5"/>
      <c r="AA75" s="5"/>
      <c r="AB75" s="5"/>
    </row>
    <row r="76" spans="1:28" x14ac:dyDescent="0.2">
      <c r="A76" s="5">
        <v>50</v>
      </c>
      <c r="B76" s="5">
        <v>0</v>
      </c>
      <c r="C76" s="5">
        <v>0</v>
      </c>
      <c r="D76" s="5">
        <v>1</v>
      </c>
      <c r="E76" s="5">
        <v>209</v>
      </c>
      <c r="F76" s="5">
        <f>ROUND(Source!W52,O76)</f>
        <v>0</v>
      </c>
      <c r="G76" s="5" t="s">
        <v>124</v>
      </c>
      <c r="H76" s="5" t="s">
        <v>125</v>
      </c>
      <c r="I76" s="5"/>
      <c r="J76" s="5"/>
      <c r="K76" s="5">
        <v>209</v>
      </c>
      <c r="L76" s="5">
        <v>23</v>
      </c>
      <c r="M76" s="5">
        <v>3</v>
      </c>
      <c r="N76" s="5" t="s">
        <v>3</v>
      </c>
      <c r="O76" s="5">
        <v>2</v>
      </c>
      <c r="P76" s="5"/>
      <c r="Q76" s="5"/>
      <c r="R76" s="5"/>
      <c r="S76" s="5"/>
      <c r="T76" s="5"/>
      <c r="U76" s="5"/>
      <c r="V76" s="5"/>
      <c r="W76" s="5">
        <v>0</v>
      </c>
      <c r="X76" s="5">
        <v>1</v>
      </c>
      <c r="Y76" s="5">
        <v>0</v>
      </c>
      <c r="Z76" s="5"/>
      <c r="AA76" s="5"/>
      <c r="AB76" s="5"/>
    </row>
    <row r="77" spans="1:28" x14ac:dyDescent="0.2">
      <c r="A77" s="5">
        <v>50</v>
      </c>
      <c r="B77" s="5">
        <v>0</v>
      </c>
      <c r="C77" s="5">
        <v>0</v>
      </c>
      <c r="D77" s="5">
        <v>1</v>
      </c>
      <c r="E77" s="5">
        <v>233</v>
      </c>
      <c r="F77" s="5">
        <f>ROUND(Source!BD52,O77)</f>
        <v>0</v>
      </c>
      <c r="G77" s="5" t="s">
        <v>126</v>
      </c>
      <c r="H77" s="5" t="s">
        <v>127</v>
      </c>
      <c r="I77" s="5"/>
      <c r="J77" s="5"/>
      <c r="K77" s="5">
        <v>233</v>
      </c>
      <c r="L77" s="5">
        <v>24</v>
      </c>
      <c r="M77" s="5">
        <v>3</v>
      </c>
      <c r="N77" s="5" t="s">
        <v>3</v>
      </c>
      <c r="O77" s="5">
        <v>2</v>
      </c>
      <c r="P77" s="5"/>
      <c r="Q77" s="5"/>
      <c r="R77" s="5"/>
      <c r="S77" s="5"/>
      <c r="T77" s="5"/>
      <c r="U77" s="5"/>
      <c r="V77" s="5"/>
      <c r="W77" s="5">
        <v>0</v>
      </c>
      <c r="X77" s="5">
        <v>1</v>
      </c>
      <c r="Y77" s="5">
        <v>0</v>
      </c>
      <c r="Z77" s="5"/>
      <c r="AA77" s="5"/>
      <c r="AB77" s="5"/>
    </row>
    <row r="78" spans="1:28" x14ac:dyDescent="0.2">
      <c r="A78" s="5">
        <v>50</v>
      </c>
      <c r="B78" s="5">
        <v>0</v>
      </c>
      <c r="C78" s="5">
        <v>0</v>
      </c>
      <c r="D78" s="5">
        <v>1</v>
      </c>
      <c r="E78" s="5">
        <v>210</v>
      </c>
      <c r="F78" s="5">
        <f>ROUND(Source!X52,O78)</f>
        <v>42204.84</v>
      </c>
      <c r="G78" s="5" t="s">
        <v>128</v>
      </c>
      <c r="H78" s="5" t="s">
        <v>129</v>
      </c>
      <c r="I78" s="5"/>
      <c r="J78" s="5"/>
      <c r="K78" s="5">
        <v>210</v>
      </c>
      <c r="L78" s="5">
        <v>25</v>
      </c>
      <c r="M78" s="5">
        <v>3</v>
      </c>
      <c r="N78" s="5" t="s">
        <v>3</v>
      </c>
      <c r="O78" s="5">
        <v>2</v>
      </c>
      <c r="P78" s="5"/>
      <c r="Q78" s="5"/>
      <c r="R78" s="5"/>
      <c r="S78" s="5"/>
      <c r="T78" s="5"/>
      <c r="U78" s="5"/>
      <c r="V78" s="5"/>
      <c r="W78" s="5">
        <v>42204.84</v>
      </c>
      <c r="X78" s="5">
        <v>1</v>
      </c>
      <c r="Y78" s="5">
        <v>42204.84</v>
      </c>
      <c r="Z78" s="5"/>
      <c r="AA78" s="5"/>
      <c r="AB78" s="5"/>
    </row>
    <row r="79" spans="1:28" x14ac:dyDescent="0.2">
      <c r="A79" s="5">
        <v>50</v>
      </c>
      <c r="B79" s="5">
        <v>0</v>
      </c>
      <c r="C79" s="5">
        <v>0</v>
      </c>
      <c r="D79" s="5">
        <v>1</v>
      </c>
      <c r="E79" s="5">
        <v>211</v>
      </c>
      <c r="F79" s="5">
        <f>ROUND(Source!Y52,O79)</f>
        <v>20865.310000000001</v>
      </c>
      <c r="G79" s="5" t="s">
        <v>130</v>
      </c>
      <c r="H79" s="5" t="s">
        <v>131</v>
      </c>
      <c r="I79" s="5"/>
      <c r="J79" s="5"/>
      <c r="K79" s="5">
        <v>211</v>
      </c>
      <c r="L79" s="5">
        <v>26</v>
      </c>
      <c r="M79" s="5">
        <v>3</v>
      </c>
      <c r="N79" s="5" t="s">
        <v>3</v>
      </c>
      <c r="O79" s="5">
        <v>2</v>
      </c>
      <c r="P79" s="5"/>
      <c r="Q79" s="5"/>
      <c r="R79" s="5"/>
      <c r="S79" s="5"/>
      <c r="T79" s="5"/>
      <c r="U79" s="5"/>
      <c r="V79" s="5"/>
      <c r="W79" s="5">
        <v>20865.310000000001</v>
      </c>
      <c r="X79" s="5">
        <v>1</v>
      </c>
      <c r="Y79" s="5">
        <v>20865.310000000001</v>
      </c>
      <c r="Z79" s="5"/>
      <c r="AA79" s="5"/>
      <c r="AB79" s="5"/>
    </row>
    <row r="80" spans="1:28" x14ac:dyDescent="0.2">
      <c r="A80" s="5">
        <v>50</v>
      </c>
      <c r="B80" s="5">
        <v>0</v>
      </c>
      <c r="C80" s="5">
        <v>0</v>
      </c>
      <c r="D80" s="5">
        <v>1</v>
      </c>
      <c r="E80" s="5">
        <v>224</v>
      </c>
      <c r="F80" s="5">
        <f>ROUND(Source!AR52,O80)</f>
        <v>180009.22</v>
      </c>
      <c r="G80" s="5" t="s">
        <v>132</v>
      </c>
      <c r="H80" s="5" t="s">
        <v>133</v>
      </c>
      <c r="I80" s="5"/>
      <c r="J80" s="5"/>
      <c r="K80" s="5">
        <v>224</v>
      </c>
      <c r="L80" s="5">
        <v>27</v>
      </c>
      <c r="M80" s="5">
        <v>3</v>
      </c>
      <c r="N80" s="5" t="s">
        <v>3</v>
      </c>
      <c r="O80" s="5">
        <v>2</v>
      </c>
      <c r="P80" s="5"/>
      <c r="Q80" s="5"/>
      <c r="R80" s="5"/>
      <c r="S80" s="5"/>
      <c r="T80" s="5"/>
      <c r="U80" s="5"/>
      <c r="V80" s="5"/>
      <c r="W80" s="5">
        <v>180009.22</v>
      </c>
      <c r="X80" s="5">
        <v>1</v>
      </c>
      <c r="Y80" s="5">
        <v>180009.22</v>
      </c>
      <c r="Z80" s="5"/>
      <c r="AA80" s="5"/>
      <c r="AB80" s="5"/>
    </row>
    <row r="81" spans="1:206" x14ac:dyDescent="0.2">
      <c r="A81" s="5">
        <v>50</v>
      </c>
      <c r="B81" s="5">
        <v>1</v>
      </c>
      <c r="C81" s="5">
        <v>0</v>
      </c>
      <c r="D81" s="5">
        <v>2</v>
      </c>
      <c r="E81" s="5">
        <v>0</v>
      </c>
      <c r="F81" s="5">
        <f>ROUND(F80*0.22,O81)</f>
        <v>39602.03</v>
      </c>
      <c r="G81" s="5" t="s">
        <v>134</v>
      </c>
      <c r="H81" s="5" t="s">
        <v>135</v>
      </c>
      <c r="I81" s="5"/>
      <c r="J81" s="5"/>
      <c r="K81" s="5">
        <v>212</v>
      </c>
      <c r="L81" s="5">
        <v>28</v>
      </c>
      <c r="M81" s="5">
        <v>0</v>
      </c>
      <c r="N81" s="5" t="s">
        <v>3</v>
      </c>
      <c r="O81" s="5">
        <v>2</v>
      </c>
      <c r="P81" s="5"/>
      <c r="Q81" s="5"/>
      <c r="R81" s="5"/>
      <c r="S81" s="5"/>
      <c r="T81" s="5"/>
      <c r="U81" s="5"/>
      <c r="V81" s="5"/>
      <c r="W81" s="5">
        <v>39602.03</v>
      </c>
      <c r="X81" s="5">
        <v>1</v>
      </c>
      <c r="Y81" s="5">
        <v>39602.03</v>
      </c>
      <c r="Z81" s="5"/>
      <c r="AA81" s="5"/>
      <c r="AB81" s="5"/>
    </row>
    <row r="82" spans="1:206" x14ac:dyDescent="0.2">
      <c r="A82" s="5">
        <v>50</v>
      </c>
      <c r="B82" s="5">
        <v>1</v>
      </c>
      <c r="C82" s="5">
        <v>0</v>
      </c>
      <c r="D82" s="5">
        <v>2</v>
      </c>
      <c r="E82" s="5">
        <v>0</v>
      </c>
      <c r="F82" s="5">
        <f>ROUND(F80+F81,O82)</f>
        <v>219611.25</v>
      </c>
      <c r="G82" s="5" t="s">
        <v>136</v>
      </c>
      <c r="H82" s="5" t="s">
        <v>137</v>
      </c>
      <c r="I82" s="5"/>
      <c r="J82" s="5"/>
      <c r="K82" s="5">
        <v>212</v>
      </c>
      <c r="L82" s="5">
        <v>29</v>
      </c>
      <c r="M82" s="5">
        <v>0</v>
      </c>
      <c r="N82" s="5" t="s">
        <v>3</v>
      </c>
      <c r="O82" s="5">
        <v>2</v>
      </c>
      <c r="P82" s="5"/>
      <c r="Q82" s="5"/>
      <c r="R82" s="5"/>
      <c r="S82" s="5"/>
      <c r="T82" s="5"/>
      <c r="U82" s="5"/>
      <c r="V82" s="5"/>
      <c r="W82" s="5">
        <v>219611.25</v>
      </c>
      <c r="X82" s="5">
        <v>1</v>
      </c>
      <c r="Y82" s="5">
        <v>219611.25</v>
      </c>
      <c r="Z82" s="5"/>
      <c r="AA82" s="5"/>
      <c r="AB82" s="5"/>
    </row>
    <row r="84" spans="1:206" x14ac:dyDescent="0.2">
      <c r="A84" s="3">
        <v>51</v>
      </c>
      <c r="B84" s="3">
        <f>B12</f>
        <v>143</v>
      </c>
      <c r="C84" s="3">
        <f>A12</f>
        <v>1</v>
      </c>
      <c r="D84" s="3">
        <f>ROW(A12)</f>
        <v>12</v>
      </c>
      <c r="E84" s="3"/>
      <c r="F84" s="3" t="str">
        <f>IF(F12&lt;&gt;"",F12,"")</f>
        <v>Новый объект</v>
      </c>
      <c r="G84" s="3" t="str">
        <f>IF(G12&lt;&gt;"",G12,"")</f>
        <v>Замена оборудования пассажирского лифта № 59327 по адресу: г. Москва, Петроверигский пер., д.10, стр.3</v>
      </c>
      <c r="H84" s="3">
        <v>0</v>
      </c>
      <c r="I84" s="3"/>
      <c r="J84" s="3"/>
      <c r="K84" s="3"/>
      <c r="L84" s="3"/>
      <c r="M84" s="3"/>
      <c r="N84" s="3"/>
      <c r="O84" s="3">
        <f t="shared" ref="O84:T84" si="39">ROUND(O52,2)</f>
        <v>116939.07</v>
      </c>
      <c r="P84" s="3">
        <f t="shared" si="39"/>
        <v>69517.899999999994</v>
      </c>
      <c r="Q84" s="3">
        <f t="shared" si="39"/>
        <v>0</v>
      </c>
      <c r="R84" s="3">
        <f t="shared" si="39"/>
        <v>0</v>
      </c>
      <c r="S84" s="3">
        <f t="shared" si="39"/>
        <v>47421.17</v>
      </c>
      <c r="T84" s="3">
        <f t="shared" si="39"/>
        <v>0</v>
      </c>
      <c r="U84" s="3">
        <f>U52</f>
        <v>67.42</v>
      </c>
      <c r="V84" s="3">
        <f>V52</f>
        <v>0</v>
      </c>
      <c r="W84" s="3">
        <f>ROUND(W52,2)</f>
        <v>0</v>
      </c>
      <c r="X84" s="3">
        <f>ROUND(X52,2)</f>
        <v>42204.84</v>
      </c>
      <c r="Y84" s="3">
        <f>ROUND(Y52,2)</f>
        <v>20865.310000000001</v>
      </c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>
        <f t="shared" ref="AO84:BD84" si="40">ROUND(AO52,2)</f>
        <v>0</v>
      </c>
      <c r="AP84" s="3">
        <f t="shared" si="40"/>
        <v>68095.259999999995</v>
      </c>
      <c r="AQ84" s="3">
        <f t="shared" si="40"/>
        <v>0</v>
      </c>
      <c r="AR84" s="3">
        <f t="shared" si="40"/>
        <v>180009.22</v>
      </c>
      <c r="AS84" s="3">
        <f t="shared" si="40"/>
        <v>0</v>
      </c>
      <c r="AT84" s="3">
        <f t="shared" si="40"/>
        <v>111913.96</v>
      </c>
      <c r="AU84" s="3">
        <f t="shared" si="40"/>
        <v>0</v>
      </c>
      <c r="AV84" s="3">
        <f t="shared" si="40"/>
        <v>69517.899999999994</v>
      </c>
      <c r="AW84" s="3">
        <f t="shared" si="40"/>
        <v>1422.64</v>
      </c>
      <c r="AX84" s="3">
        <f t="shared" si="40"/>
        <v>0</v>
      </c>
      <c r="AY84" s="3">
        <f t="shared" si="40"/>
        <v>1422.64</v>
      </c>
      <c r="AZ84" s="3">
        <f t="shared" si="40"/>
        <v>68095.259999999995</v>
      </c>
      <c r="BA84" s="3">
        <f t="shared" si="40"/>
        <v>0</v>
      </c>
      <c r="BB84" s="3">
        <f t="shared" si="40"/>
        <v>0</v>
      </c>
      <c r="BC84" s="3">
        <f t="shared" si="40"/>
        <v>0</v>
      </c>
      <c r="BD84" s="3">
        <f t="shared" si="40"/>
        <v>0</v>
      </c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>
        <v>0</v>
      </c>
    </row>
    <row r="86" spans="1:206" x14ac:dyDescent="0.2">
      <c r="A86" s="5">
        <v>50</v>
      </c>
      <c r="B86" s="5">
        <v>0</v>
      </c>
      <c r="C86" s="5">
        <v>0</v>
      </c>
      <c r="D86" s="5">
        <v>1</v>
      </c>
      <c r="E86" s="5">
        <v>201</v>
      </c>
      <c r="F86" s="5">
        <f>ROUND(Source!O84,O86)</f>
        <v>116939.07</v>
      </c>
      <c r="G86" s="5" t="s">
        <v>80</v>
      </c>
      <c r="H86" s="5" t="s">
        <v>81</v>
      </c>
      <c r="I86" s="5"/>
      <c r="J86" s="5"/>
      <c r="K86" s="5">
        <v>201</v>
      </c>
      <c r="L86" s="5">
        <v>1</v>
      </c>
      <c r="M86" s="5">
        <v>3</v>
      </c>
      <c r="N86" s="5" t="s">
        <v>3</v>
      </c>
      <c r="O86" s="5">
        <v>2</v>
      </c>
      <c r="P86" s="5"/>
      <c r="Q86" s="5"/>
      <c r="R86" s="5"/>
      <c r="S86" s="5"/>
      <c r="T86" s="5"/>
      <c r="U86" s="5"/>
      <c r="V86" s="5"/>
      <c r="W86" s="5">
        <v>48843.81</v>
      </c>
      <c r="X86" s="5">
        <v>1</v>
      </c>
      <c r="Y86" s="5">
        <v>48843.81</v>
      </c>
      <c r="Z86" s="5"/>
      <c r="AA86" s="5"/>
      <c r="AB86" s="5"/>
    </row>
    <row r="87" spans="1:206" x14ac:dyDescent="0.2">
      <c r="A87" s="5">
        <v>50</v>
      </c>
      <c r="B87" s="5">
        <v>0</v>
      </c>
      <c r="C87" s="5">
        <v>0</v>
      </c>
      <c r="D87" s="5">
        <v>1</v>
      </c>
      <c r="E87" s="5">
        <v>202</v>
      </c>
      <c r="F87" s="5">
        <f>ROUND(Source!P84,O87)</f>
        <v>69517.899999999994</v>
      </c>
      <c r="G87" s="5" t="s">
        <v>82</v>
      </c>
      <c r="H87" s="5" t="s">
        <v>83</v>
      </c>
      <c r="I87" s="5"/>
      <c r="J87" s="5"/>
      <c r="K87" s="5">
        <v>202</v>
      </c>
      <c r="L87" s="5">
        <v>2</v>
      </c>
      <c r="M87" s="5">
        <v>3</v>
      </c>
      <c r="N87" s="5" t="s">
        <v>3</v>
      </c>
      <c r="O87" s="5">
        <v>2</v>
      </c>
      <c r="P87" s="5"/>
      <c r="Q87" s="5"/>
      <c r="R87" s="5"/>
      <c r="S87" s="5"/>
      <c r="T87" s="5"/>
      <c r="U87" s="5"/>
      <c r="V87" s="5"/>
      <c r="W87" s="5">
        <v>69517.899999999994</v>
      </c>
      <c r="X87" s="5">
        <v>1</v>
      </c>
      <c r="Y87" s="5">
        <v>69517.899999999994</v>
      </c>
      <c r="Z87" s="5"/>
      <c r="AA87" s="5"/>
      <c r="AB87" s="5"/>
    </row>
    <row r="88" spans="1:206" x14ac:dyDescent="0.2">
      <c r="A88" s="5">
        <v>50</v>
      </c>
      <c r="B88" s="5">
        <v>0</v>
      </c>
      <c r="C88" s="5">
        <v>0</v>
      </c>
      <c r="D88" s="5">
        <v>1</v>
      </c>
      <c r="E88" s="5">
        <v>222</v>
      </c>
      <c r="F88" s="5">
        <f>ROUND(Source!AO84,O88)</f>
        <v>0</v>
      </c>
      <c r="G88" s="5" t="s">
        <v>84</v>
      </c>
      <c r="H88" s="5" t="s">
        <v>85</v>
      </c>
      <c r="I88" s="5"/>
      <c r="J88" s="5"/>
      <c r="K88" s="5">
        <v>222</v>
      </c>
      <c r="L88" s="5">
        <v>3</v>
      </c>
      <c r="M88" s="5">
        <v>3</v>
      </c>
      <c r="N88" s="5" t="s">
        <v>3</v>
      </c>
      <c r="O88" s="5">
        <v>2</v>
      </c>
      <c r="P88" s="5"/>
      <c r="Q88" s="5"/>
      <c r="R88" s="5"/>
      <c r="S88" s="5"/>
      <c r="T88" s="5"/>
      <c r="U88" s="5"/>
      <c r="V88" s="5"/>
      <c r="W88" s="5">
        <v>0</v>
      </c>
      <c r="X88" s="5">
        <v>1</v>
      </c>
      <c r="Y88" s="5">
        <v>0</v>
      </c>
      <c r="Z88" s="5"/>
      <c r="AA88" s="5"/>
      <c r="AB88" s="5"/>
    </row>
    <row r="89" spans="1:206" x14ac:dyDescent="0.2">
      <c r="A89" s="5">
        <v>50</v>
      </c>
      <c r="B89" s="5">
        <v>0</v>
      </c>
      <c r="C89" s="5">
        <v>0</v>
      </c>
      <c r="D89" s="5">
        <v>1</v>
      </c>
      <c r="E89" s="5">
        <v>225</v>
      </c>
      <c r="F89" s="5">
        <f>ROUND(Source!AV84,O89)</f>
        <v>69517.899999999994</v>
      </c>
      <c r="G89" s="5" t="s">
        <v>86</v>
      </c>
      <c r="H89" s="5" t="s">
        <v>87</v>
      </c>
      <c r="I89" s="5"/>
      <c r="J89" s="5"/>
      <c r="K89" s="5">
        <v>225</v>
      </c>
      <c r="L89" s="5">
        <v>4</v>
      </c>
      <c r="M89" s="5">
        <v>3</v>
      </c>
      <c r="N89" s="5" t="s">
        <v>3</v>
      </c>
      <c r="O89" s="5">
        <v>2</v>
      </c>
      <c r="P89" s="5"/>
      <c r="Q89" s="5"/>
      <c r="R89" s="5"/>
      <c r="S89" s="5"/>
      <c r="T89" s="5"/>
      <c r="U89" s="5"/>
      <c r="V89" s="5"/>
      <c r="W89" s="5">
        <v>69517.899999999994</v>
      </c>
      <c r="X89" s="5">
        <v>1</v>
      </c>
      <c r="Y89" s="5">
        <v>69517.899999999994</v>
      </c>
      <c r="Z89" s="5"/>
      <c r="AA89" s="5"/>
      <c r="AB89" s="5"/>
    </row>
    <row r="90" spans="1:206" x14ac:dyDescent="0.2">
      <c r="A90" s="5">
        <v>50</v>
      </c>
      <c r="B90" s="5">
        <v>0</v>
      </c>
      <c r="C90" s="5">
        <v>0</v>
      </c>
      <c r="D90" s="5">
        <v>1</v>
      </c>
      <c r="E90" s="5">
        <v>226</v>
      </c>
      <c r="F90" s="5">
        <f>ROUND(Source!AW84,O90)</f>
        <v>1422.64</v>
      </c>
      <c r="G90" s="5" t="s">
        <v>88</v>
      </c>
      <c r="H90" s="5" t="s">
        <v>89</v>
      </c>
      <c r="I90" s="5"/>
      <c r="J90" s="5"/>
      <c r="K90" s="5">
        <v>226</v>
      </c>
      <c r="L90" s="5">
        <v>5</v>
      </c>
      <c r="M90" s="5">
        <v>3</v>
      </c>
      <c r="N90" s="5" t="s">
        <v>3</v>
      </c>
      <c r="O90" s="5">
        <v>2</v>
      </c>
      <c r="P90" s="5"/>
      <c r="Q90" s="5"/>
      <c r="R90" s="5"/>
      <c r="S90" s="5"/>
      <c r="T90" s="5"/>
      <c r="U90" s="5"/>
      <c r="V90" s="5"/>
      <c r="W90" s="5">
        <v>1422.64</v>
      </c>
      <c r="X90" s="5">
        <v>1</v>
      </c>
      <c r="Y90" s="5">
        <v>1422.64</v>
      </c>
      <c r="Z90" s="5"/>
      <c r="AA90" s="5"/>
      <c r="AB90" s="5"/>
    </row>
    <row r="91" spans="1:206" x14ac:dyDescent="0.2">
      <c r="A91" s="5">
        <v>50</v>
      </c>
      <c r="B91" s="5">
        <v>0</v>
      </c>
      <c r="C91" s="5">
        <v>0</v>
      </c>
      <c r="D91" s="5">
        <v>1</v>
      </c>
      <c r="E91" s="5">
        <v>227</v>
      </c>
      <c r="F91" s="5">
        <f>ROUND(Source!AX84,O91)</f>
        <v>0</v>
      </c>
      <c r="G91" s="5" t="s">
        <v>90</v>
      </c>
      <c r="H91" s="5" t="s">
        <v>91</v>
      </c>
      <c r="I91" s="5"/>
      <c r="J91" s="5"/>
      <c r="K91" s="5">
        <v>227</v>
      </c>
      <c r="L91" s="5">
        <v>6</v>
      </c>
      <c r="M91" s="5">
        <v>3</v>
      </c>
      <c r="N91" s="5" t="s">
        <v>3</v>
      </c>
      <c r="O91" s="5">
        <v>2</v>
      </c>
      <c r="P91" s="5"/>
      <c r="Q91" s="5"/>
      <c r="R91" s="5"/>
      <c r="S91" s="5"/>
      <c r="T91" s="5"/>
      <c r="U91" s="5"/>
      <c r="V91" s="5"/>
      <c r="W91" s="5">
        <v>0</v>
      </c>
      <c r="X91" s="5">
        <v>1</v>
      </c>
      <c r="Y91" s="5">
        <v>0</v>
      </c>
      <c r="Z91" s="5"/>
      <c r="AA91" s="5"/>
      <c r="AB91" s="5"/>
    </row>
    <row r="92" spans="1:206" x14ac:dyDescent="0.2">
      <c r="A92" s="5">
        <v>50</v>
      </c>
      <c r="B92" s="5">
        <v>0</v>
      </c>
      <c r="C92" s="5">
        <v>0</v>
      </c>
      <c r="D92" s="5">
        <v>1</v>
      </c>
      <c r="E92" s="5">
        <v>228</v>
      </c>
      <c r="F92" s="5">
        <f>ROUND(Source!AY84,O92)</f>
        <v>1422.64</v>
      </c>
      <c r="G92" s="5" t="s">
        <v>92</v>
      </c>
      <c r="H92" s="5" t="s">
        <v>93</v>
      </c>
      <c r="I92" s="5"/>
      <c r="J92" s="5"/>
      <c r="K92" s="5">
        <v>228</v>
      </c>
      <c r="L92" s="5">
        <v>7</v>
      </c>
      <c r="M92" s="5">
        <v>3</v>
      </c>
      <c r="N92" s="5" t="s">
        <v>3</v>
      </c>
      <c r="O92" s="5">
        <v>2</v>
      </c>
      <c r="P92" s="5"/>
      <c r="Q92" s="5"/>
      <c r="R92" s="5"/>
      <c r="S92" s="5"/>
      <c r="T92" s="5"/>
      <c r="U92" s="5"/>
      <c r="V92" s="5"/>
      <c r="W92" s="5">
        <v>1422.64</v>
      </c>
      <c r="X92" s="5">
        <v>1</v>
      </c>
      <c r="Y92" s="5">
        <v>1422.64</v>
      </c>
      <c r="Z92" s="5"/>
      <c r="AA92" s="5"/>
      <c r="AB92" s="5"/>
    </row>
    <row r="93" spans="1:206" x14ac:dyDescent="0.2">
      <c r="A93" s="5">
        <v>50</v>
      </c>
      <c r="B93" s="5">
        <v>0</v>
      </c>
      <c r="C93" s="5">
        <v>0</v>
      </c>
      <c r="D93" s="5">
        <v>1</v>
      </c>
      <c r="E93" s="5">
        <v>216</v>
      </c>
      <c r="F93" s="5">
        <f>ROUND(Source!AP84,O93)</f>
        <v>68095.259999999995</v>
      </c>
      <c r="G93" s="5" t="s">
        <v>94</v>
      </c>
      <c r="H93" s="5" t="s">
        <v>95</v>
      </c>
      <c r="I93" s="5"/>
      <c r="J93" s="5"/>
      <c r="K93" s="5">
        <v>216</v>
      </c>
      <c r="L93" s="5">
        <v>8</v>
      </c>
      <c r="M93" s="5">
        <v>3</v>
      </c>
      <c r="N93" s="5" t="s">
        <v>3</v>
      </c>
      <c r="O93" s="5">
        <v>2</v>
      </c>
      <c r="P93" s="5"/>
      <c r="Q93" s="5"/>
      <c r="R93" s="5"/>
      <c r="S93" s="5"/>
      <c r="T93" s="5"/>
      <c r="U93" s="5"/>
      <c r="V93" s="5"/>
      <c r="W93" s="5">
        <v>68095.259999999995</v>
      </c>
      <c r="X93" s="5">
        <v>1</v>
      </c>
      <c r="Y93" s="5">
        <v>68095.259999999995</v>
      </c>
      <c r="Z93" s="5"/>
      <c r="AA93" s="5"/>
      <c r="AB93" s="5"/>
    </row>
    <row r="94" spans="1:206" x14ac:dyDescent="0.2">
      <c r="A94" s="5">
        <v>50</v>
      </c>
      <c r="B94" s="5">
        <v>0</v>
      </c>
      <c r="C94" s="5">
        <v>0</v>
      </c>
      <c r="D94" s="5">
        <v>1</v>
      </c>
      <c r="E94" s="5">
        <v>223</v>
      </c>
      <c r="F94" s="5">
        <f>ROUND(Source!AQ84,O94)</f>
        <v>0</v>
      </c>
      <c r="G94" s="5" t="s">
        <v>96</v>
      </c>
      <c r="H94" s="5" t="s">
        <v>97</v>
      </c>
      <c r="I94" s="5"/>
      <c r="J94" s="5"/>
      <c r="K94" s="5">
        <v>223</v>
      </c>
      <c r="L94" s="5">
        <v>9</v>
      </c>
      <c r="M94" s="5">
        <v>3</v>
      </c>
      <c r="N94" s="5" t="s">
        <v>3</v>
      </c>
      <c r="O94" s="5">
        <v>2</v>
      </c>
      <c r="P94" s="5"/>
      <c r="Q94" s="5"/>
      <c r="R94" s="5"/>
      <c r="S94" s="5"/>
      <c r="T94" s="5"/>
      <c r="U94" s="5"/>
      <c r="V94" s="5"/>
      <c r="W94" s="5">
        <v>0</v>
      </c>
      <c r="X94" s="5">
        <v>1</v>
      </c>
      <c r="Y94" s="5">
        <v>0</v>
      </c>
      <c r="Z94" s="5"/>
      <c r="AA94" s="5"/>
      <c r="AB94" s="5"/>
    </row>
    <row r="95" spans="1:206" x14ac:dyDescent="0.2">
      <c r="A95" s="5">
        <v>50</v>
      </c>
      <c r="B95" s="5">
        <v>0</v>
      </c>
      <c r="C95" s="5">
        <v>0</v>
      </c>
      <c r="D95" s="5">
        <v>1</v>
      </c>
      <c r="E95" s="5">
        <v>229</v>
      </c>
      <c r="F95" s="5">
        <f>ROUND(Source!AZ84,O95)</f>
        <v>68095.259999999995</v>
      </c>
      <c r="G95" s="5" t="s">
        <v>98</v>
      </c>
      <c r="H95" s="5" t="s">
        <v>99</v>
      </c>
      <c r="I95" s="5"/>
      <c r="J95" s="5"/>
      <c r="K95" s="5">
        <v>229</v>
      </c>
      <c r="L95" s="5">
        <v>10</v>
      </c>
      <c r="M95" s="5">
        <v>3</v>
      </c>
      <c r="N95" s="5" t="s">
        <v>3</v>
      </c>
      <c r="O95" s="5">
        <v>2</v>
      </c>
      <c r="P95" s="5"/>
      <c r="Q95" s="5"/>
      <c r="R95" s="5"/>
      <c r="S95" s="5"/>
      <c r="T95" s="5"/>
      <c r="U95" s="5"/>
      <c r="V95" s="5"/>
      <c r="W95" s="5">
        <v>68095.259999999995</v>
      </c>
      <c r="X95" s="5">
        <v>1</v>
      </c>
      <c r="Y95" s="5">
        <v>68095.259999999995</v>
      </c>
      <c r="Z95" s="5"/>
      <c r="AA95" s="5"/>
      <c r="AB95" s="5"/>
    </row>
    <row r="96" spans="1:206" x14ac:dyDescent="0.2">
      <c r="A96" s="5">
        <v>50</v>
      </c>
      <c r="B96" s="5">
        <v>0</v>
      </c>
      <c r="C96" s="5">
        <v>0</v>
      </c>
      <c r="D96" s="5">
        <v>1</v>
      </c>
      <c r="E96" s="5">
        <v>203</v>
      </c>
      <c r="F96" s="5">
        <f>ROUND(Source!Q84,O96)</f>
        <v>0</v>
      </c>
      <c r="G96" s="5" t="s">
        <v>100</v>
      </c>
      <c r="H96" s="5" t="s">
        <v>101</v>
      </c>
      <c r="I96" s="5"/>
      <c r="J96" s="5"/>
      <c r="K96" s="5">
        <v>203</v>
      </c>
      <c r="L96" s="5">
        <v>11</v>
      </c>
      <c r="M96" s="5">
        <v>3</v>
      </c>
      <c r="N96" s="5" t="s">
        <v>3</v>
      </c>
      <c r="O96" s="5">
        <v>2</v>
      </c>
      <c r="P96" s="5"/>
      <c r="Q96" s="5"/>
      <c r="R96" s="5"/>
      <c r="S96" s="5"/>
      <c r="T96" s="5"/>
      <c r="U96" s="5"/>
      <c r="V96" s="5"/>
      <c r="W96" s="5">
        <v>0</v>
      </c>
      <c r="X96" s="5">
        <v>1</v>
      </c>
      <c r="Y96" s="5">
        <v>0</v>
      </c>
      <c r="Z96" s="5"/>
      <c r="AA96" s="5"/>
      <c r="AB96" s="5"/>
    </row>
    <row r="97" spans="1:28" x14ac:dyDescent="0.2">
      <c r="A97" s="5">
        <v>50</v>
      </c>
      <c r="B97" s="5">
        <v>0</v>
      </c>
      <c r="C97" s="5">
        <v>0</v>
      </c>
      <c r="D97" s="5">
        <v>1</v>
      </c>
      <c r="E97" s="5">
        <v>231</v>
      </c>
      <c r="F97" s="5">
        <f>ROUND(Source!BB84,O97)</f>
        <v>0</v>
      </c>
      <c r="G97" s="5" t="s">
        <v>102</v>
      </c>
      <c r="H97" s="5" t="s">
        <v>103</v>
      </c>
      <c r="I97" s="5"/>
      <c r="J97" s="5"/>
      <c r="K97" s="5">
        <v>231</v>
      </c>
      <c r="L97" s="5">
        <v>12</v>
      </c>
      <c r="M97" s="5">
        <v>3</v>
      </c>
      <c r="N97" s="5" t="s">
        <v>3</v>
      </c>
      <c r="O97" s="5">
        <v>2</v>
      </c>
      <c r="P97" s="5"/>
      <c r="Q97" s="5"/>
      <c r="R97" s="5"/>
      <c r="S97" s="5"/>
      <c r="T97" s="5"/>
      <c r="U97" s="5"/>
      <c r="V97" s="5"/>
      <c r="W97" s="5">
        <v>0</v>
      </c>
      <c r="X97" s="5">
        <v>1</v>
      </c>
      <c r="Y97" s="5">
        <v>0</v>
      </c>
      <c r="Z97" s="5"/>
      <c r="AA97" s="5"/>
      <c r="AB97" s="5"/>
    </row>
    <row r="98" spans="1:28" x14ac:dyDescent="0.2">
      <c r="A98" s="5">
        <v>50</v>
      </c>
      <c r="B98" s="5">
        <v>0</v>
      </c>
      <c r="C98" s="5">
        <v>0</v>
      </c>
      <c r="D98" s="5">
        <v>1</v>
      </c>
      <c r="E98" s="5">
        <v>204</v>
      </c>
      <c r="F98" s="5">
        <f>ROUND(Source!R84,O98)</f>
        <v>0</v>
      </c>
      <c r="G98" s="5" t="s">
        <v>104</v>
      </c>
      <c r="H98" s="5" t="s">
        <v>105</v>
      </c>
      <c r="I98" s="5"/>
      <c r="J98" s="5"/>
      <c r="K98" s="5">
        <v>204</v>
      </c>
      <c r="L98" s="5">
        <v>13</v>
      </c>
      <c r="M98" s="5">
        <v>3</v>
      </c>
      <c r="N98" s="5" t="s">
        <v>3</v>
      </c>
      <c r="O98" s="5">
        <v>2</v>
      </c>
      <c r="P98" s="5"/>
      <c r="Q98" s="5"/>
      <c r="R98" s="5"/>
      <c r="S98" s="5"/>
      <c r="T98" s="5"/>
      <c r="U98" s="5"/>
      <c r="V98" s="5"/>
      <c r="W98" s="5">
        <v>0</v>
      </c>
      <c r="X98" s="5">
        <v>1</v>
      </c>
      <c r="Y98" s="5">
        <v>0</v>
      </c>
      <c r="Z98" s="5"/>
      <c r="AA98" s="5"/>
      <c r="AB98" s="5"/>
    </row>
    <row r="99" spans="1:28" x14ac:dyDescent="0.2">
      <c r="A99" s="5">
        <v>50</v>
      </c>
      <c r="B99" s="5">
        <v>0</v>
      </c>
      <c r="C99" s="5">
        <v>0</v>
      </c>
      <c r="D99" s="5">
        <v>1</v>
      </c>
      <c r="E99" s="5">
        <v>205</v>
      </c>
      <c r="F99" s="5">
        <f>ROUND(Source!S84,O99)</f>
        <v>47421.17</v>
      </c>
      <c r="G99" s="5" t="s">
        <v>106</v>
      </c>
      <c r="H99" s="5" t="s">
        <v>107</v>
      </c>
      <c r="I99" s="5"/>
      <c r="J99" s="5"/>
      <c r="K99" s="5">
        <v>205</v>
      </c>
      <c r="L99" s="5">
        <v>14</v>
      </c>
      <c r="M99" s="5">
        <v>3</v>
      </c>
      <c r="N99" s="5" t="s">
        <v>3</v>
      </c>
      <c r="O99" s="5">
        <v>2</v>
      </c>
      <c r="P99" s="5"/>
      <c r="Q99" s="5"/>
      <c r="R99" s="5"/>
      <c r="S99" s="5"/>
      <c r="T99" s="5"/>
      <c r="U99" s="5"/>
      <c r="V99" s="5"/>
      <c r="W99" s="5">
        <v>47421.17</v>
      </c>
      <c r="X99" s="5">
        <v>1</v>
      </c>
      <c r="Y99" s="5">
        <v>47421.17</v>
      </c>
      <c r="Z99" s="5"/>
      <c r="AA99" s="5"/>
      <c r="AB99" s="5"/>
    </row>
    <row r="100" spans="1:28" x14ac:dyDescent="0.2">
      <c r="A100" s="5">
        <v>50</v>
      </c>
      <c r="B100" s="5">
        <v>0</v>
      </c>
      <c r="C100" s="5">
        <v>0</v>
      </c>
      <c r="D100" s="5">
        <v>1</v>
      </c>
      <c r="E100" s="5">
        <v>232</v>
      </c>
      <c r="F100" s="5">
        <f>ROUND(Source!BC84,O100)</f>
        <v>0</v>
      </c>
      <c r="G100" s="5" t="s">
        <v>108</v>
      </c>
      <c r="H100" s="5" t="s">
        <v>109</v>
      </c>
      <c r="I100" s="5"/>
      <c r="J100" s="5"/>
      <c r="K100" s="5">
        <v>232</v>
      </c>
      <c r="L100" s="5">
        <v>15</v>
      </c>
      <c r="M100" s="5">
        <v>3</v>
      </c>
      <c r="N100" s="5" t="s">
        <v>3</v>
      </c>
      <c r="O100" s="5">
        <v>2</v>
      </c>
      <c r="P100" s="5"/>
      <c r="Q100" s="5"/>
      <c r="R100" s="5"/>
      <c r="S100" s="5"/>
      <c r="T100" s="5"/>
      <c r="U100" s="5"/>
      <c r="V100" s="5"/>
      <c r="W100" s="5">
        <v>0</v>
      </c>
      <c r="X100" s="5">
        <v>1</v>
      </c>
      <c r="Y100" s="5">
        <v>0</v>
      </c>
      <c r="Z100" s="5"/>
      <c r="AA100" s="5"/>
      <c r="AB100" s="5"/>
    </row>
    <row r="101" spans="1:28" x14ac:dyDescent="0.2">
      <c r="A101" s="5">
        <v>50</v>
      </c>
      <c r="B101" s="5">
        <v>0</v>
      </c>
      <c r="C101" s="5">
        <v>0</v>
      </c>
      <c r="D101" s="5">
        <v>1</v>
      </c>
      <c r="E101" s="5">
        <v>214</v>
      </c>
      <c r="F101" s="5">
        <f>ROUND(Source!AS84,O101)</f>
        <v>0</v>
      </c>
      <c r="G101" s="5" t="s">
        <v>110</v>
      </c>
      <c r="H101" s="5" t="s">
        <v>111</v>
      </c>
      <c r="I101" s="5"/>
      <c r="J101" s="5"/>
      <c r="K101" s="5">
        <v>214</v>
      </c>
      <c r="L101" s="5">
        <v>16</v>
      </c>
      <c r="M101" s="5">
        <v>3</v>
      </c>
      <c r="N101" s="5" t="s">
        <v>3</v>
      </c>
      <c r="O101" s="5">
        <v>2</v>
      </c>
      <c r="P101" s="5"/>
      <c r="Q101" s="5"/>
      <c r="R101" s="5"/>
      <c r="S101" s="5"/>
      <c r="T101" s="5"/>
      <c r="U101" s="5"/>
      <c r="V101" s="5"/>
      <c r="W101" s="5">
        <v>0</v>
      </c>
      <c r="X101" s="5">
        <v>1</v>
      </c>
      <c r="Y101" s="5">
        <v>0</v>
      </c>
      <c r="Z101" s="5"/>
      <c r="AA101" s="5"/>
      <c r="AB101" s="5"/>
    </row>
    <row r="102" spans="1:28" x14ac:dyDescent="0.2">
      <c r="A102" s="5">
        <v>50</v>
      </c>
      <c r="B102" s="5">
        <v>0</v>
      </c>
      <c r="C102" s="5">
        <v>0</v>
      </c>
      <c r="D102" s="5">
        <v>1</v>
      </c>
      <c r="E102" s="5">
        <v>215</v>
      </c>
      <c r="F102" s="5">
        <f>ROUND(Source!AT84,O102)</f>
        <v>111913.96</v>
      </c>
      <c r="G102" s="5" t="s">
        <v>112</v>
      </c>
      <c r="H102" s="5" t="s">
        <v>113</v>
      </c>
      <c r="I102" s="5"/>
      <c r="J102" s="5"/>
      <c r="K102" s="5">
        <v>215</v>
      </c>
      <c r="L102" s="5">
        <v>17</v>
      </c>
      <c r="M102" s="5">
        <v>3</v>
      </c>
      <c r="N102" s="5" t="s">
        <v>3</v>
      </c>
      <c r="O102" s="5">
        <v>2</v>
      </c>
      <c r="P102" s="5"/>
      <c r="Q102" s="5"/>
      <c r="R102" s="5"/>
      <c r="S102" s="5"/>
      <c r="T102" s="5"/>
      <c r="U102" s="5"/>
      <c r="V102" s="5"/>
      <c r="W102" s="5">
        <v>111913.96</v>
      </c>
      <c r="X102" s="5">
        <v>1</v>
      </c>
      <c r="Y102" s="5">
        <v>111913.96</v>
      </c>
      <c r="Z102" s="5"/>
      <c r="AA102" s="5"/>
      <c r="AB102" s="5"/>
    </row>
    <row r="103" spans="1:28" x14ac:dyDescent="0.2">
      <c r="A103" s="5">
        <v>50</v>
      </c>
      <c r="B103" s="5">
        <v>0</v>
      </c>
      <c r="C103" s="5">
        <v>0</v>
      </c>
      <c r="D103" s="5">
        <v>1</v>
      </c>
      <c r="E103" s="5">
        <v>217</v>
      </c>
      <c r="F103" s="5">
        <f>ROUND(Source!AU84,O103)</f>
        <v>0</v>
      </c>
      <c r="G103" s="5" t="s">
        <v>114</v>
      </c>
      <c r="H103" s="5" t="s">
        <v>115</v>
      </c>
      <c r="I103" s="5"/>
      <c r="J103" s="5"/>
      <c r="K103" s="5">
        <v>217</v>
      </c>
      <c r="L103" s="5">
        <v>18</v>
      </c>
      <c r="M103" s="5">
        <v>3</v>
      </c>
      <c r="N103" s="5" t="s">
        <v>3</v>
      </c>
      <c r="O103" s="5">
        <v>2</v>
      </c>
      <c r="P103" s="5"/>
      <c r="Q103" s="5"/>
      <c r="R103" s="5"/>
      <c r="S103" s="5"/>
      <c r="T103" s="5"/>
      <c r="U103" s="5"/>
      <c r="V103" s="5"/>
      <c r="W103" s="5">
        <v>0</v>
      </c>
      <c r="X103" s="5">
        <v>1</v>
      </c>
      <c r="Y103" s="5">
        <v>0</v>
      </c>
      <c r="Z103" s="5"/>
      <c r="AA103" s="5"/>
      <c r="AB103" s="5"/>
    </row>
    <row r="104" spans="1:28" x14ac:dyDescent="0.2">
      <c r="A104" s="5">
        <v>50</v>
      </c>
      <c r="B104" s="5">
        <v>0</v>
      </c>
      <c r="C104" s="5">
        <v>0</v>
      </c>
      <c r="D104" s="5">
        <v>1</v>
      </c>
      <c r="E104" s="5">
        <v>230</v>
      </c>
      <c r="F104" s="5">
        <f>ROUND(Source!BA84,O104)</f>
        <v>0</v>
      </c>
      <c r="G104" s="5" t="s">
        <v>116</v>
      </c>
      <c r="H104" s="5" t="s">
        <v>117</v>
      </c>
      <c r="I104" s="5"/>
      <c r="J104" s="5"/>
      <c r="K104" s="5">
        <v>230</v>
      </c>
      <c r="L104" s="5">
        <v>19</v>
      </c>
      <c r="M104" s="5">
        <v>3</v>
      </c>
      <c r="N104" s="5" t="s">
        <v>3</v>
      </c>
      <c r="O104" s="5">
        <v>2</v>
      </c>
      <c r="P104" s="5"/>
      <c r="Q104" s="5"/>
      <c r="R104" s="5"/>
      <c r="S104" s="5"/>
      <c r="T104" s="5"/>
      <c r="U104" s="5"/>
      <c r="V104" s="5"/>
      <c r="W104" s="5">
        <v>0</v>
      </c>
      <c r="X104" s="5">
        <v>1</v>
      </c>
      <c r="Y104" s="5">
        <v>0</v>
      </c>
      <c r="Z104" s="5"/>
      <c r="AA104" s="5"/>
      <c r="AB104" s="5"/>
    </row>
    <row r="105" spans="1:28" x14ac:dyDescent="0.2">
      <c r="A105" s="5">
        <v>50</v>
      </c>
      <c r="B105" s="5">
        <v>0</v>
      </c>
      <c r="C105" s="5">
        <v>0</v>
      </c>
      <c r="D105" s="5">
        <v>1</v>
      </c>
      <c r="E105" s="5">
        <v>206</v>
      </c>
      <c r="F105" s="5">
        <f>ROUND(Source!T84,O105)</f>
        <v>0</v>
      </c>
      <c r="G105" s="5" t="s">
        <v>118</v>
      </c>
      <c r="H105" s="5" t="s">
        <v>119</v>
      </c>
      <c r="I105" s="5"/>
      <c r="J105" s="5"/>
      <c r="K105" s="5">
        <v>206</v>
      </c>
      <c r="L105" s="5">
        <v>20</v>
      </c>
      <c r="M105" s="5">
        <v>3</v>
      </c>
      <c r="N105" s="5" t="s">
        <v>3</v>
      </c>
      <c r="O105" s="5">
        <v>2</v>
      </c>
      <c r="P105" s="5"/>
      <c r="Q105" s="5"/>
      <c r="R105" s="5"/>
      <c r="S105" s="5"/>
      <c r="T105" s="5"/>
      <c r="U105" s="5"/>
      <c r="V105" s="5"/>
      <c r="W105" s="5">
        <v>0</v>
      </c>
      <c r="X105" s="5">
        <v>1</v>
      </c>
      <c r="Y105" s="5">
        <v>0</v>
      </c>
      <c r="Z105" s="5"/>
      <c r="AA105" s="5"/>
      <c r="AB105" s="5"/>
    </row>
    <row r="106" spans="1:28" x14ac:dyDescent="0.2">
      <c r="A106" s="5">
        <v>50</v>
      </c>
      <c r="B106" s="5">
        <v>1</v>
      </c>
      <c r="C106" s="5">
        <v>0</v>
      </c>
      <c r="D106" s="5">
        <v>1</v>
      </c>
      <c r="E106" s="5">
        <v>207</v>
      </c>
      <c r="F106" s="5">
        <f>ROUND(Source!U84,O106)</f>
        <v>67.42</v>
      </c>
      <c r="G106" s="5" t="s">
        <v>120</v>
      </c>
      <c r="H106" s="5" t="s">
        <v>121</v>
      </c>
      <c r="I106" s="5"/>
      <c r="J106" s="5"/>
      <c r="K106" s="5">
        <v>207</v>
      </c>
      <c r="L106" s="5">
        <v>21</v>
      </c>
      <c r="M106" s="5">
        <v>0</v>
      </c>
      <c r="N106" s="5" t="s">
        <v>3</v>
      </c>
      <c r="O106" s="5">
        <v>7</v>
      </c>
      <c r="P106" s="5"/>
      <c r="Q106" s="5"/>
      <c r="R106" s="5"/>
      <c r="S106" s="5"/>
      <c r="T106" s="5"/>
      <c r="U106" s="5"/>
      <c r="V106" s="5"/>
      <c r="W106" s="5">
        <v>67.42</v>
      </c>
      <c r="X106" s="5">
        <v>1</v>
      </c>
      <c r="Y106" s="5">
        <v>67.42</v>
      </c>
      <c r="Z106" s="5"/>
      <c r="AA106" s="5"/>
      <c r="AB106" s="5"/>
    </row>
    <row r="107" spans="1:28" x14ac:dyDescent="0.2">
      <c r="A107" s="5">
        <v>50</v>
      </c>
      <c r="B107" s="5">
        <v>0</v>
      </c>
      <c r="C107" s="5">
        <v>0</v>
      </c>
      <c r="D107" s="5">
        <v>1</v>
      </c>
      <c r="E107" s="5">
        <v>208</v>
      </c>
      <c r="F107" s="5">
        <f>ROUND(Source!V84,O107)</f>
        <v>0</v>
      </c>
      <c r="G107" s="5" t="s">
        <v>122</v>
      </c>
      <c r="H107" s="5" t="s">
        <v>123</v>
      </c>
      <c r="I107" s="5"/>
      <c r="J107" s="5"/>
      <c r="K107" s="5">
        <v>208</v>
      </c>
      <c r="L107" s="5">
        <v>22</v>
      </c>
      <c r="M107" s="5">
        <v>3</v>
      </c>
      <c r="N107" s="5" t="s">
        <v>3</v>
      </c>
      <c r="O107" s="5">
        <v>7</v>
      </c>
      <c r="P107" s="5"/>
      <c r="Q107" s="5"/>
      <c r="R107" s="5"/>
      <c r="S107" s="5"/>
      <c r="T107" s="5"/>
      <c r="U107" s="5"/>
      <c r="V107" s="5"/>
      <c r="W107" s="5">
        <v>0</v>
      </c>
      <c r="X107" s="5">
        <v>1</v>
      </c>
      <c r="Y107" s="5">
        <v>0</v>
      </c>
      <c r="Z107" s="5"/>
      <c r="AA107" s="5"/>
      <c r="AB107" s="5"/>
    </row>
    <row r="108" spans="1:28" x14ac:dyDescent="0.2">
      <c r="A108" s="5">
        <v>50</v>
      </c>
      <c r="B108" s="5">
        <v>0</v>
      </c>
      <c r="C108" s="5">
        <v>0</v>
      </c>
      <c r="D108" s="5">
        <v>1</v>
      </c>
      <c r="E108" s="5">
        <v>209</v>
      </c>
      <c r="F108" s="5">
        <f>ROUND(Source!W84,O108)</f>
        <v>0</v>
      </c>
      <c r="G108" s="5" t="s">
        <v>124</v>
      </c>
      <c r="H108" s="5" t="s">
        <v>125</v>
      </c>
      <c r="I108" s="5"/>
      <c r="J108" s="5"/>
      <c r="K108" s="5">
        <v>209</v>
      </c>
      <c r="L108" s="5">
        <v>23</v>
      </c>
      <c r="M108" s="5">
        <v>3</v>
      </c>
      <c r="N108" s="5" t="s">
        <v>3</v>
      </c>
      <c r="O108" s="5">
        <v>2</v>
      </c>
      <c r="P108" s="5"/>
      <c r="Q108" s="5"/>
      <c r="R108" s="5"/>
      <c r="S108" s="5"/>
      <c r="T108" s="5"/>
      <c r="U108" s="5"/>
      <c r="V108" s="5"/>
      <c r="W108" s="5">
        <v>0</v>
      </c>
      <c r="X108" s="5">
        <v>1</v>
      </c>
      <c r="Y108" s="5">
        <v>0</v>
      </c>
      <c r="Z108" s="5"/>
      <c r="AA108" s="5"/>
      <c r="AB108" s="5"/>
    </row>
    <row r="109" spans="1:28" x14ac:dyDescent="0.2">
      <c r="A109" s="5">
        <v>50</v>
      </c>
      <c r="B109" s="5">
        <v>0</v>
      </c>
      <c r="C109" s="5">
        <v>0</v>
      </c>
      <c r="D109" s="5">
        <v>1</v>
      </c>
      <c r="E109" s="5">
        <v>233</v>
      </c>
      <c r="F109" s="5">
        <f>ROUND(Source!BD84,O109)</f>
        <v>0</v>
      </c>
      <c r="G109" s="5" t="s">
        <v>126</v>
      </c>
      <c r="H109" s="5" t="s">
        <v>127</v>
      </c>
      <c r="I109" s="5"/>
      <c r="J109" s="5"/>
      <c r="K109" s="5">
        <v>233</v>
      </c>
      <c r="L109" s="5">
        <v>24</v>
      </c>
      <c r="M109" s="5">
        <v>3</v>
      </c>
      <c r="N109" s="5" t="s">
        <v>3</v>
      </c>
      <c r="O109" s="5">
        <v>2</v>
      </c>
      <c r="P109" s="5"/>
      <c r="Q109" s="5"/>
      <c r="R109" s="5"/>
      <c r="S109" s="5"/>
      <c r="T109" s="5"/>
      <c r="U109" s="5"/>
      <c r="V109" s="5"/>
      <c r="W109" s="5">
        <v>0</v>
      </c>
      <c r="X109" s="5">
        <v>1</v>
      </c>
      <c r="Y109" s="5">
        <v>0</v>
      </c>
      <c r="Z109" s="5"/>
      <c r="AA109" s="5"/>
      <c r="AB109" s="5"/>
    </row>
    <row r="110" spans="1:28" x14ac:dyDescent="0.2">
      <c r="A110" s="5">
        <v>50</v>
      </c>
      <c r="B110" s="5">
        <v>1</v>
      </c>
      <c r="C110" s="5">
        <v>0</v>
      </c>
      <c r="D110" s="5">
        <v>1</v>
      </c>
      <c r="E110" s="5">
        <v>210</v>
      </c>
      <c r="F110" s="5">
        <f>ROUND(Source!X84,O110)</f>
        <v>42204.84</v>
      </c>
      <c r="G110" s="5" t="s">
        <v>128</v>
      </c>
      <c r="H110" s="5" t="s">
        <v>129</v>
      </c>
      <c r="I110" s="5"/>
      <c r="J110" s="5"/>
      <c r="K110" s="5">
        <v>210</v>
      </c>
      <c r="L110" s="5">
        <v>25</v>
      </c>
      <c r="M110" s="5">
        <v>0</v>
      </c>
      <c r="N110" s="5" t="s">
        <v>3</v>
      </c>
      <c r="O110" s="5">
        <v>2</v>
      </c>
      <c r="P110" s="5"/>
      <c r="Q110" s="5"/>
      <c r="R110" s="5"/>
      <c r="S110" s="5"/>
      <c r="T110" s="5"/>
      <c r="U110" s="5"/>
      <c r="V110" s="5"/>
      <c r="W110" s="5">
        <v>42204.84</v>
      </c>
      <c r="X110" s="5">
        <v>1</v>
      </c>
      <c r="Y110" s="5">
        <v>42204.84</v>
      </c>
      <c r="Z110" s="5"/>
      <c r="AA110" s="5"/>
      <c r="AB110" s="5"/>
    </row>
    <row r="111" spans="1:28" x14ac:dyDescent="0.2">
      <c r="A111" s="5">
        <v>50</v>
      </c>
      <c r="B111" s="5">
        <v>1</v>
      </c>
      <c r="C111" s="5">
        <v>0</v>
      </c>
      <c r="D111" s="5">
        <v>1</v>
      </c>
      <c r="E111" s="5">
        <v>211</v>
      </c>
      <c r="F111" s="5">
        <f>ROUND(Source!Y84,O111)</f>
        <v>20865.310000000001</v>
      </c>
      <c r="G111" s="5" t="s">
        <v>130</v>
      </c>
      <c r="H111" s="5" t="s">
        <v>131</v>
      </c>
      <c r="I111" s="5"/>
      <c r="J111" s="5"/>
      <c r="K111" s="5">
        <v>211</v>
      </c>
      <c r="L111" s="5">
        <v>26</v>
      </c>
      <c r="M111" s="5">
        <v>0</v>
      </c>
      <c r="N111" s="5" t="s">
        <v>3</v>
      </c>
      <c r="O111" s="5">
        <v>2</v>
      </c>
      <c r="P111" s="5"/>
      <c r="Q111" s="5"/>
      <c r="R111" s="5"/>
      <c r="S111" s="5"/>
      <c r="T111" s="5"/>
      <c r="U111" s="5"/>
      <c r="V111" s="5"/>
      <c r="W111" s="5">
        <v>20865.310000000001</v>
      </c>
      <c r="X111" s="5">
        <v>1</v>
      </c>
      <c r="Y111" s="5">
        <v>20865.310000000001</v>
      </c>
      <c r="Z111" s="5"/>
      <c r="AA111" s="5"/>
      <c r="AB111" s="5"/>
    </row>
    <row r="112" spans="1:28" x14ac:dyDescent="0.2">
      <c r="A112" s="5">
        <v>50</v>
      </c>
      <c r="B112" s="5">
        <v>1</v>
      </c>
      <c r="C112" s="5">
        <v>0</v>
      </c>
      <c r="D112" s="5">
        <v>1</v>
      </c>
      <c r="E112" s="5">
        <v>224</v>
      </c>
      <c r="F112" s="5">
        <f>ROUND(Source!AR84,O112)</f>
        <v>180009.22</v>
      </c>
      <c r="G112" s="5" t="s">
        <v>132</v>
      </c>
      <c r="H112" s="5" t="s">
        <v>133</v>
      </c>
      <c r="I112" s="5"/>
      <c r="J112" s="5"/>
      <c r="K112" s="5">
        <v>224</v>
      </c>
      <c r="L112" s="5">
        <v>27</v>
      </c>
      <c r="M112" s="5">
        <v>0</v>
      </c>
      <c r="N112" s="5" t="s">
        <v>3</v>
      </c>
      <c r="O112" s="5">
        <v>2</v>
      </c>
      <c r="P112" s="5"/>
      <c r="Q112" s="5"/>
      <c r="R112" s="5"/>
      <c r="S112" s="5"/>
      <c r="T112" s="5"/>
      <c r="U112" s="5"/>
      <c r="V112" s="5"/>
      <c r="W112" s="5">
        <v>180009.22</v>
      </c>
      <c r="X112" s="5">
        <v>1</v>
      </c>
      <c r="Y112" s="5">
        <v>180009.22</v>
      </c>
      <c r="Z112" s="5"/>
      <c r="AA112" s="5"/>
      <c r="AB112" s="5"/>
    </row>
    <row r="113" spans="1:28" x14ac:dyDescent="0.2">
      <c r="A113" s="5">
        <v>50</v>
      </c>
      <c r="B113" s="5">
        <v>1</v>
      </c>
      <c r="C113" s="5">
        <v>0</v>
      </c>
      <c r="D113" s="5">
        <v>2</v>
      </c>
      <c r="E113" s="5">
        <v>0</v>
      </c>
      <c r="F113" s="5">
        <f>ROUND(F112*0.22,O113)</f>
        <v>39602.03</v>
      </c>
      <c r="G113" s="5" t="s">
        <v>134</v>
      </c>
      <c r="H113" s="5" t="s">
        <v>135</v>
      </c>
      <c r="I113" s="5"/>
      <c r="J113" s="5"/>
      <c r="K113" s="5">
        <v>212</v>
      </c>
      <c r="L113" s="5">
        <v>28</v>
      </c>
      <c r="M113" s="5">
        <v>0</v>
      </c>
      <c r="N113" s="5" t="s">
        <v>3</v>
      </c>
      <c r="O113" s="5">
        <v>2</v>
      </c>
      <c r="P113" s="5"/>
      <c r="Q113" s="5"/>
      <c r="R113" s="5"/>
      <c r="S113" s="5"/>
      <c r="T113" s="5"/>
      <c r="U113" s="5"/>
      <c r="V113" s="5"/>
      <c r="W113" s="5">
        <v>39602.03</v>
      </c>
      <c r="X113" s="5">
        <v>1</v>
      </c>
      <c r="Y113" s="5">
        <v>39602.03</v>
      </c>
      <c r="Z113" s="5"/>
      <c r="AA113" s="5"/>
      <c r="AB113" s="5"/>
    </row>
    <row r="114" spans="1:28" x14ac:dyDescent="0.2">
      <c r="A114" s="5">
        <v>50</v>
      </c>
      <c r="B114" s="5">
        <v>1</v>
      </c>
      <c r="C114" s="5">
        <v>0</v>
      </c>
      <c r="D114" s="5">
        <v>2</v>
      </c>
      <c r="E114" s="5">
        <v>0</v>
      </c>
      <c r="F114" s="5">
        <f>ROUND(F112+F113,O114)</f>
        <v>219611.25</v>
      </c>
      <c r="G114" s="5" t="s">
        <v>136</v>
      </c>
      <c r="H114" s="5" t="s">
        <v>137</v>
      </c>
      <c r="I114" s="5"/>
      <c r="J114" s="5"/>
      <c r="K114" s="5">
        <v>212</v>
      </c>
      <c r="L114" s="5">
        <v>29</v>
      </c>
      <c r="M114" s="5">
        <v>0</v>
      </c>
      <c r="N114" s="5" t="s">
        <v>3</v>
      </c>
      <c r="O114" s="5">
        <v>2</v>
      </c>
      <c r="P114" s="5"/>
      <c r="Q114" s="5"/>
      <c r="R114" s="5"/>
      <c r="S114" s="5"/>
      <c r="T114" s="5"/>
      <c r="U114" s="5"/>
      <c r="V114" s="5"/>
      <c r="W114" s="5">
        <v>219611.25</v>
      </c>
      <c r="X114" s="5">
        <v>1</v>
      </c>
      <c r="Y114" s="5">
        <v>219611.25</v>
      </c>
      <c r="Z114" s="5"/>
      <c r="AA114" s="5"/>
      <c r="AB114" s="5"/>
    </row>
    <row r="117" spans="1:28" x14ac:dyDescent="0.2">
      <c r="A117">
        <v>70</v>
      </c>
      <c r="B117">
        <v>1</v>
      </c>
      <c r="D117">
        <v>1</v>
      </c>
      <c r="E117" t="s">
        <v>138</v>
      </c>
      <c r="F117" t="s">
        <v>139</v>
      </c>
      <c r="G117">
        <v>0</v>
      </c>
      <c r="H117">
        <v>0</v>
      </c>
      <c r="I117" t="s">
        <v>3</v>
      </c>
      <c r="J117">
        <v>1</v>
      </c>
      <c r="K117">
        <v>0</v>
      </c>
      <c r="L117" t="s">
        <v>3</v>
      </c>
      <c r="M117" t="s">
        <v>3</v>
      </c>
      <c r="N117">
        <v>0</v>
      </c>
      <c r="P117" t="s">
        <v>140</v>
      </c>
    </row>
    <row r="118" spans="1:28" x14ac:dyDescent="0.2">
      <c r="A118">
        <v>70</v>
      </c>
      <c r="B118">
        <v>1</v>
      </c>
      <c r="D118">
        <v>2</v>
      </c>
      <c r="E118" t="s">
        <v>141</v>
      </c>
      <c r="F118" t="s">
        <v>142</v>
      </c>
      <c r="G118">
        <v>1</v>
      </c>
      <c r="H118">
        <v>0</v>
      </c>
      <c r="I118" t="s">
        <v>3</v>
      </c>
      <c r="J118">
        <v>1</v>
      </c>
      <c r="K118">
        <v>0</v>
      </c>
      <c r="L118" t="s">
        <v>3</v>
      </c>
      <c r="M118" t="s">
        <v>3</v>
      </c>
      <c r="N118">
        <v>0</v>
      </c>
      <c r="P118" t="s">
        <v>143</v>
      </c>
    </row>
    <row r="119" spans="1:28" x14ac:dyDescent="0.2">
      <c r="A119">
        <v>70</v>
      </c>
      <c r="B119">
        <v>1</v>
      </c>
      <c r="D119">
        <v>3</v>
      </c>
      <c r="E119" t="s">
        <v>144</v>
      </c>
      <c r="F119" t="s">
        <v>145</v>
      </c>
      <c r="G119">
        <v>0</v>
      </c>
      <c r="H119">
        <v>0</v>
      </c>
      <c r="I119" t="s">
        <v>3</v>
      </c>
      <c r="J119">
        <v>1</v>
      </c>
      <c r="K119">
        <v>0</v>
      </c>
      <c r="L119" t="s">
        <v>3</v>
      </c>
      <c r="M119" t="s">
        <v>3</v>
      </c>
      <c r="N119">
        <v>0</v>
      </c>
      <c r="P119" t="s">
        <v>146</v>
      </c>
    </row>
    <row r="120" spans="1:28" x14ac:dyDescent="0.2">
      <c r="A120">
        <v>70</v>
      </c>
      <c r="B120">
        <v>1</v>
      </c>
      <c r="D120">
        <v>4</v>
      </c>
      <c r="E120" t="s">
        <v>147</v>
      </c>
      <c r="F120" t="s">
        <v>148</v>
      </c>
      <c r="G120">
        <v>1</v>
      </c>
      <c r="H120">
        <v>0</v>
      </c>
      <c r="I120" t="s">
        <v>3</v>
      </c>
      <c r="J120">
        <v>2</v>
      </c>
      <c r="K120">
        <v>0</v>
      </c>
      <c r="L120" t="s">
        <v>3</v>
      </c>
      <c r="M120" t="s">
        <v>3</v>
      </c>
      <c r="N120">
        <v>0</v>
      </c>
      <c r="P120" t="s">
        <v>3</v>
      </c>
    </row>
    <row r="121" spans="1:28" x14ac:dyDescent="0.2">
      <c r="A121">
        <v>70</v>
      </c>
      <c r="B121">
        <v>1</v>
      </c>
      <c r="D121">
        <v>5</v>
      </c>
      <c r="E121" t="s">
        <v>149</v>
      </c>
      <c r="F121" t="s">
        <v>150</v>
      </c>
      <c r="G121">
        <v>0</v>
      </c>
      <c r="H121">
        <v>0</v>
      </c>
      <c r="I121" t="s">
        <v>3</v>
      </c>
      <c r="J121">
        <v>2</v>
      </c>
      <c r="K121">
        <v>0</v>
      </c>
      <c r="L121" t="s">
        <v>3</v>
      </c>
      <c r="M121" t="s">
        <v>3</v>
      </c>
      <c r="N121">
        <v>0</v>
      </c>
      <c r="P121" t="s">
        <v>3</v>
      </c>
    </row>
    <row r="122" spans="1:28" x14ac:dyDescent="0.2">
      <c r="A122">
        <v>70</v>
      </c>
      <c r="B122">
        <v>1</v>
      </c>
      <c r="D122">
        <v>6</v>
      </c>
      <c r="E122" t="s">
        <v>151</v>
      </c>
      <c r="F122" t="s">
        <v>152</v>
      </c>
      <c r="G122">
        <v>0</v>
      </c>
      <c r="H122">
        <v>0</v>
      </c>
      <c r="I122" t="s">
        <v>3</v>
      </c>
      <c r="J122">
        <v>2</v>
      </c>
      <c r="K122">
        <v>0</v>
      </c>
      <c r="L122" t="s">
        <v>3</v>
      </c>
      <c r="M122" t="s">
        <v>3</v>
      </c>
      <c r="N122">
        <v>0</v>
      </c>
      <c r="P122" t="s">
        <v>3</v>
      </c>
    </row>
    <row r="123" spans="1:28" x14ac:dyDescent="0.2">
      <c r="A123">
        <v>70</v>
      </c>
      <c r="B123">
        <v>1</v>
      </c>
      <c r="D123">
        <v>7</v>
      </c>
      <c r="E123" t="s">
        <v>153</v>
      </c>
      <c r="F123" t="s">
        <v>154</v>
      </c>
      <c r="G123">
        <v>0</v>
      </c>
      <c r="H123">
        <v>0</v>
      </c>
      <c r="I123" t="s">
        <v>155</v>
      </c>
      <c r="J123">
        <v>0</v>
      </c>
      <c r="K123">
        <v>0</v>
      </c>
      <c r="L123" t="s">
        <v>3</v>
      </c>
      <c r="M123" t="s">
        <v>3</v>
      </c>
      <c r="N123">
        <v>0</v>
      </c>
      <c r="P123" t="s">
        <v>156</v>
      </c>
    </row>
    <row r="124" spans="1:28" x14ac:dyDescent="0.2">
      <c r="A124">
        <v>70</v>
      </c>
      <c r="B124">
        <v>1</v>
      </c>
      <c r="D124">
        <v>8</v>
      </c>
      <c r="E124" t="s">
        <v>157</v>
      </c>
      <c r="F124" t="s">
        <v>158</v>
      </c>
      <c r="G124">
        <v>1</v>
      </c>
      <c r="H124">
        <v>0</v>
      </c>
      <c r="I124" t="s">
        <v>3</v>
      </c>
      <c r="J124">
        <v>5</v>
      </c>
      <c r="K124">
        <v>0</v>
      </c>
      <c r="L124" t="s">
        <v>3</v>
      </c>
      <c r="M124" t="s">
        <v>3</v>
      </c>
      <c r="N124">
        <v>0</v>
      </c>
      <c r="P124" t="s">
        <v>3</v>
      </c>
    </row>
    <row r="125" spans="1:28" x14ac:dyDescent="0.2">
      <c r="A125">
        <v>70</v>
      </c>
      <c r="B125">
        <v>1</v>
      </c>
      <c r="D125">
        <v>9</v>
      </c>
      <c r="E125" t="s">
        <v>159</v>
      </c>
      <c r="F125" t="s">
        <v>160</v>
      </c>
      <c r="G125">
        <v>0</v>
      </c>
      <c r="H125">
        <v>0</v>
      </c>
      <c r="I125" t="s">
        <v>3</v>
      </c>
      <c r="J125">
        <v>5</v>
      </c>
      <c r="K125">
        <v>0</v>
      </c>
      <c r="L125" t="s">
        <v>3</v>
      </c>
      <c r="M125" t="s">
        <v>3</v>
      </c>
      <c r="N125">
        <v>0</v>
      </c>
      <c r="P125" t="s">
        <v>161</v>
      </c>
    </row>
    <row r="126" spans="1:28" x14ac:dyDescent="0.2">
      <c r="A126">
        <v>70</v>
      </c>
      <c r="B126">
        <v>1</v>
      </c>
      <c r="D126">
        <v>10</v>
      </c>
      <c r="E126" t="s">
        <v>162</v>
      </c>
      <c r="F126" t="s">
        <v>163</v>
      </c>
      <c r="G126">
        <v>0</v>
      </c>
      <c r="H126">
        <v>0</v>
      </c>
      <c r="I126" t="s">
        <v>164</v>
      </c>
      <c r="J126">
        <v>5</v>
      </c>
      <c r="K126">
        <v>0</v>
      </c>
      <c r="L126" t="s">
        <v>3</v>
      </c>
      <c r="M126" t="s">
        <v>3</v>
      </c>
      <c r="N126">
        <v>0</v>
      </c>
      <c r="P126" t="s">
        <v>165</v>
      </c>
    </row>
    <row r="127" spans="1:28" x14ac:dyDescent="0.2">
      <c r="A127">
        <v>70</v>
      </c>
      <c r="B127">
        <v>1</v>
      </c>
      <c r="D127">
        <v>11</v>
      </c>
      <c r="E127" t="s">
        <v>166</v>
      </c>
      <c r="F127" t="s">
        <v>167</v>
      </c>
      <c r="G127">
        <v>0</v>
      </c>
      <c r="H127">
        <v>0</v>
      </c>
      <c r="I127" t="s">
        <v>168</v>
      </c>
      <c r="J127">
        <v>0</v>
      </c>
      <c r="K127">
        <v>0</v>
      </c>
      <c r="L127" t="s">
        <v>3</v>
      </c>
      <c r="M127" t="s">
        <v>3</v>
      </c>
      <c r="N127">
        <v>0</v>
      </c>
      <c r="P127" t="s">
        <v>169</v>
      </c>
    </row>
    <row r="128" spans="1:28" x14ac:dyDescent="0.2">
      <c r="A128">
        <v>70</v>
      </c>
      <c r="B128">
        <v>1</v>
      </c>
      <c r="D128">
        <v>12</v>
      </c>
      <c r="E128" t="s">
        <v>170</v>
      </c>
      <c r="F128" t="s">
        <v>171</v>
      </c>
      <c r="G128">
        <v>0</v>
      </c>
      <c r="H128">
        <v>0</v>
      </c>
      <c r="I128" t="s">
        <v>172</v>
      </c>
      <c r="J128">
        <v>0</v>
      </c>
      <c r="K128">
        <v>0</v>
      </c>
      <c r="L128" t="s">
        <v>3</v>
      </c>
      <c r="M128" t="s">
        <v>3</v>
      </c>
      <c r="N128">
        <v>0</v>
      </c>
      <c r="P128" t="s">
        <v>173</v>
      </c>
    </row>
    <row r="129" spans="1:40" x14ac:dyDescent="0.2">
      <c r="A129">
        <v>70</v>
      </c>
      <c r="B129">
        <v>1</v>
      </c>
      <c r="D129">
        <v>13</v>
      </c>
      <c r="E129" t="s">
        <v>174</v>
      </c>
      <c r="F129" t="s">
        <v>175</v>
      </c>
      <c r="G129">
        <v>0</v>
      </c>
      <c r="H129">
        <v>0</v>
      </c>
      <c r="I129" t="s">
        <v>176</v>
      </c>
      <c r="J129">
        <v>0</v>
      </c>
      <c r="K129">
        <v>0</v>
      </c>
      <c r="L129" t="s">
        <v>3</v>
      </c>
      <c r="M129" t="s">
        <v>3</v>
      </c>
      <c r="N129">
        <v>0</v>
      </c>
      <c r="P129" t="s">
        <v>177</v>
      </c>
    </row>
    <row r="130" spans="1:40" x14ac:dyDescent="0.2">
      <c r="A130">
        <v>70</v>
      </c>
      <c r="B130">
        <v>1</v>
      </c>
      <c r="D130">
        <v>14</v>
      </c>
      <c r="E130" t="s">
        <v>178</v>
      </c>
      <c r="F130" t="s">
        <v>179</v>
      </c>
      <c r="G130">
        <v>0</v>
      </c>
      <c r="H130">
        <v>0</v>
      </c>
      <c r="I130" t="s">
        <v>3</v>
      </c>
      <c r="J130">
        <v>0</v>
      </c>
      <c r="K130">
        <v>0</v>
      </c>
      <c r="L130" t="s">
        <v>3</v>
      </c>
      <c r="M130" t="s">
        <v>3</v>
      </c>
      <c r="N130">
        <v>0</v>
      </c>
      <c r="P130" t="s">
        <v>3</v>
      </c>
    </row>
    <row r="131" spans="1:40" x14ac:dyDescent="0.2">
      <c r="A131">
        <v>70</v>
      </c>
      <c r="B131">
        <v>1</v>
      </c>
      <c r="D131">
        <v>15</v>
      </c>
      <c r="E131" t="s">
        <v>180</v>
      </c>
      <c r="F131" t="s">
        <v>181</v>
      </c>
      <c r="G131">
        <v>0</v>
      </c>
      <c r="H131">
        <v>0</v>
      </c>
      <c r="I131" t="s">
        <v>3</v>
      </c>
      <c r="J131">
        <v>0</v>
      </c>
      <c r="K131">
        <v>0</v>
      </c>
      <c r="L131" t="s">
        <v>3</v>
      </c>
      <c r="M131" t="s">
        <v>3</v>
      </c>
      <c r="N131">
        <v>0</v>
      </c>
      <c r="P131" t="s">
        <v>182</v>
      </c>
    </row>
    <row r="132" spans="1:40" x14ac:dyDescent="0.2">
      <c r="A132">
        <v>70</v>
      </c>
      <c r="B132">
        <v>1</v>
      </c>
      <c r="D132">
        <v>16</v>
      </c>
      <c r="E132" t="s">
        <v>183</v>
      </c>
      <c r="F132" t="s">
        <v>184</v>
      </c>
      <c r="G132">
        <v>0</v>
      </c>
      <c r="H132">
        <v>0</v>
      </c>
      <c r="I132" t="s">
        <v>3</v>
      </c>
      <c r="J132">
        <v>3</v>
      </c>
      <c r="K132">
        <v>0</v>
      </c>
      <c r="L132" t="s">
        <v>3</v>
      </c>
      <c r="M132" t="s">
        <v>3</v>
      </c>
      <c r="N132">
        <v>0</v>
      </c>
      <c r="P132" t="s">
        <v>3</v>
      </c>
    </row>
    <row r="133" spans="1:40" x14ac:dyDescent="0.2">
      <c r="A133">
        <v>70</v>
      </c>
      <c r="B133">
        <v>1</v>
      </c>
      <c r="D133">
        <v>17</v>
      </c>
      <c r="E133" t="s">
        <v>185</v>
      </c>
      <c r="F133" t="s">
        <v>186</v>
      </c>
      <c r="G133">
        <v>1</v>
      </c>
      <c r="H133">
        <v>0</v>
      </c>
      <c r="I133" t="s">
        <v>3</v>
      </c>
      <c r="J133">
        <v>3</v>
      </c>
      <c r="K133">
        <v>0</v>
      </c>
      <c r="L133" t="s">
        <v>3</v>
      </c>
      <c r="M133" t="s">
        <v>3</v>
      </c>
      <c r="N133">
        <v>0</v>
      </c>
      <c r="P133" t="s">
        <v>3</v>
      </c>
    </row>
    <row r="134" spans="1:40" x14ac:dyDescent="0.2">
      <c r="A134">
        <v>70</v>
      </c>
      <c r="B134">
        <v>1</v>
      </c>
      <c r="D134">
        <v>1</v>
      </c>
      <c r="E134" t="s">
        <v>187</v>
      </c>
      <c r="F134" t="s">
        <v>188</v>
      </c>
      <c r="G134">
        <v>0.9</v>
      </c>
      <c r="H134">
        <v>1</v>
      </c>
      <c r="I134" t="s">
        <v>189</v>
      </c>
      <c r="J134">
        <v>0</v>
      </c>
      <c r="K134">
        <v>0</v>
      </c>
      <c r="L134" t="s">
        <v>3</v>
      </c>
      <c r="M134" t="s">
        <v>3</v>
      </c>
      <c r="N134">
        <v>0</v>
      </c>
      <c r="P134" t="s">
        <v>190</v>
      </c>
    </row>
    <row r="135" spans="1:40" x14ac:dyDescent="0.2">
      <c r="A135">
        <v>70</v>
      </c>
      <c r="B135">
        <v>1</v>
      </c>
      <c r="D135">
        <v>2</v>
      </c>
      <c r="E135" t="s">
        <v>191</v>
      </c>
      <c r="F135" t="s">
        <v>192</v>
      </c>
      <c r="G135">
        <v>0.85</v>
      </c>
      <c r="H135">
        <v>1</v>
      </c>
      <c r="I135" t="s">
        <v>193</v>
      </c>
      <c r="J135">
        <v>0</v>
      </c>
      <c r="K135">
        <v>0</v>
      </c>
      <c r="L135" t="s">
        <v>3</v>
      </c>
      <c r="M135" t="s">
        <v>3</v>
      </c>
      <c r="N135">
        <v>0</v>
      </c>
      <c r="P135" t="s">
        <v>194</v>
      </c>
    </row>
    <row r="136" spans="1:40" x14ac:dyDescent="0.2">
      <c r="A136">
        <v>70</v>
      </c>
      <c r="B136">
        <v>1</v>
      </c>
      <c r="D136">
        <v>3</v>
      </c>
      <c r="E136" t="s">
        <v>195</v>
      </c>
      <c r="F136" t="s">
        <v>196</v>
      </c>
      <c r="G136">
        <v>1.03</v>
      </c>
      <c r="H136">
        <v>0</v>
      </c>
      <c r="I136" t="s">
        <v>3</v>
      </c>
      <c r="J136">
        <v>0</v>
      </c>
      <c r="K136">
        <v>0</v>
      </c>
      <c r="L136" t="s">
        <v>3</v>
      </c>
      <c r="M136" t="s">
        <v>3</v>
      </c>
      <c r="N136">
        <v>0</v>
      </c>
      <c r="P136" t="s">
        <v>197</v>
      </c>
    </row>
    <row r="137" spans="1:40" x14ac:dyDescent="0.2">
      <c r="A137">
        <v>70</v>
      </c>
      <c r="B137">
        <v>1</v>
      </c>
      <c r="D137">
        <v>4</v>
      </c>
      <c r="E137" t="s">
        <v>198</v>
      </c>
      <c r="F137" t="s">
        <v>199</v>
      </c>
      <c r="G137">
        <v>1.1499999999999999</v>
      </c>
      <c r="H137">
        <v>0</v>
      </c>
      <c r="I137" t="s">
        <v>3</v>
      </c>
      <c r="J137">
        <v>0</v>
      </c>
      <c r="K137">
        <v>0</v>
      </c>
      <c r="L137" t="s">
        <v>3</v>
      </c>
      <c r="M137" t="s">
        <v>3</v>
      </c>
      <c r="N137">
        <v>0</v>
      </c>
      <c r="P137" t="s">
        <v>200</v>
      </c>
    </row>
    <row r="138" spans="1:40" x14ac:dyDescent="0.2">
      <c r="A138">
        <v>70</v>
      </c>
      <c r="B138">
        <v>1</v>
      </c>
      <c r="D138">
        <v>5</v>
      </c>
      <c r="E138" t="s">
        <v>201</v>
      </c>
      <c r="F138" t="s">
        <v>202</v>
      </c>
      <c r="G138">
        <v>7</v>
      </c>
      <c r="H138">
        <v>0</v>
      </c>
      <c r="I138" t="s">
        <v>3</v>
      </c>
      <c r="J138">
        <v>0</v>
      </c>
      <c r="K138">
        <v>0</v>
      </c>
      <c r="L138" t="s">
        <v>3</v>
      </c>
      <c r="M138" t="s">
        <v>3</v>
      </c>
      <c r="N138">
        <v>0</v>
      </c>
      <c r="P138" t="s">
        <v>3</v>
      </c>
    </row>
    <row r="139" spans="1:40" x14ac:dyDescent="0.2">
      <c r="A139">
        <v>70</v>
      </c>
      <c r="B139">
        <v>1</v>
      </c>
      <c r="D139">
        <v>6</v>
      </c>
      <c r="E139" t="s">
        <v>203</v>
      </c>
      <c r="F139" t="s">
        <v>3</v>
      </c>
      <c r="G139">
        <v>2</v>
      </c>
      <c r="H139">
        <v>0</v>
      </c>
      <c r="I139" t="s">
        <v>3</v>
      </c>
      <c r="J139">
        <v>0</v>
      </c>
      <c r="K139">
        <v>0</v>
      </c>
      <c r="L139" t="s">
        <v>3</v>
      </c>
      <c r="M139" t="s">
        <v>3</v>
      </c>
      <c r="N139">
        <v>0</v>
      </c>
      <c r="P139" t="s">
        <v>3</v>
      </c>
    </row>
    <row r="141" spans="1:40" x14ac:dyDescent="0.2">
      <c r="A141">
        <v>-1</v>
      </c>
    </row>
    <row r="143" spans="1:40" x14ac:dyDescent="0.2">
      <c r="A143" s="4">
        <v>75</v>
      </c>
      <c r="B143" s="4" t="s">
        <v>204</v>
      </c>
      <c r="C143" s="4">
        <v>2026</v>
      </c>
      <c r="D143" s="4">
        <v>0</v>
      </c>
      <c r="E143" s="4">
        <v>6</v>
      </c>
      <c r="F143" s="4">
        <v>1</v>
      </c>
      <c r="G143" s="4">
        <v>0</v>
      </c>
      <c r="H143" s="4">
        <v>1</v>
      </c>
      <c r="I143" s="4">
        <v>0</v>
      </c>
      <c r="J143" s="4">
        <v>1</v>
      </c>
      <c r="K143" s="4">
        <v>0</v>
      </c>
      <c r="L143" s="4">
        <v>0</v>
      </c>
      <c r="M143" s="4">
        <v>0</v>
      </c>
      <c r="N143" s="4">
        <v>92678453</v>
      </c>
      <c r="O143" s="4">
        <v>1</v>
      </c>
    </row>
    <row r="144" spans="1:40" x14ac:dyDescent="0.2">
      <c r="A144" s="6">
        <v>2</v>
      </c>
      <c r="B144" s="6" t="s">
        <v>205</v>
      </c>
      <c r="C144" s="6" t="s">
        <v>206</v>
      </c>
      <c r="D144" s="6">
        <v>0</v>
      </c>
      <c r="E144" s="6">
        <v>0</v>
      </c>
      <c r="F144" s="6">
        <v>0</v>
      </c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>
        <v>92678454</v>
      </c>
    </row>
    <row r="145" spans="1:50" x14ac:dyDescent="0.2">
      <c r="A145" s="6">
        <v>1</v>
      </c>
      <c r="B145" s="6" t="s">
        <v>207</v>
      </c>
      <c r="C145" s="6" t="s">
        <v>208</v>
      </c>
      <c r="D145" s="6">
        <v>2026</v>
      </c>
      <c r="E145" s="6">
        <v>6</v>
      </c>
      <c r="F145" s="6">
        <v>1</v>
      </c>
      <c r="G145" s="6">
        <v>1</v>
      </c>
      <c r="H145" s="6">
        <v>0</v>
      </c>
      <c r="I145" s="6">
        <v>2</v>
      </c>
      <c r="J145" s="6">
        <v>1</v>
      </c>
      <c r="K145" s="6">
        <v>1</v>
      </c>
      <c r="L145" s="6">
        <v>1</v>
      </c>
      <c r="M145" s="6">
        <v>1</v>
      </c>
      <c r="N145" s="6">
        <v>1</v>
      </c>
      <c r="O145" s="6">
        <v>1</v>
      </c>
      <c r="P145" s="6">
        <v>1</v>
      </c>
      <c r="Q145" s="6">
        <v>1</v>
      </c>
      <c r="R145" s="6" t="s">
        <v>3</v>
      </c>
      <c r="S145" s="6" t="s">
        <v>3</v>
      </c>
      <c r="T145" s="6" t="s">
        <v>3</v>
      </c>
      <c r="U145" s="6" t="s">
        <v>3</v>
      </c>
      <c r="V145" s="6" t="s">
        <v>3</v>
      </c>
      <c r="W145" s="6" t="s">
        <v>3</v>
      </c>
      <c r="X145" s="6" t="s">
        <v>3</v>
      </c>
      <c r="Y145" s="6" t="s">
        <v>3</v>
      </c>
      <c r="Z145" s="6" t="s">
        <v>3</v>
      </c>
      <c r="AA145" s="6" t="s">
        <v>3</v>
      </c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>
        <v>92678455</v>
      </c>
      <c r="AO145" s="6" t="s">
        <v>209</v>
      </c>
      <c r="AP145" s="6" t="s">
        <v>210</v>
      </c>
      <c r="AQ145" s="6">
        <v>46164</v>
      </c>
      <c r="AR145" s="6">
        <v>417</v>
      </c>
      <c r="AS145" s="6" t="s">
        <v>211</v>
      </c>
      <c r="AT145" s="6" t="s">
        <v>3</v>
      </c>
      <c r="AU145" s="6" t="s">
        <v>210</v>
      </c>
      <c r="AV145" s="6">
        <v>45957</v>
      </c>
      <c r="AW145" s="6">
        <v>23615</v>
      </c>
      <c r="AX145" s="6" t="s">
        <v>212</v>
      </c>
    </row>
    <row r="149" spans="1:50" x14ac:dyDescent="0.2">
      <c r="A149">
        <v>65</v>
      </c>
      <c r="C149">
        <v>1</v>
      </c>
      <c r="D149">
        <v>0</v>
      </c>
      <c r="E149">
        <v>245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C55"/>
  <sheetViews>
    <sheetView workbookViewId="0"/>
  </sheetViews>
  <sheetFormatPr defaultColWidth="9.140625" defaultRowHeight="12.75" x14ac:dyDescent="0.2"/>
  <cols>
    <col min="1" max="256" width="9.140625" style="2" customWidth="1"/>
    <col min="257" max="16384" width="9.140625" style="2"/>
  </cols>
  <sheetData>
    <row r="1" spans="1:133" x14ac:dyDescent="0.2">
      <c r="A1" s="2">
        <v>0</v>
      </c>
      <c r="B1" s="2" t="s">
        <v>0</v>
      </c>
      <c r="D1" s="2" t="s">
        <v>213</v>
      </c>
      <c r="F1" s="2">
        <v>0</v>
      </c>
      <c r="G1" s="2">
        <v>0</v>
      </c>
      <c r="H1" s="2">
        <v>0</v>
      </c>
      <c r="I1" s="2" t="s">
        <v>2</v>
      </c>
      <c r="J1" s="2" t="s">
        <v>3</v>
      </c>
      <c r="K1" s="2">
        <v>1</v>
      </c>
      <c r="L1" s="2">
        <v>74933</v>
      </c>
      <c r="M1" s="2">
        <v>10</v>
      </c>
      <c r="N1" s="2">
        <v>12</v>
      </c>
      <c r="O1" s="2">
        <v>1</v>
      </c>
      <c r="P1" s="2">
        <v>0</v>
      </c>
      <c r="Q1" s="2">
        <v>2</v>
      </c>
    </row>
    <row r="4" spans="1:133" x14ac:dyDescent="0.2">
      <c r="A4" s="7">
        <v>1</v>
      </c>
      <c r="B4" s="7">
        <v>1</v>
      </c>
      <c r="C4" s="7">
        <v>-1</v>
      </c>
      <c r="D4" s="7"/>
      <c r="E4" s="7"/>
      <c r="F4" s="7"/>
      <c r="G4" s="7" t="s">
        <v>4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>
        <v>0</v>
      </c>
    </row>
    <row r="12" spans="1:133" x14ac:dyDescent="0.2">
      <c r="A12" s="7">
        <v>1</v>
      </c>
      <c r="B12" s="7">
        <v>53</v>
      </c>
      <c r="C12" s="7">
        <v>0</v>
      </c>
      <c r="D12" s="7"/>
      <c r="E12" s="7">
        <v>0</v>
      </c>
      <c r="F12" s="7" t="s">
        <v>5</v>
      </c>
      <c r="G12" s="7" t="s">
        <v>6</v>
      </c>
      <c r="H12" s="7" t="s">
        <v>3</v>
      </c>
      <c r="I12" s="7">
        <v>0</v>
      </c>
      <c r="J12" s="7" t="s">
        <v>3</v>
      </c>
      <c r="K12" s="7">
        <v>0</v>
      </c>
      <c r="L12" s="7">
        <v>0</v>
      </c>
      <c r="M12" s="7">
        <v>523</v>
      </c>
      <c r="N12" s="7"/>
      <c r="O12" s="7">
        <v>0</v>
      </c>
      <c r="P12" s="7">
        <v>0</v>
      </c>
      <c r="Q12" s="7">
        <v>7</v>
      </c>
      <c r="R12" s="7">
        <v>0</v>
      </c>
      <c r="S12" s="7"/>
      <c r="T12" s="7">
        <v>4</v>
      </c>
      <c r="U12" s="7" t="s">
        <v>3</v>
      </c>
      <c r="V12" s="7">
        <v>0</v>
      </c>
      <c r="W12" s="7" t="s">
        <v>3</v>
      </c>
      <c r="X12" s="7" t="s">
        <v>3</v>
      </c>
      <c r="Y12" s="7" t="s">
        <v>3</v>
      </c>
      <c r="Z12" s="7" t="s">
        <v>3</v>
      </c>
      <c r="AA12" s="7" t="s">
        <v>3</v>
      </c>
      <c r="AB12" s="7" t="s">
        <v>3</v>
      </c>
      <c r="AC12" s="7" t="s">
        <v>3</v>
      </c>
      <c r="AD12" s="7" t="s">
        <v>3</v>
      </c>
      <c r="AE12" s="7" t="s">
        <v>3</v>
      </c>
      <c r="AF12" s="7" t="s">
        <v>3</v>
      </c>
      <c r="AG12" s="7" t="s">
        <v>3</v>
      </c>
      <c r="AH12" s="7" t="s">
        <v>3</v>
      </c>
      <c r="AI12" s="7" t="s">
        <v>3</v>
      </c>
      <c r="AJ12" s="7" t="s">
        <v>3</v>
      </c>
      <c r="AK12" s="7"/>
      <c r="AL12" s="7" t="s">
        <v>3</v>
      </c>
      <c r="AM12" s="7" t="s">
        <v>3</v>
      </c>
      <c r="AN12" s="7" t="s">
        <v>3</v>
      </c>
      <c r="AO12" s="7"/>
      <c r="AP12" s="7" t="s">
        <v>3</v>
      </c>
      <c r="AQ12" s="7" t="s">
        <v>3</v>
      </c>
      <c r="AR12" s="7" t="s">
        <v>3</v>
      </c>
      <c r="AS12" s="7"/>
      <c r="AT12" s="7"/>
      <c r="AU12" s="7"/>
      <c r="AV12" s="7"/>
      <c r="AW12" s="7"/>
      <c r="AX12" s="7" t="s">
        <v>3</v>
      </c>
      <c r="AY12" s="7" t="s">
        <v>3</v>
      </c>
      <c r="AZ12" s="7" t="s">
        <v>3</v>
      </c>
      <c r="BA12" s="7"/>
      <c r="BB12" s="7">
        <v>0</v>
      </c>
      <c r="BC12" s="7"/>
      <c r="BD12" s="7"/>
      <c r="BE12" s="7"/>
      <c r="BF12" s="7"/>
      <c r="BG12" s="7"/>
      <c r="BH12" s="7" t="s">
        <v>7</v>
      </c>
      <c r="BI12" s="7" t="s">
        <v>8</v>
      </c>
      <c r="BJ12" s="7">
        <v>1</v>
      </c>
      <c r="BK12" s="7">
        <v>1</v>
      </c>
      <c r="BL12" s="7">
        <v>0</v>
      </c>
      <c r="BM12" s="7">
        <v>0</v>
      </c>
      <c r="BN12" s="7">
        <v>1</v>
      </c>
      <c r="BO12" s="7">
        <v>0</v>
      </c>
      <c r="BP12" s="7">
        <v>6</v>
      </c>
      <c r="BQ12" s="7">
        <v>2</v>
      </c>
      <c r="BR12" s="7">
        <v>1</v>
      </c>
      <c r="BS12" s="7">
        <v>1</v>
      </c>
      <c r="BT12" s="7">
        <v>0</v>
      </c>
      <c r="BU12" s="7">
        <v>0</v>
      </c>
      <c r="BV12" s="7">
        <v>0</v>
      </c>
      <c r="BW12" s="7">
        <v>0</v>
      </c>
      <c r="BX12" s="7">
        <v>0</v>
      </c>
      <c r="BY12" s="7" t="s">
        <v>9</v>
      </c>
      <c r="BZ12" s="7" t="s">
        <v>10</v>
      </c>
      <c r="CA12" s="7" t="s">
        <v>11</v>
      </c>
      <c r="CB12" s="7" t="s">
        <v>11</v>
      </c>
      <c r="CC12" s="7" t="s">
        <v>11</v>
      </c>
      <c r="CD12" s="7" t="s">
        <v>11</v>
      </c>
      <c r="CE12" s="7" t="s">
        <v>12</v>
      </c>
      <c r="CF12" s="7">
        <v>0</v>
      </c>
      <c r="CG12" s="7">
        <v>0</v>
      </c>
      <c r="CH12" s="7">
        <v>487096328</v>
      </c>
      <c r="CI12" s="7" t="s">
        <v>3</v>
      </c>
      <c r="CJ12" s="7" t="s">
        <v>3</v>
      </c>
      <c r="CK12" s="7">
        <v>18</v>
      </c>
      <c r="CL12" s="7"/>
      <c r="CM12" s="7"/>
      <c r="CN12" s="7"/>
      <c r="CO12" s="7"/>
      <c r="CP12" s="7"/>
      <c r="CQ12" s="7" t="s">
        <v>13</v>
      </c>
      <c r="CR12" s="7" t="s">
        <v>14</v>
      </c>
      <c r="CS12" s="7">
        <v>46161</v>
      </c>
      <c r="CT12" s="7">
        <v>567</v>
      </c>
      <c r="CU12" s="7">
        <v>18</v>
      </c>
      <c r="CV12" s="7" t="s">
        <v>288</v>
      </c>
      <c r="CW12" s="7"/>
      <c r="CX12" s="7"/>
      <c r="CY12" s="7">
        <v>0</v>
      </c>
      <c r="CZ12" s="7" t="s">
        <v>3</v>
      </c>
      <c r="DA12" s="7" t="s">
        <v>3</v>
      </c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>
        <v>0</v>
      </c>
    </row>
    <row r="14" spans="1:133" x14ac:dyDescent="0.2">
      <c r="A14" s="7">
        <v>22</v>
      </c>
      <c r="B14" s="7">
        <v>1</v>
      </c>
      <c r="C14" s="7">
        <v>0</v>
      </c>
      <c r="D14" s="7">
        <v>92678453</v>
      </c>
      <c r="E14" s="7">
        <v>0</v>
      </c>
      <c r="F14" s="7">
        <v>2</v>
      </c>
      <c r="G14" s="7">
        <v>1</v>
      </c>
      <c r="H14" s="7"/>
      <c r="I14" s="7"/>
      <c r="J14" s="7"/>
      <c r="K14" s="7"/>
      <c r="L14" s="7"/>
      <c r="M14" s="7"/>
      <c r="N14" s="7"/>
      <c r="O14" s="7"/>
    </row>
    <row r="16" spans="1:133" x14ac:dyDescent="0.2">
      <c r="A16" s="8">
        <v>3</v>
      </c>
      <c r="B16" s="8">
        <v>1</v>
      </c>
      <c r="C16" s="8" t="s">
        <v>15</v>
      </c>
      <c r="D16" s="8" t="s">
        <v>6</v>
      </c>
      <c r="E16" s="9">
        <f>ROUND((Source!F69)/1000,2)</f>
        <v>0</v>
      </c>
      <c r="F16" s="9">
        <f>ROUND((Source!F70)/1000,2)</f>
        <v>111.91</v>
      </c>
      <c r="G16" s="9">
        <f>ROUND((Source!F61)/1000,2)</f>
        <v>68.099999999999994</v>
      </c>
      <c r="H16" s="9">
        <f>ROUND((Source!F71)/1000+(Source!F72)/1000,2)</f>
        <v>0</v>
      </c>
      <c r="I16" s="9">
        <f>E16+F16+G16+H16</f>
        <v>180.01</v>
      </c>
      <c r="J16" s="9">
        <f>ROUND((Source!F67+Source!F66)/1000,2)</f>
        <v>47.42</v>
      </c>
      <c r="K16" s="9">
        <v>186.46</v>
      </c>
      <c r="L16" s="9">
        <v>0</v>
      </c>
      <c r="M16" s="9">
        <v>0</v>
      </c>
      <c r="N16" s="9">
        <f>I16+L16+M16</f>
        <v>180.01</v>
      </c>
      <c r="AI16" s="8">
        <v>0</v>
      </c>
      <c r="AJ16" s="8">
        <v>-1</v>
      </c>
      <c r="AK16" s="8" t="s">
        <v>3</v>
      </c>
      <c r="AL16" s="8" t="s">
        <v>3</v>
      </c>
      <c r="AM16" s="8" t="s">
        <v>3</v>
      </c>
      <c r="AN16" s="8">
        <v>0</v>
      </c>
      <c r="AO16" s="8" t="s">
        <v>3</v>
      </c>
      <c r="AP16" s="8" t="s">
        <v>3</v>
      </c>
      <c r="AT16" s="9">
        <v>48843.81</v>
      </c>
      <c r="AU16" s="9">
        <v>69517.899999999994</v>
      </c>
      <c r="AV16" s="9">
        <v>0</v>
      </c>
      <c r="AW16" s="9">
        <v>68095.259999999995</v>
      </c>
      <c r="AX16" s="9">
        <v>0</v>
      </c>
      <c r="AY16" s="9">
        <v>0</v>
      </c>
      <c r="AZ16" s="9">
        <v>0</v>
      </c>
      <c r="BA16" s="9">
        <v>47421.17</v>
      </c>
      <c r="BB16" s="9">
        <v>0</v>
      </c>
      <c r="BC16" s="9">
        <v>111913.96</v>
      </c>
      <c r="BD16" s="9">
        <v>0</v>
      </c>
      <c r="BE16" s="9">
        <v>0</v>
      </c>
      <c r="BF16" s="9">
        <v>67.42</v>
      </c>
      <c r="BG16" s="9">
        <v>0</v>
      </c>
      <c r="BH16" s="9">
        <v>0</v>
      </c>
      <c r="BI16" s="9">
        <v>42204.84</v>
      </c>
      <c r="BJ16" s="9">
        <v>20865.310000000001</v>
      </c>
      <c r="BK16" s="9">
        <v>180009.22</v>
      </c>
    </row>
    <row r="18" spans="1:16" x14ac:dyDescent="0.2">
      <c r="A18" s="2">
        <v>51</v>
      </c>
      <c r="E18" s="2">
        <v>0</v>
      </c>
      <c r="F18" s="2">
        <v>111.91</v>
      </c>
      <c r="G18" s="2">
        <v>68.099999999999994</v>
      </c>
      <c r="H18" s="2">
        <v>0</v>
      </c>
      <c r="I18" s="2">
        <v>180.01</v>
      </c>
      <c r="J18" s="2">
        <v>47.42</v>
      </c>
      <c r="K18" s="2">
        <v>186.46</v>
      </c>
      <c r="L18" s="2">
        <v>0</v>
      </c>
      <c r="M18" s="2">
        <v>0</v>
      </c>
      <c r="N18" s="2">
        <v>180.01</v>
      </c>
    </row>
    <row r="20" spans="1:16" x14ac:dyDescent="0.2">
      <c r="A20" s="10">
        <v>50</v>
      </c>
      <c r="B20" s="10">
        <v>0</v>
      </c>
      <c r="C20" s="10">
        <v>0</v>
      </c>
      <c r="D20" s="10">
        <v>1</v>
      </c>
      <c r="E20" s="10">
        <v>201</v>
      </c>
      <c r="F20" s="10">
        <v>48843.81</v>
      </c>
      <c r="G20" s="10" t="s">
        <v>80</v>
      </c>
      <c r="H20" s="10" t="s">
        <v>81</v>
      </c>
      <c r="I20" s="10"/>
      <c r="J20" s="10"/>
      <c r="K20" s="10">
        <v>201</v>
      </c>
      <c r="L20" s="10">
        <v>1</v>
      </c>
      <c r="M20" s="10">
        <v>3</v>
      </c>
      <c r="N20" s="10" t="s">
        <v>3</v>
      </c>
      <c r="O20" s="10">
        <v>2</v>
      </c>
      <c r="P20" s="10"/>
    </row>
    <row r="21" spans="1:16" x14ac:dyDescent="0.2">
      <c r="A21" s="10">
        <v>50</v>
      </c>
      <c r="B21" s="10">
        <v>0</v>
      </c>
      <c r="C21" s="10">
        <v>0</v>
      </c>
      <c r="D21" s="10">
        <v>1</v>
      </c>
      <c r="E21" s="10">
        <v>202</v>
      </c>
      <c r="F21" s="10">
        <v>69517.899999999994</v>
      </c>
      <c r="G21" s="10" t="s">
        <v>82</v>
      </c>
      <c r="H21" s="10" t="s">
        <v>83</v>
      </c>
      <c r="I21" s="10"/>
      <c r="J21" s="10"/>
      <c r="K21" s="10">
        <v>202</v>
      </c>
      <c r="L21" s="10">
        <v>2</v>
      </c>
      <c r="M21" s="10">
        <v>3</v>
      </c>
      <c r="N21" s="10" t="s">
        <v>3</v>
      </c>
      <c r="O21" s="10">
        <v>2</v>
      </c>
      <c r="P21" s="10"/>
    </row>
    <row r="22" spans="1:16" x14ac:dyDescent="0.2">
      <c r="A22" s="10">
        <v>50</v>
      </c>
      <c r="B22" s="10">
        <v>0</v>
      </c>
      <c r="C22" s="10">
        <v>0</v>
      </c>
      <c r="D22" s="10">
        <v>1</v>
      </c>
      <c r="E22" s="10">
        <v>222</v>
      </c>
      <c r="F22" s="10">
        <v>0</v>
      </c>
      <c r="G22" s="10" t="s">
        <v>84</v>
      </c>
      <c r="H22" s="10" t="s">
        <v>85</v>
      </c>
      <c r="I22" s="10"/>
      <c r="J22" s="10"/>
      <c r="K22" s="10">
        <v>222</v>
      </c>
      <c r="L22" s="10">
        <v>3</v>
      </c>
      <c r="M22" s="10">
        <v>3</v>
      </c>
      <c r="N22" s="10" t="s">
        <v>3</v>
      </c>
      <c r="O22" s="10">
        <v>2</v>
      </c>
      <c r="P22" s="10"/>
    </row>
    <row r="23" spans="1:16" x14ac:dyDescent="0.2">
      <c r="A23" s="10">
        <v>50</v>
      </c>
      <c r="B23" s="10">
        <v>0</v>
      </c>
      <c r="C23" s="10">
        <v>0</v>
      </c>
      <c r="D23" s="10">
        <v>1</v>
      </c>
      <c r="E23" s="10">
        <v>225</v>
      </c>
      <c r="F23" s="10">
        <v>69517.899999999994</v>
      </c>
      <c r="G23" s="10" t="s">
        <v>86</v>
      </c>
      <c r="H23" s="10" t="s">
        <v>87</v>
      </c>
      <c r="I23" s="10"/>
      <c r="J23" s="10"/>
      <c r="K23" s="10">
        <v>225</v>
      </c>
      <c r="L23" s="10">
        <v>4</v>
      </c>
      <c r="M23" s="10">
        <v>3</v>
      </c>
      <c r="N23" s="10" t="s">
        <v>3</v>
      </c>
      <c r="O23" s="10">
        <v>2</v>
      </c>
      <c r="P23" s="10"/>
    </row>
    <row r="24" spans="1:16" x14ac:dyDescent="0.2">
      <c r="A24" s="10">
        <v>50</v>
      </c>
      <c r="B24" s="10">
        <v>0</v>
      </c>
      <c r="C24" s="10">
        <v>0</v>
      </c>
      <c r="D24" s="10">
        <v>1</v>
      </c>
      <c r="E24" s="10">
        <v>226</v>
      </c>
      <c r="F24" s="10">
        <v>1422.64</v>
      </c>
      <c r="G24" s="10" t="s">
        <v>88</v>
      </c>
      <c r="H24" s="10" t="s">
        <v>89</v>
      </c>
      <c r="I24" s="10"/>
      <c r="J24" s="10"/>
      <c r="K24" s="10">
        <v>226</v>
      </c>
      <c r="L24" s="10">
        <v>5</v>
      </c>
      <c r="M24" s="10">
        <v>3</v>
      </c>
      <c r="N24" s="10" t="s">
        <v>3</v>
      </c>
      <c r="O24" s="10">
        <v>2</v>
      </c>
      <c r="P24" s="10"/>
    </row>
    <row r="25" spans="1:16" x14ac:dyDescent="0.2">
      <c r="A25" s="10">
        <v>50</v>
      </c>
      <c r="B25" s="10">
        <v>0</v>
      </c>
      <c r="C25" s="10">
        <v>0</v>
      </c>
      <c r="D25" s="10">
        <v>1</v>
      </c>
      <c r="E25" s="10">
        <v>227</v>
      </c>
      <c r="F25" s="10">
        <v>0</v>
      </c>
      <c r="G25" s="10" t="s">
        <v>90</v>
      </c>
      <c r="H25" s="10" t="s">
        <v>91</v>
      </c>
      <c r="I25" s="10"/>
      <c r="J25" s="10"/>
      <c r="K25" s="10">
        <v>227</v>
      </c>
      <c r="L25" s="10">
        <v>6</v>
      </c>
      <c r="M25" s="10">
        <v>3</v>
      </c>
      <c r="N25" s="10" t="s">
        <v>3</v>
      </c>
      <c r="O25" s="10">
        <v>2</v>
      </c>
      <c r="P25" s="10"/>
    </row>
    <row r="26" spans="1:16" x14ac:dyDescent="0.2">
      <c r="A26" s="10">
        <v>50</v>
      </c>
      <c r="B26" s="10">
        <v>0</v>
      </c>
      <c r="C26" s="10">
        <v>0</v>
      </c>
      <c r="D26" s="10">
        <v>1</v>
      </c>
      <c r="E26" s="10">
        <v>228</v>
      </c>
      <c r="F26" s="10">
        <v>1422.64</v>
      </c>
      <c r="G26" s="10" t="s">
        <v>92</v>
      </c>
      <c r="H26" s="10" t="s">
        <v>93</v>
      </c>
      <c r="I26" s="10"/>
      <c r="J26" s="10"/>
      <c r="K26" s="10">
        <v>228</v>
      </c>
      <c r="L26" s="10">
        <v>7</v>
      </c>
      <c r="M26" s="10">
        <v>3</v>
      </c>
      <c r="N26" s="10" t="s">
        <v>3</v>
      </c>
      <c r="O26" s="10">
        <v>2</v>
      </c>
      <c r="P26" s="10"/>
    </row>
    <row r="27" spans="1:16" x14ac:dyDescent="0.2">
      <c r="A27" s="10">
        <v>50</v>
      </c>
      <c r="B27" s="10">
        <v>0</v>
      </c>
      <c r="C27" s="10">
        <v>0</v>
      </c>
      <c r="D27" s="10">
        <v>1</v>
      </c>
      <c r="E27" s="10">
        <v>216</v>
      </c>
      <c r="F27" s="10">
        <v>68095.259999999995</v>
      </c>
      <c r="G27" s="10" t="s">
        <v>94</v>
      </c>
      <c r="H27" s="10" t="s">
        <v>95</v>
      </c>
      <c r="I27" s="10"/>
      <c r="J27" s="10"/>
      <c r="K27" s="10">
        <v>216</v>
      </c>
      <c r="L27" s="10">
        <v>8</v>
      </c>
      <c r="M27" s="10">
        <v>3</v>
      </c>
      <c r="N27" s="10" t="s">
        <v>3</v>
      </c>
      <c r="O27" s="10">
        <v>2</v>
      </c>
      <c r="P27" s="10"/>
    </row>
    <row r="28" spans="1:16" x14ac:dyDescent="0.2">
      <c r="A28" s="10">
        <v>50</v>
      </c>
      <c r="B28" s="10">
        <v>0</v>
      </c>
      <c r="C28" s="10">
        <v>0</v>
      </c>
      <c r="D28" s="10">
        <v>1</v>
      </c>
      <c r="E28" s="10">
        <v>223</v>
      </c>
      <c r="F28" s="10">
        <v>0</v>
      </c>
      <c r="G28" s="10" t="s">
        <v>96</v>
      </c>
      <c r="H28" s="10" t="s">
        <v>97</v>
      </c>
      <c r="I28" s="10"/>
      <c r="J28" s="10"/>
      <c r="K28" s="10">
        <v>223</v>
      </c>
      <c r="L28" s="10">
        <v>9</v>
      </c>
      <c r="M28" s="10">
        <v>3</v>
      </c>
      <c r="N28" s="10" t="s">
        <v>3</v>
      </c>
      <c r="O28" s="10">
        <v>2</v>
      </c>
      <c r="P28" s="10"/>
    </row>
    <row r="29" spans="1:16" x14ac:dyDescent="0.2">
      <c r="A29" s="10">
        <v>50</v>
      </c>
      <c r="B29" s="10">
        <v>0</v>
      </c>
      <c r="C29" s="10">
        <v>0</v>
      </c>
      <c r="D29" s="10">
        <v>1</v>
      </c>
      <c r="E29" s="10">
        <v>229</v>
      </c>
      <c r="F29" s="10">
        <v>68095.259999999995</v>
      </c>
      <c r="G29" s="10" t="s">
        <v>98</v>
      </c>
      <c r="H29" s="10" t="s">
        <v>99</v>
      </c>
      <c r="I29" s="10"/>
      <c r="J29" s="10"/>
      <c r="K29" s="10">
        <v>229</v>
      </c>
      <c r="L29" s="10">
        <v>10</v>
      </c>
      <c r="M29" s="10">
        <v>3</v>
      </c>
      <c r="N29" s="10" t="s">
        <v>3</v>
      </c>
      <c r="O29" s="10">
        <v>2</v>
      </c>
      <c r="P29" s="10"/>
    </row>
    <row r="30" spans="1:16" x14ac:dyDescent="0.2">
      <c r="A30" s="10">
        <v>50</v>
      </c>
      <c r="B30" s="10">
        <v>0</v>
      </c>
      <c r="C30" s="10">
        <v>0</v>
      </c>
      <c r="D30" s="10">
        <v>1</v>
      </c>
      <c r="E30" s="10">
        <v>203</v>
      </c>
      <c r="F30" s="10">
        <v>0</v>
      </c>
      <c r="G30" s="10" t="s">
        <v>100</v>
      </c>
      <c r="H30" s="10" t="s">
        <v>101</v>
      </c>
      <c r="I30" s="10"/>
      <c r="J30" s="10"/>
      <c r="K30" s="10">
        <v>203</v>
      </c>
      <c r="L30" s="10">
        <v>11</v>
      </c>
      <c r="M30" s="10">
        <v>3</v>
      </c>
      <c r="N30" s="10" t="s">
        <v>3</v>
      </c>
      <c r="O30" s="10">
        <v>2</v>
      </c>
      <c r="P30" s="10"/>
    </row>
    <row r="31" spans="1:16" x14ac:dyDescent="0.2">
      <c r="A31" s="10">
        <v>50</v>
      </c>
      <c r="B31" s="10">
        <v>0</v>
      </c>
      <c r="C31" s="10">
        <v>0</v>
      </c>
      <c r="D31" s="10">
        <v>1</v>
      </c>
      <c r="E31" s="10">
        <v>231</v>
      </c>
      <c r="F31" s="10">
        <v>0</v>
      </c>
      <c r="G31" s="10" t="s">
        <v>102</v>
      </c>
      <c r="H31" s="10" t="s">
        <v>103</v>
      </c>
      <c r="I31" s="10"/>
      <c r="J31" s="10"/>
      <c r="K31" s="10">
        <v>231</v>
      </c>
      <c r="L31" s="10">
        <v>12</v>
      </c>
      <c r="M31" s="10">
        <v>3</v>
      </c>
      <c r="N31" s="10" t="s">
        <v>3</v>
      </c>
      <c r="O31" s="10">
        <v>2</v>
      </c>
      <c r="P31" s="10"/>
    </row>
    <row r="32" spans="1:16" x14ac:dyDescent="0.2">
      <c r="A32" s="10">
        <v>50</v>
      </c>
      <c r="B32" s="10">
        <v>0</v>
      </c>
      <c r="C32" s="10">
        <v>0</v>
      </c>
      <c r="D32" s="10">
        <v>1</v>
      </c>
      <c r="E32" s="10">
        <v>204</v>
      </c>
      <c r="F32" s="10">
        <v>0</v>
      </c>
      <c r="G32" s="10" t="s">
        <v>104</v>
      </c>
      <c r="H32" s="10" t="s">
        <v>105</v>
      </c>
      <c r="I32" s="10"/>
      <c r="J32" s="10"/>
      <c r="K32" s="10">
        <v>204</v>
      </c>
      <c r="L32" s="10">
        <v>13</v>
      </c>
      <c r="M32" s="10">
        <v>3</v>
      </c>
      <c r="N32" s="10" t="s">
        <v>3</v>
      </c>
      <c r="O32" s="10">
        <v>2</v>
      </c>
      <c r="P32" s="10"/>
    </row>
    <row r="33" spans="1:16" x14ac:dyDescent="0.2">
      <c r="A33" s="10">
        <v>50</v>
      </c>
      <c r="B33" s="10">
        <v>0</v>
      </c>
      <c r="C33" s="10">
        <v>0</v>
      </c>
      <c r="D33" s="10">
        <v>1</v>
      </c>
      <c r="E33" s="10">
        <v>205</v>
      </c>
      <c r="F33" s="10">
        <v>47421.17</v>
      </c>
      <c r="G33" s="10" t="s">
        <v>106</v>
      </c>
      <c r="H33" s="10" t="s">
        <v>107</v>
      </c>
      <c r="I33" s="10"/>
      <c r="J33" s="10"/>
      <c r="K33" s="10">
        <v>205</v>
      </c>
      <c r="L33" s="10">
        <v>14</v>
      </c>
      <c r="M33" s="10">
        <v>3</v>
      </c>
      <c r="N33" s="10" t="s">
        <v>3</v>
      </c>
      <c r="O33" s="10">
        <v>2</v>
      </c>
      <c r="P33" s="10"/>
    </row>
    <row r="34" spans="1:16" x14ac:dyDescent="0.2">
      <c r="A34" s="10">
        <v>50</v>
      </c>
      <c r="B34" s="10">
        <v>0</v>
      </c>
      <c r="C34" s="10">
        <v>0</v>
      </c>
      <c r="D34" s="10">
        <v>1</v>
      </c>
      <c r="E34" s="10">
        <v>232</v>
      </c>
      <c r="F34" s="10">
        <v>0</v>
      </c>
      <c r="G34" s="10" t="s">
        <v>108</v>
      </c>
      <c r="H34" s="10" t="s">
        <v>109</v>
      </c>
      <c r="I34" s="10"/>
      <c r="J34" s="10"/>
      <c r="K34" s="10">
        <v>232</v>
      </c>
      <c r="L34" s="10">
        <v>15</v>
      </c>
      <c r="M34" s="10">
        <v>3</v>
      </c>
      <c r="N34" s="10" t="s">
        <v>3</v>
      </c>
      <c r="O34" s="10">
        <v>2</v>
      </c>
      <c r="P34" s="10"/>
    </row>
    <row r="35" spans="1:16" x14ac:dyDescent="0.2">
      <c r="A35" s="10">
        <v>50</v>
      </c>
      <c r="B35" s="10">
        <v>0</v>
      </c>
      <c r="C35" s="10">
        <v>0</v>
      </c>
      <c r="D35" s="10">
        <v>1</v>
      </c>
      <c r="E35" s="10">
        <v>214</v>
      </c>
      <c r="F35" s="10">
        <v>0</v>
      </c>
      <c r="G35" s="10" t="s">
        <v>110</v>
      </c>
      <c r="H35" s="10" t="s">
        <v>111</v>
      </c>
      <c r="I35" s="10"/>
      <c r="J35" s="10"/>
      <c r="K35" s="10">
        <v>214</v>
      </c>
      <c r="L35" s="10">
        <v>16</v>
      </c>
      <c r="M35" s="10">
        <v>3</v>
      </c>
      <c r="N35" s="10" t="s">
        <v>3</v>
      </c>
      <c r="O35" s="10">
        <v>2</v>
      </c>
      <c r="P35" s="10"/>
    </row>
    <row r="36" spans="1:16" x14ac:dyDescent="0.2">
      <c r="A36" s="10">
        <v>50</v>
      </c>
      <c r="B36" s="10">
        <v>0</v>
      </c>
      <c r="C36" s="10">
        <v>0</v>
      </c>
      <c r="D36" s="10">
        <v>1</v>
      </c>
      <c r="E36" s="10">
        <v>215</v>
      </c>
      <c r="F36" s="10">
        <v>111913.96</v>
      </c>
      <c r="G36" s="10" t="s">
        <v>112</v>
      </c>
      <c r="H36" s="10" t="s">
        <v>113</v>
      </c>
      <c r="I36" s="10"/>
      <c r="J36" s="10"/>
      <c r="K36" s="10">
        <v>215</v>
      </c>
      <c r="L36" s="10">
        <v>17</v>
      </c>
      <c r="M36" s="10">
        <v>3</v>
      </c>
      <c r="N36" s="10" t="s">
        <v>3</v>
      </c>
      <c r="O36" s="10">
        <v>2</v>
      </c>
      <c r="P36" s="10"/>
    </row>
    <row r="37" spans="1:16" x14ac:dyDescent="0.2">
      <c r="A37" s="10">
        <v>50</v>
      </c>
      <c r="B37" s="10">
        <v>0</v>
      </c>
      <c r="C37" s="10">
        <v>0</v>
      </c>
      <c r="D37" s="10">
        <v>1</v>
      </c>
      <c r="E37" s="10">
        <v>217</v>
      </c>
      <c r="F37" s="10">
        <v>0</v>
      </c>
      <c r="G37" s="10" t="s">
        <v>114</v>
      </c>
      <c r="H37" s="10" t="s">
        <v>115</v>
      </c>
      <c r="I37" s="10"/>
      <c r="J37" s="10"/>
      <c r="K37" s="10">
        <v>217</v>
      </c>
      <c r="L37" s="10">
        <v>18</v>
      </c>
      <c r="M37" s="10">
        <v>3</v>
      </c>
      <c r="N37" s="10" t="s">
        <v>3</v>
      </c>
      <c r="O37" s="10">
        <v>2</v>
      </c>
      <c r="P37" s="10"/>
    </row>
    <row r="38" spans="1:16" x14ac:dyDescent="0.2">
      <c r="A38" s="10">
        <v>50</v>
      </c>
      <c r="B38" s="10">
        <v>0</v>
      </c>
      <c r="C38" s="10">
        <v>0</v>
      </c>
      <c r="D38" s="10">
        <v>1</v>
      </c>
      <c r="E38" s="10">
        <v>230</v>
      </c>
      <c r="F38" s="10">
        <v>0</v>
      </c>
      <c r="G38" s="10" t="s">
        <v>116</v>
      </c>
      <c r="H38" s="10" t="s">
        <v>117</v>
      </c>
      <c r="I38" s="10"/>
      <c r="J38" s="10"/>
      <c r="K38" s="10">
        <v>230</v>
      </c>
      <c r="L38" s="10">
        <v>19</v>
      </c>
      <c r="M38" s="10">
        <v>3</v>
      </c>
      <c r="N38" s="10" t="s">
        <v>3</v>
      </c>
      <c r="O38" s="10">
        <v>2</v>
      </c>
      <c r="P38" s="10"/>
    </row>
    <row r="39" spans="1:16" x14ac:dyDescent="0.2">
      <c r="A39" s="10">
        <v>50</v>
      </c>
      <c r="B39" s="10">
        <v>0</v>
      </c>
      <c r="C39" s="10">
        <v>0</v>
      </c>
      <c r="D39" s="10">
        <v>1</v>
      </c>
      <c r="E39" s="10">
        <v>206</v>
      </c>
      <c r="F39" s="10">
        <v>0</v>
      </c>
      <c r="G39" s="10" t="s">
        <v>118</v>
      </c>
      <c r="H39" s="10" t="s">
        <v>119</v>
      </c>
      <c r="I39" s="10"/>
      <c r="J39" s="10"/>
      <c r="K39" s="10">
        <v>206</v>
      </c>
      <c r="L39" s="10">
        <v>20</v>
      </c>
      <c r="M39" s="10">
        <v>3</v>
      </c>
      <c r="N39" s="10" t="s">
        <v>3</v>
      </c>
      <c r="O39" s="10">
        <v>2</v>
      </c>
      <c r="P39" s="10"/>
    </row>
    <row r="40" spans="1:16" x14ac:dyDescent="0.2">
      <c r="A40" s="10">
        <v>50</v>
      </c>
      <c r="B40" s="10">
        <v>1</v>
      </c>
      <c r="C40" s="10">
        <v>0</v>
      </c>
      <c r="D40" s="10">
        <v>1</v>
      </c>
      <c r="E40" s="10">
        <v>207</v>
      </c>
      <c r="F40" s="10">
        <v>67.42</v>
      </c>
      <c r="G40" s="10" t="s">
        <v>120</v>
      </c>
      <c r="H40" s="10" t="s">
        <v>121</v>
      </c>
      <c r="I40" s="10"/>
      <c r="J40" s="10"/>
      <c r="K40" s="10">
        <v>207</v>
      </c>
      <c r="L40" s="10">
        <v>21</v>
      </c>
      <c r="M40" s="10">
        <v>0</v>
      </c>
      <c r="N40" s="10" t="s">
        <v>3</v>
      </c>
      <c r="O40" s="10">
        <v>-1</v>
      </c>
      <c r="P40" s="10"/>
    </row>
    <row r="41" spans="1:16" x14ac:dyDescent="0.2">
      <c r="A41" s="10">
        <v>50</v>
      </c>
      <c r="B41" s="10">
        <v>0</v>
      </c>
      <c r="C41" s="10">
        <v>0</v>
      </c>
      <c r="D41" s="10">
        <v>1</v>
      </c>
      <c r="E41" s="10">
        <v>208</v>
      </c>
      <c r="F41" s="10">
        <v>0</v>
      </c>
      <c r="G41" s="10" t="s">
        <v>122</v>
      </c>
      <c r="H41" s="10" t="s">
        <v>123</v>
      </c>
      <c r="I41" s="10"/>
      <c r="J41" s="10"/>
      <c r="K41" s="10">
        <v>208</v>
      </c>
      <c r="L41" s="10">
        <v>22</v>
      </c>
      <c r="M41" s="10">
        <v>3</v>
      </c>
      <c r="N41" s="10" t="s">
        <v>3</v>
      </c>
      <c r="O41" s="10">
        <v>-1</v>
      </c>
      <c r="P41" s="10"/>
    </row>
    <row r="42" spans="1:16" x14ac:dyDescent="0.2">
      <c r="A42" s="10">
        <v>50</v>
      </c>
      <c r="B42" s="10">
        <v>0</v>
      </c>
      <c r="C42" s="10">
        <v>0</v>
      </c>
      <c r="D42" s="10">
        <v>1</v>
      </c>
      <c r="E42" s="10">
        <v>209</v>
      </c>
      <c r="F42" s="10">
        <v>0</v>
      </c>
      <c r="G42" s="10" t="s">
        <v>124</v>
      </c>
      <c r="H42" s="10" t="s">
        <v>125</v>
      </c>
      <c r="I42" s="10"/>
      <c r="J42" s="10"/>
      <c r="K42" s="10">
        <v>209</v>
      </c>
      <c r="L42" s="10">
        <v>23</v>
      </c>
      <c r="M42" s="10">
        <v>3</v>
      </c>
      <c r="N42" s="10" t="s">
        <v>3</v>
      </c>
      <c r="O42" s="10">
        <v>2</v>
      </c>
      <c r="P42" s="10"/>
    </row>
    <row r="43" spans="1:16" x14ac:dyDescent="0.2">
      <c r="A43" s="10">
        <v>50</v>
      </c>
      <c r="B43" s="10">
        <v>0</v>
      </c>
      <c r="C43" s="10">
        <v>0</v>
      </c>
      <c r="D43" s="10">
        <v>1</v>
      </c>
      <c r="E43" s="10">
        <v>233</v>
      </c>
      <c r="F43" s="10">
        <v>0</v>
      </c>
      <c r="G43" s="10" t="s">
        <v>126</v>
      </c>
      <c r="H43" s="10" t="s">
        <v>127</v>
      </c>
      <c r="I43" s="10"/>
      <c r="J43" s="10"/>
      <c r="K43" s="10">
        <v>233</v>
      </c>
      <c r="L43" s="10">
        <v>24</v>
      </c>
      <c r="M43" s="10">
        <v>3</v>
      </c>
      <c r="N43" s="10" t="s">
        <v>3</v>
      </c>
      <c r="O43" s="10">
        <v>2</v>
      </c>
      <c r="P43" s="10"/>
    </row>
    <row r="44" spans="1:16" x14ac:dyDescent="0.2">
      <c r="A44" s="10">
        <v>50</v>
      </c>
      <c r="B44" s="10">
        <v>1</v>
      </c>
      <c r="C44" s="10">
        <v>0</v>
      </c>
      <c r="D44" s="10">
        <v>1</v>
      </c>
      <c r="E44" s="10">
        <v>210</v>
      </c>
      <c r="F44" s="10">
        <v>42204.84</v>
      </c>
      <c r="G44" s="10" t="s">
        <v>128</v>
      </c>
      <c r="H44" s="10" t="s">
        <v>129</v>
      </c>
      <c r="I44" s="10"/>
      <c r="J44" s="10"/>
      <c r="K44" s="10">
        <v>210</v>
      </c>
      <c r="L44" s="10">
        <v>25</v>
      </c>
      <c r="M44" s="10">
        <v>0</v>
      </c>
      <c r="N44" s="10" t="s">
        <v>3</v>
      </c>
      <c r="O44" s="10">
        <v>2</v>
      </c>
      <c r="P44" s="10"/>
    </row>
    <row r="45" spans="1:16" x14ac:dyDescent="0.2">
      <c r="A45" s="10">
        <v>50</v>
      </c>
      <c r="B45" s="10">
        <v>1</v>
      </c>
      <c r="C45" s="10">
        <v>0</v>
      </c>
      <c r="D45" s="10">
        <v>1</v>
      </c>
      <c r="E45" s="10">
        <v>211</v>
      </c>
      <c r="F45" s="10">
        <v>20865.310000000001</v>
      </c>
      <c r="G45" s="10" t="s">
        <v>130</v>
      </c>
      <c r="H45" s="10" t="s">
        <v>131</v>
      </c>
      <c r="I45" s="10"/>
      <c r="J45" s="10"/>
      <c r="K45" s="10">
        <v>211</v>
      </c>
      <c r="L45" s="10">
        <v>26</v>
      </c>
      <c r="M45" s="10">
        <v>0</v>
      </c>
      <c r="N45" s="10" t="s">
        <v>3</v>
      </c>
      <c r="O45" s="10">
        <v>2</v>
      </c>
      <c r="P45" s="10"/>
    </row>
    <row r="46" spans="1:16" x14ac:dyDescent="0.2">
      <c r="A46" s="10">
        <v>50</v>
      </c>
      <c r="B46" s="10">
        <v>1</v>
      </c>
      <c r="C46" s="10">
        <v>0</v>
      </c>
      <c r="D46" s="10">
        <v>1</v>
      </c>
      <c r="E46" s="10">
        <v>224</v>
      </c>
      <c r="F46" s="10">
        <v>180009.22</v>
      </c>
      <c r="G46" s="10" t="s">
        <v>132</v>
      </c>
      <c r="H46" s="10" t="s">
        <v>133</v>
      </c>
      <c r="I46" s="10"/>
      <c r="J46" s="10"/>
      <c r="K46" s="10">
        <v>224</v>
      </c>
      <c r="L46" s="10">
        <v>27</v>
      </c>
      <c r="M46" s="10">
        <v>0</v>
      </c>
      <c r="N46" s="10" t="s">
        <v>3</v>
      </c>
      <c r="O46" s="10">
        <v>2</v>
      </c>
      <c r="P46" s="10"/>
    </row>
    <row r="47" spans="1:16" x14ac:dyDescent="0.2">
      <c r="A47" s="10">
        <v>50</v>
      </c>
      <c r="B47" s="10">
        <v>1</v>
      </c>
      <c r="C47" s="10">
        <v>0</v>
      </c>
      <c r="D47" s="10">
        <v>2</v>
      </c>
      <c r="E47" s="10">
        <v>0</v>
      </c>
      <c r="F47" s="10">
        <v>39602.03</v>
      </c>
      <c r="G47" s="10" t="s">
        <v>134</v>
      </c>
      <c r="H47" s="10" t="s">
        <v>135</v>
      </c>
      <c r="I47" s="10"/>
      <c r="J47" s="10"/>
      <c r="K47" s="10">
        <v>212</v>
      </c>
      <c r="L47" s="10">
        <v>28</v>
      </c>
      <c r="M47" s="10">
        <v>0</v>
      </c>
      <c r="N47" s="10" t="s">
        <v>3</v>
      </c>
      <c r="O47" s="10">
        <v>2</v>
      </c>
      <c r="P47" s="10"/>
    </row>
    <row r="48" spans="1:16" x14ac:dyDescent="0.2">
      <c r="A48" s="10">
        <v>50</v>
      </c>
      <c r="B48" s="10">
        <v>1</v>
      </c>
      <c r="C48" s="10">
        <v>0</v>
      </c>
      <c r="D48" s="10">
        <v>2</v>
      </c>
      <c r="E48" s="10">
        <v>0</v>
      </c>
      <c r="F48" s="10">
        <v>219611.25</v>
      </c>
      <c r="G48" s="10" t="s">
        <v>136</v>
      </c>
      <c r="H48" s="10" t="s">
        <v>137</v>
      </c>
      <c r="I48" s="10"/>
      <c r="J48" s="10"/>
      <c r="K48" s="10">
        <v>212</v>
      </c>
      <c r="L48" s="10">
        <v>29</v>
      </c>
      <c r="M48" s="10">
        <v>0</v>
      </c>
      <c r="N48" s="10" t="s">
        <v>3</v>
      </c>
      <c r="O48" s="10">
        <v>2</v>
      </c>
      <c r="P48" s="10"/>
    </row>
    <row r="50" spans="1:50" x14ac:dyDescent="0.2">
      <c r="A50" s="2">
        <v>-1</v>
      </c>
    </row>
    <row r="53" spans="1:50" x14ac:dyDescent="0.2">
      <c r="A53" s="11">
        <v>75</v>
      </c>
      <c r="B53" s="11" t="s">
        <v>204</v>
      </c>
      <c r="C53" s="11">
        <v>2026</v>
      </c>
      <c r="D53" s="11">
        <v>0</v>
      </c>
      <c r="E53" s="11">
        <v>6</v>
      </c>
      <c r="F53" s="11">
        <v>1</v>
      </c>
      <c r="G53" s="11">
        <v>0</v>
      </c>
      <c r="H53" s="11">
        <v>1</v>
      </c>
      <c r="I53" s="11">
        <v>0</v>
      </c>
      <c r="J53" s="11">
        <v>1</v>
      </c>
      <c r="K53" s="11">
        <v>0</v>
      </c>
      <c r="L53" s="11">
        <v>0</v>
      </c>
      <c r="M53" s="11">
        <v>0</v>
      </c>
      <c r="N53" s="11">
        <v>92678453</v>
      </c>
      <c r="O53" s="11">
        <v>1</v>
      </c>
    </row>
    <row r="54" spans="1:50" x14ac:dyDescent="0.2">
      <c r="A54" s="12">
        <v>2</v>
      </c>
      <c r="B54" s="12" t="s">
        <v>205</v>
      </c>
      <c r="C54" s="12" t="s">
        <v>206</v>
      </c>
      <c r="D54" s="12">
        <v>0</v>
      </c>
      <c r="E54" s="12">
        <v>0</v>
      </c>
      <c r="F54" s="12">
        <v>0</v>
      </c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>
        <v>92678454</v>
      </c>
    </row>
    <row r="55" spans="1:50" x14ac:dyDescent="0.2">
      <c r="A55" s="12">
        <v>1</v>
      </c>
      <c r="B55" s="12" t="s">
        <v>207</v>
      </c>
      <c r="C55" s="12" t="s">
        <v>208</v>
      </c>
      <c r="D55" s="12">
        <v>2026</v>
      </c>
      <c r="E55" s="12">
        <v>6</v>
      </c>
      <c r="F55" s="12">
        <v>1</v>
      </c>
      <c r="G55" s="12">
        <v>1</v>
      </c>
      <c r="H55" s="12">
        <v>0</v>
      </c>
      <c r="I55" s="12">
        <v>2</v>
      </c>
      <c r="J55" s="12">
        <v>1</v>
      </c>
      <c r="K55" s="12">
        <v>1</v>
      </c>
      <c r="L55" s="12">
        <v>1</v>
      </c>
      <c r="M55" s="12">
        <v>1</v>
      </c>
      <c r="N55" s="12">
        <v>1</v>
      </c>
      <c r="O55" s="12">
        <v>1</v>
      </c>
      <c r="P55" s="12">
        <v>1</v>
      </c>
      <c r="Q55" s="12">
        <v>1</v>
      </c>
      <c r="R55" s="12" t="s">
        <v>3</v>
      </c>
      <c r="S55" s="12" t="s">
        <v>3</v>
      </c>
      <c r="T55" s="12" t="s">
        <v>3</v>
      </c>
      <c r="U55" s="12" t="s">
        <v>3</v>
      </c>
      <c r="V55" s="12" t="s">
        <v>3</v>
      </c>
      <c r="W55" s="12" t="s">
        <v>3</v>
      </c>
      <c r="X55" s="12" t="s">
        <v>3</v>
      </c>
      <c r="Y55" s="12" t="s">
        <v>3</v>
      </c>
      <c r="Z55" s="12" t="s">
        <v>3</v>
      </c>
      <c r="AA55" s="12" t="s">
        <v>3</v>
      </c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>
        <v>92678455</v>
      </c>
      <c r="AO55" s="12" t="s">
        <v>209</v>
      </c>
      <c r="AP55" s="12" t="s">
        <v>210</v>
      </c>
      <c r="AQ55" s="12">
        <v>46164</v>
      </c>
      <c r="AR55" s="12">
        <v>417</v>
      </c>
      <c r="AS55" s="12" t="s">
        <v>211</v>
      </c>
      <c r="AT55" s="12" t="s">
        <v>3</v>
      </c>
      <c r="AU55" s="12" t="s">
        <v>210</v>
      </c>
      <c r="AV55" s="12">
        <v>45957</v>
      </c>
      <c r="AW55" s="12">
        <v>23615</v>
      </c>
      <c r="AX55" s="12" t="s">
        <v>212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O44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119" x14ac:dyDescent="0.2">
      <c r="A1">
        <f>ROW(Source!A24)</f>
        <v>24</v>
      </c>
      <c r="B1">
        <v>92678453</v>
      </c>
      <c r="C1">
        <v>92678481</v>
      </c>
      <c r="D1">
        <v>37072767</v>
      </c>
      <c r="E1">
        <v>118</v>
      </c>
      <c r="F1">
        <v>1</v>
      </c>
      <c r="G1">
        <v>1</v>
      </c>
      <c r="H1">
        <v>1</v>
      </c>
      <c r="I1" t="s">
        <v>214</v>
      </c>
      <c r="J1" t="s">
        <v>3</v>
      </c>
      <c r="K1" t="s">
        <v>215</v>
      </c>
      <c r="L1">
        <v>1191</v>
      </c>
      <c r="N1">
        <v>1013</v>
      </c>
      <c r="O1" t="s">
        <v>216</v>
      </c>
      <c r="P1" t="s">
        <v>216</v>
      </c>
      <c r="Q1">
        <v>1</v>
      </c>
      <c r="W1">
        <v>0</v>
      </c>
      <c r="X1">
        <v>1733635447</v>
      </c>
      <c r="Y1">
        <f t="shared" ref="Y1:Y44" si="0">AT1</f>
        <v>7.94</v>
      </c>
      <c r="AA1">
        <v>0</v>
      </c>
      <c r="AB1">
        <v>0</v>
      </c>
      <c r="AC1">
        <v>0</v>
      </c>
      <c r="AD1">
        <v>698.34</v>
      </c>
      <c r="AE1">
        <v>0</v>
      </c>
      <c r="AF1">
        <v>0</v>
      </c>
      <c r="AG1">
        <v>0</v>
      </c>
      <c r="AH1">
        <v>698.34</v>
      </c>
      <c r="AI1">
        <v>1</v>
      </c>
      <c r="AJ1">
        <v>1</v>
      </c>
      <c r="AK1">
        <v>1</v>
      </c>
      <c r="AL1">
        <v>1</v>
      </c>
      <c r="AM1">
        <v>-2</v>
      </c>
      <c r="AN1">
        <v>0</v>
      </c>
      <c r="AO1">
        <v>0</v>
      </c>
      <c r="AP1">
        <v>0</v>
      </c>
      <c r="AQ1">
        <v>1</v>
      </c>
      <c r="AR1">
        <v>0</v>
      </c>
      <c r="AS1" t="s">
        <v>3</v>
      </c>
      <c r="AT1">
        <v>7.94</v>
      </c>
      <c r="AU1" t="s">
        <v>3</v>
      </c>
      <c r="AV1">
        <v>1</v>
      </c>
      <c r="AW1">
        <v>2</v>
      </c>
      <c r="AX1">
        <v>92678484</v>
      </c>
      <c r="AY1">
        <v>1</v>
      </c>
      <c r="AZ1">
        <v>0</v>
      </c>
      <c r="BA1">
        <v>1</v>
      </c>
      <c r="BB1">
        <v>1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5544.8196000000007</v>
      </c>
      <c r="BN1">
        <v>7.94</v>
      </c>
      <c r="BO1">
        <v>0</v>
      </c>
      <c r="BP1">
        <v>1</v>
      </c>
      <c r="BQ1">
        <v>0</v>
      </c>
      <c r="BR1">
        <v>0</v>
      </c>
      <c r="BS1">
        <v>0</v>
      </c>
      <c r="BT1">
        <v>5544.8196000000007</v>
      </c>
      <c r="BU1">
        <v>7.94</v>
      </c>
      <c r="BV1">
        <v>0</v>
      </c>
      <c r="BW1">
        <v>1</v>
      </c>
      <c r="CU1">
        <f>ROUND(AT1*Source!I24*AH1*AL1,2)</f>
        <v>5544.82</v>
      </c>
      <c r="CV1">
        <f>ROUND(Y1*Source!I24,7)</f>
        <v>7.94</v>
      </c>
      <c r="CW1">
        <v>0</v>
      </c>
      <c r="CX1">
        <f>ROUND(Y1*Source!I24,7)</f>
        <v>7.94</v>
      </c>
      <c r="CY1">
        <f>AD1</f>
        <v>698.34</v>
      </c>
      <c r="CZ1">
        <f>AH1</f>
        <v>698.34</v>
      </c>
      <c r="DA1">
        <f>AL1</f>
        <v>1</v>
      </c>
      <c r="DB1">
        <f t="shared" ref="DB1:DB44" si="1">ROUND(ROUND(AT1*CZ1,2),6)</f>
        <v>5544.82</v>
      </c>
      <c r="DC1">
        <f t="shared" ref="DC1:DC44" si="2">ROUND(ROUND(AT1*AG1,2),6)</f>
        <v>0</v>
      </c>
      <c r="DD1" t="s">
        <v>3</v>
      </c>
      <c r="DE1" t="s">
        <v>3</v>
      </c>
      <c r="DF1">
        <f t="shared" ref="DF1:DF16" si="3">ROUND(ROUND(AE1,2)*CX1,2)</f>
        <v>0</v>
      </c>
      <c r="DG1">
        <f t="shared" ref="DG1:DG44" si="4">ROUND(ROUND(AF1,2)*CX1,2)</f>
        <v>0</v>
      </c>
      <c r="DH1">
        <f t="shared" ref="DH1:DH44" si="5">ROUND(ROUND(AG1,2)*CX1,2)</f>
        <v>0</v>
      </c>
      <c r="DI1">
        <f t="shared" ref="DI1:DI44" si="6">ROUND(ROUND(AH1,2)*CX1,2)</f>
        <v>5544.82</v>
      </c>
      <c r="DJ1">
        <f>DI1</f>
        <v>5544.82</v>
      </c>
      <c r="DK1">
        <v>1</v>
      </c>
      <c r="DL1" t="s">
        <v>3</v>
      </c>
      <c r="DM1">
        <v>0</v>
      </c>
      <c r="DN1" t="s">
        <v>3</v>
      </c>
      <c r="DO1">
        <v>0</v>
      </c>
    </row>
    <row r="2" spans="1:119" x14ac:dyDescent="0.2">
      <c r="A2">
        <f>ROW(Source!A24)</f>
        <v>24</v>
      </c>
      <c r="B2">
        <v>92678453</v>
      </c>
      <c r="C2">
        <v>92678481</v>
      </c>
      <c r="D2">
        <v>91266477</v>
      </c>
      <c r="E2">
        <v>118</v>
      </c>
      <c r="F2">
        <v>1</v>
      </c>
      <c r="G2">
        <v>1</v>
      </c>
      <c r="H2">
        <v>3</v>
      </c>
      <c r="I2" t="s">
        <v>25</v>
      </c>
      <c r="J2" t="s">
        <v>3</v>
      </c>
      <c r="K2" t="s">
        <v>26</v>
      </c>
      <c r="L2">
        <v>3277935</v>
      </c>
      <c r="N2">
        <v>1013</v>
      </c>
      <c r="O2" t="s">
        <v>27</v>
      </c>
      <c r="P2" t="s">
        <v>27</v>
      </c>
      <c r="Q2">
        <v>1</v>
      </c>
      <c r="W2">
        <v>0</v>
      </c>
      <c r="X2">
        <v>-152123987</v>
      </c>
      <c r="Y2">
        <f t="shared" si="0"/>
        <v>3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1</v>
      </c>
      <c r="AJ2">
        <v>1</v>
      </c>
      <c r="AK2">
        <v>1</v>
      </c>
      <c r="AL2">
        <v>1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 t="s">
        <v>3</v>
      </c>
      <c r="AT2">
        <v>3</v>
      </c>
      <c r="AU2" t="s">
        <v>3</v>
      </c>
      <c r="AV2">
        <v>0</v>
      </c>
      <c r="AW2">
        <v>2</v>
      </c>
      <c r="AX2">
        <v>92678485</v>
      </c>
      <c r="AY2">
        <v>1</v>
      </c>
      <c r="AZ2">
        <v>0</v>
      </c>
      <c r="BA2">
        <v>2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CV2">
        <v>0</v>
      </c>
      <c r="CW2">
        <v>0</v>
      </c>
      <c r="CX2">
        <f>ROUND(Y2*Source!I24,7)</f>
        <v>3</v>
      </c>
      <c r="CY2">
        <f>AA2</f>
        <v>0</v>
      </c>
      <c r="CZ2">
        <f>AE2</f>
        <v>0</v>
      </c>
      <c r="DA2">
        <f>AI2</f>
        <v>1</v>
      </c>
      <c r="DB2">
        <f t="shared" si="1"/>
        <v>0</v>
      </c>
      <c r="DC2">
        <f t="shared" si="2"/>
        <v>0</v>
      </c>
      <c r="DD2" t="s">
        <v>3</v>
      </c>
      <c r="DE2" t="s">
        <v>3</v>
      </c>
      <c r="DF2">
        <f t="shared" si="3"/>
        <v>0</v>
      </c>
      <c r="DG2">
        <f t="shared" si="4"/>
        <v>0</v>
      </c>
      <c r="DH2">
        <f t="shared" si="5"/>
        <v>0</v>
      </c>
      <c r="DI2">
        <f t="shared" si="6"/>
        <v>0</v>
      </c>
      <c r="DJ2">
        <f>DF2</f>
        <v>0</v>
      </c>
      <c r="DK2">
        <v>0</v>
      </c>
      <c r="DL2" t="s">
        <v>3</v>
      </c>
      <c r="DM2">
        <v>0</v>
      </c>
      <c r="DN2" t="s">
        <v>3</v>
      </c>
      <c r="DO2">
        <v>0</v>
      </c>
    </row>
    <row r="3" spans="1:119" x14ac:dyDescent="0.2">
      <c r="A3">
        <f>ROW(Source!A26)</f>
        <v>26</v>
      </c>
      <c r="B3">
        <v>92678453</v>
      </c>
      <c r="C3">
        <v>92678541</v>
      </c>
      <c r="D3">
        <v>37082223</v>
      </c>
      <c r="E3">
        <v>118</v>
      </c>
      <c r="F3">
        <v>1</v>
      </c>
      <c r="G3">
        <v>1</v>
      </c>
      <c r="H3">
        <v>1</v>
      </c>
      <c r="I3" t="s">
        <v>217</v>
      </c>
      <c r="J3" t="s">
        <v>3</v>
      </c>
      <c r="K3" t="s">
        <v>218</v>
      </c>
      <c r="L3">
        <v>1191</v>
      </c>
      <c r="N3">
        <v>1013</v>
      </c>
      <c r="O3" t="s">
        <v>216</v>
      </c>
      <c r="P3" t="s">
        <v>216</v>
      </c>
      <c r="Q3">
        <v>1</v>
      </c>
      <c r="W3">
        <v>0</v>
      </c>
      <c r="X3">
        <v>174150515</v>
      </c>
      <c r="Y3">
        <f t="shared" si="0"/>
        <v>33.33</v>
      </c>
      <c r="AA3">
        <v>0</v>
      </c>
      <c r="AB3">
        <v>0</v>
      </c>
      <c r="AC3">
        <v>0</v>
      </c>
      <c r="AD3">
        <v>741.99</v>
      </c>
      <c r="AE3">
        <v>0</v>
      </c>
      <c r="AF3">
        <v>0</v>
      </c>
      <c r="AG3">
        <v>0</v>
      </c>
      <c r="AH3">
        <v>741.99</v>
      </c>
      <c r="AI3">
        <v>1</v>
      </c>
      <c r="AJ3">
        <v>1</v>
      </c>
      <c r="AK3">
        <v>1</v>
      </c>
      <c r="AL3">
        <v>1</v>
      </c>
      <c r="AM3">
        <v>-2</v>
      </c>
      <c r="AN3">
        <v>0</v>
      </c>
      <c r="AO3">
        <v>0</v>
      </c>
      <c r="AP3">
        <v>0</v>
      </c>
      <c r="AQ3">
        <v>1</v>
      </c>
      <c r="AR3">
        <v>0</v>
      </c>
      <c r="AS3" t="s">
        <v>3</v>
      </c>
      <c r="AT3">
        <v>33.33</v>
      </c>
      <c r="AU3" t="s">
        <v>3</v>
      </c>
      <c r="AV3">
        <v>1</v>
      </c>
      <c r="AW3">
        <v>2</v>
      </c>
      <c r="AX3">
        <v>92678544</v>
      </c>
      <c r="AY3">
        <v>1</v>
      </c>
      <c r="AZ3">
        <v>0</v>
      </c>
      <c r="BA3">
        <v>3</v>
      </c>
      <c r="BB3">
        <v>1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24730.526699999999</v>
      </c>
      <c r="BN3">
        <v>33.33</v>
      </c>
      <c r="BO3">
        <v>0</v>
      </c>
      <c r="BP3">
        <v>1</v>
      </c>
      <c r="BQ3">
        <v>0</v>
      </c>
      <c r="BR3">
        <v>0</v>
      </c>
      <c r="BS3">
        <v>0</v>
      </c>
      <c r="BT3">
        <v>24730.526699999999</v>
      </c>
      <c r="BU3">
        <v>33.33</v>
      </c>
      <c r="BV3">
        <v>0</v>
      </c>
      <c r="BW3">
        <v>1</v>
      </c>
      <c r="CU3">
        <f>ROUND(AT3*Source!I26*AH3*AL3,2)</f>
        <v>24730.53</v>
      </c>
      <c r="CV3">
        <f>ROUND(Y3*Source!I26,7)</f>
        <v>33.33</v>
      </c>
      <c r="CW3">
        <v>0</v>
      </c>
      <c r="CX3">
        <f>ROUND(Y3*Source!I26,7)</f>
        <v>33.33</v>
      </c>
      <c r="CY3">
        <f>AD3</f>
        <v>741.99</v>
      </c>
      <c r="CZ3">
        <f>AH3</f>
        <v>741.99</v>
      </c>
      <c r="DA3">
        <f>AL3</f>
        <v>1</v>
      </c>
      <c r="DB3">
        <f t="shared" si="1"/>
        <v>24730.53</v>
      </c>
      <c r="DC3">
        <f t="shared" si="2"/>
        <v>0</v>
      </c>
      <c r="DD3" t="s">
        <v>3</v>
      </c>
      <c r="DE3" t="s">
        <v>3</v>
      </c>
      <c r="DF3">
        <f t="shared" si="3"/>
        <v>0</v>
      </c>
      <c r="DG3">
        <f t="shared" si="4"/>
        <v>0</v>
      </c>
      <c r="DH3">
        <f t="shared" si="5"/>
        <v>0</v>
      </c>
      <c r="DI3">
        <f t="shared" si="6"/>
        <v>24730.53</v>
      </c>
      <c r="DJ3">
        <f>DI3</f>
        <v>24730.53</v>
      </c>
      <c r="DK3">
        <v>1</v>
      </c>
      <c r="DL3" t="s">
        <v>3</v>
      </c>
      <c r="DM3">
        <v>0</v>
      </c>
      <c r="DN3" t="s">
        <v>3</v>
      </c>
      <c r="DO3">
        <v>0</v>
      </c>
    </row>
    <row r="4" spans="1:119" x14ac:dyDescent="0.2">
      <c r="A4">
        <f>ROW(Source!A26)</f>
        <v>26</v>
      </c>
      <c r="B4">
        <v>92678453</v>
      </c>
      <c r="C4">
        <v>92678541</v>
      </c>
      <c r="D4">
        <v>91266477</v>
      </c>
      <c r="E4">
        <v>118</v>
      </c>
      <c r="F4">
        <v>1</v>
      </c>
      <c r="G4">
        <v>1</v>
      </c>
      <c r="H4">
        <v>3</v>
      </c>
      <c r="I4" t="s">
        <v>25</v>
      </c>
      <c r="J4" t="s">
        <v>3</v>
      </c>
      <c r="K4" t="s">
        <v>26</v>
      </c>
      <c r="L4">
        <v>3277935</v>
      </c>
      <c r="N4">
        <v>1013</v>
      </c>
      <c r="O4" t="s">
        <v>27</v>
      </c>
      <c r="P4" t="s">
        <v>27</v>
      </c>
      <c r="Q4">
        <v>1</v>
      </c>
      <c r="W4">
        <v>0</v>
      </c>
      <c r="X4">
        <v>-152123987</v>
      </c>
      <c r="Y4">
        <f t="shared" si="0"/>
        <v>3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1</v>
      </c>
      <c r="AJ4">
        <v>1</v>
      </c>
      <c r="AK4">
        <v>1</v>
      </c>
      <c r="AL4">
        <v>1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 t="s">
        <v>3</v>
      </c>
      <c r="AT4">
        <v>3</v>
      </c>
      <c r="AU4" t="s">
        <v>3</v>
      </c>
      <c r="AV4">
        <v>0</v>
      </c>
      <c r="AW4">
        <v>2</v>
      </c>
      <c r="AX4">
        <v>92678545</v>
      </c>
      <c r="AY4">
        <v>1</v>
      </c>
      <c r="AZ4">
        <v>0</v>
      </c>
      <c r="BA4">
        <v>4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CV4">
        <v>0</v>
      </c>
      <c r="CW4">
        <v>0</v>
      </c>
      <c r="CX4">
        <f>ROUND(Y4*Source!I26,7)</f>
        <v>3</v>
      </c>
      <c r="CY4">
        <f>AA4</f>
        <v>0</v>
      </c>
      <c r="CZ4">
        <f>AE4</f>
        <v>0</v>
      </c>
      <c r="DA4">
        <f>AI4</f>
        <v>1</v>
      </c>
      <c r="DB4">
        <f t="shared" si="1"/>
        <v>0</v>
      </c>
      <c r="DC4">
        <f t="shared" si="2"/>
        <v>0</v>
      </c>
      <c r="DD4" t="s">
        <v>3</v>
      </c>
      <c r="DE4" t="s">
        <v>3</v>
      </c>
      <c r="DF4">
        <f t="shared" si="3"/>
        <v>0</v>
      </c>
      <c r="DG4">
        <f t="shared" si="4"/>
        <v>0</v>
      </c>
      <c r="DH4">
        <f t="shared" si="5"/>
        <v>0</v>
      </c>
      <c r="DI4">
        <f t="shared" si="6"/>
        <v>0</v>
      </c>
      <c r="DJ4">
        <f>DF4</f>
        <v>0</v>
      </c>
      <c r="DK4">
        <v>0</v>
      </c>
      <c r="DL4" t="s">
        <v>3</v>
      </c>
      <c r="DM4">
        <v>0</v>
      </c>
      <c r="DN4" t="s">
        <v>3</v>
      </c>
      <c r="DO4">
        <v>0</v>
      </c>
    </row>
    <row r="5" spans="1:119" x14ac:dyDescent="0.2">
      <c r="A5">
        <f>ROW(Source!A26)</f>
        <v>26</v>
      </c>
      <c r="B5">
        <v>92678453</v>
      </c>
      <c r="C5">
        <v>92678541</v>
      </c>
      <c r="D5">
        <v>0</v>
      </c>
      <c r="E5">
        <v>1</v>
      </c>
      <c r="F5">
        <v>1</v>
      </c>
      <c r="G5">
        <v>1</v>
      </c>
      <c r="H5">
        <v>3</v>
      </c>
      <c r="I5" t="s">
        <v>33</v>
      </c>
      <c r="J5" t="s">
        <v>3</v>
      </c>
      <c r="K5" t="s">
        <v>34</v>
      </c>
      <c r="L5">
        <v>1391</v>
      </c>
      <c r="N5">
        <v>1013</v>
      </c>
      <c r="O5" t="s">
        <v>35</v>
      </c>
      <c r="P5" t="s">
        <v>35</v>
      </c>
      <c r="Q5">
        <v>1</v>
      </c>
      <c r="W5">
        <v>0</v>
      </c>
      <c r="X5">
        <v>311246249</v>
      </c>
      <c r="Y5">
        <f t="shared" si="0"/>
        <v>1</v>
      </c>
      <c r="AA5">
        <v>18095.240000000002</v>
      </c>
      <c r="AB5">
        <v>0</v>
      </c>
      <c r="AC5">
        <v>0</v>
      </c>
      <c r="AD5">
        <v>0</v>
      </c>
      <c r="AE5">
        <v>18095.240000000002</v>
      </c>
      <c r="AF5">
        <v>0</v>
      </c>
      <c r="AG5">
        <v>0</v>
      </c>
      <c r="AH5">
        <v>0</v>
      </c>
      <c r="AI5">
        <v>1</v>
      </c>
      <c r="AJ5">
        <v>1</v>
      </c>
      <c r="AK5">
        <v>1</v>
      </c>
      <c r="AL5">
        <v>1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 t="s">
        <v>3</v>
      </c>
      <c r="AT5">
        <v>1</v>
      </c>
      <c r="AU5" t="s">
        <v>3</v>
      </c>
      <c r="AV5">
        <v>0</v>
      </c>
      <c r="AW5">
        <v>1</v>
      </c>
      <c r="AX5">
        <v>-1</v>
      </c>
      <c r="AY5">
        <v>0</v>
      </c>
      <c r="AZ5">
        <v>0</v>
      </c>
      <c r="BA5" t="s">
        <v>3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CV5">
        <v>0</v>
      </c>
      <c r="CW5">
        <v>0</v>
      </c>
      <c r="CX5">
        <f>ROUND(Y5*Source!I26,7)</f>
        <v>1</v>
      </c>
      <c r="CY5">
        <f>AA5</f>
        <v>18095.240000000002</v>
      </c>
      <c r="CZ5">
        <f>AE5</f>
        <v>18095.240000000002</v>
      </c>
      <c r="DA5">
        <f>AI5</f>
        <v>1</v>
      </c>
      <c r="DB5">
        <f t="shared" si="1"/>
        <v>18095.240000000002</v>
      </c>
      <c r="DC5">
        <f t="shared" si="2"/>
        <v>0</v>
      </c>
      <c r="DD5" t="s">
        <v>3</v>
      </c>
      <c r="DE5" t="s">
        <v>3</v>
      </c>
      <c r="DF5">
        <f t="shared" si="3"/>
        <v>18095.240000000002</v>
      </c>
      <c r="DG5">
        <f t="shared" si="4"/>
        <v>0</v>
      </c>
      <c r="DH5">
        <f t="shared" si="5"/>
        <v>0</v>
      </c>
      <c r="DI5">
        <f t="shared" si="6"/>
        <v>0</v>
      </c>
      <c r="DJ5">
        <f>DF5</f>
        <v>18095.240000000002</v>
      </c>
      <c r="DK5">
        <v>0</v>
      </c>
      <c r="DL5" t="s">
        <v>3</v>
      </c>
      <c r="DM5">
        <v>0</v>
      </c>
      <c r="DN5" t="s">
        <v>3</v>
      </c>
      <c r="DO5">
        <v>0</v>
      </c>
    </row>
    <row r="6" spans="1:119" x14ac:dyDescent="0.2">
      <c r="A6">
        <f>ROW(Source!A29)</f>
        <v>29</v>
      </c>
      <c r="B6">
        <v>92678453</v>
      </c>
      <c r="C6">
        <v>92678465</v>
      </c>
      <c r="D6">
        <v>91260259</v>
      </c>
      <c r="E6">
        <v>118</v>
      </c>
      <c r="F6">
        <v>1</v>
      </c>
      <c r="G6">
        <v>1</v>
      </c>
      <c r="H6">
        <v>1</v>
      </c>
      <c r="I6" t="s">
        <v>219</v>
      </c>
      <c r="J6" t="s">
        <v>3</v>
      </c>
      <c r="K6" t="s">
        <v>220</v>
      </c>
      <c r="L6">
        <v>1191</v>
      </c>
      <c r="N6">
        <v>1013</v>
      </c>
      <c r="O6" t="s">
        <v>216</v>
      </c>
      <c r="P6" t="s">
        <v>216</v>
      </c>
      <c r="Q6">
        <v>1</v>
      </c>
      <c r="W6">
        <v>0</v>
      </c>
      <c r="X6">
        <v>-50752015</v>
      </c>
      <c r="Y6">
        <f t="shared" si="0"/>
        <v>9.66</v>
      </c>
      <c r="AA6">
        <v>0</v>
      </c>
      <c r="AB6">
        <v>0</v>
      </c>
      <c r="AC6">
        <v>0</v>
      </c>
      <c r="AD6">
        <v>763.81</v>
      </c>
      <c r="AE6">
        <v>0</v>
      </c>
      <c r="AF6">
        <v>0</v>
      </c>
      <c r="AG6">
        <v>0</v>
      </c>
      <c r="AH6">
        <v>763.81</v>
      </c>
      <c r="AI6">
        <v>1</v>
      </c>
      <c r="AJ6">
        <v>1</v>
      </c>
      <c r="AK6">
        <v>1</v>
      </c>
      <c r="AL6">
        <v>1</v>
      </c>
      <c r="AM6">
        <v>-2</v>
      </c>
      <c r="AN6">
        <v>0</v>
      </c>
      <c r="AO6">
        <v>0</v>
      </c>
      <c r="AP6">
        <v>0</v>
      </c>
      <c r="AQ6">
        <v>1</v>
      </c>
      <c r="AR6">
        <v>0</v>
      </c>
      <c r="AS6" t="s">
        <v>3</v>
      </c>
      <c r="AT6">
        <v>9.66</v>
      </c>
      <c r="AU6" t="s">
        <v>3</v>
      </c>
      <c r="AV6">
        <v>1</v>
      </c>
      <c r="AW6">
        <v>2</v>
      </c>
      <c r="AX6">
        <v>92678466</v>
      </c>
      <c r="AY6">
        <v>1</v>
      </c>
      <c r="AZ6">
        <v>0</v>
      </c>
      <c r="BA6">
        <v>5</v>
      </c>
      <c r="BB6">
        <v>1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7378.4045999999998</v>
      </c>
      <c r="BN6">
        <v>9.66</v>
      </c>
      <c r="BO6">
        <v>0</v>
      </c>
      <c r="BP6">
        <v>1</v>
      </c>
      <c r="BQ6">
        <v>0</v>
      </c>
      <c r="BR6">
        <v>0</v>
      </c>
      <c r="BS6">
        <v>0</v>
      </c>
      <c r="BT6">
        <v>7378.4045999999998</v>
      </c>
      <c r="BU6">
        <v>9.66</v>
      </c>
      <c r="BV6">
        <v>0</v>
      </c>
      <c r="BW6">
        <v>1</v>
      </c>
      <c r="CU6">
        <f>ROUND(AT6*Source!I29*AH6*AL6,2)</f>
        <v>7378.4</v>
      </c>
      <c r="CV6">
        <f>ROUND(Y6*Source!I29,7)</f>
        <v>9.66</v>
      </c>
      <c r="CW6">
        <v>0</v>
      </c>
      <c r="CX6">
        <f>ROUND(Y6*Source!I29,7)</f>
        <v>9.66</v>
      </c>
      <c r="CY6">
        <f>AD6</f>
        <v>763.81</v>
      </c>
      <c r="CZ6">
        <f>AH6</f>
        <v>763.81</v>
      </c>
      <c r="DA6">
        <f>AL6</f>
        <v>1</v>
      </c>
      <c r="DB6">
        <f t="shared" si="1"/>
        <v>7378.4</v>
      </c>
      <c r="DC6">
        <f t="shared" si="2"/>
        <v>0</v>
      </c>
      <c r="DD6" t="s">
        <v>3</v>
      </c>
      <c r="DE6" t="s">
        <v>3</v>
      </c>
      <c r="DF6">
        <f t="shared" si="3"/>
        <v>0</v>
      </c>
      <c r="DG6">
        <f t="shared" si="4"/>
        <v>0</v>
      </c>
      <c r="DH6">
        <f t="shared" si="5"/>
        <v>0</v>
      </c>
      <c r="DI6">
        <f t="shared" si="6"/>
        <v>7378.4</v>
      </c>
      <c r="DJ6">
        <f>DI6</f>
        <v>7378.4</v>
      </c>
      <c r="DK6">
        <v>1</v>
      </c>
      <c r="DL6" t="s">
        <v>3</v>
      </c>
      <c r="DM6">
        <v>0</v>
      </c>
      <c r="DN6" t="s">
        <v>3</v>
      </c>
      <c r="DO6">
        <v>0</v>
      </c>
    </row>
    <row r="7" spans="1:119" x14ac:dyDescent="0.2">
      <c r="A7">
        <f>ROW(Source!A29)</f>
        <v>29</v>
      </c>
      <c r="B7">
        <v>92678453</v>
      </c>
      <c r="C7">
        <v>92678465</v>
      </c>
      <c r="D7">
        <v>91266477</v>
      </c>
      <c r="E7">
        <v>118</v>
      </c>
      <c r="F7">
        <v>1</v>
      </c>
      <c r="G7">
        <v>1</v>
      </c>
      <c r="H7">
        <v>3</v>
      </c>
      <c r="I7" t="s">
        <v>25</v>
      </c>
      <c r="J7" t="s">
        <v>3</v>
      </c>
      <c r="K7" t="s">
        <v>26</v>
      </c>
      <c r="L7">
        <v>3277935</v>
      </c>
      <c r="N7">
        <v>1013</v>
      </c>
      <c r="O7" t="s">
        <v>27</v>
      </c>
      <c r="P7" t="s">
        <v>27</v>
      </c>
      <c r="Q7">
        <v>1</v>
      </c>
      <c r="W7">
        <v>0</v>
      </c>
      <c r="X7">
        <v>-152123987</v>
      </c>
      <c r="Y7">
        <f t="shared" si="0"/>
        <v>3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1</v>
      </c>
      <c r="AJ7">
        <v>1</v>
      </c>
      <c r="AK7">
        <v>1</v>
      </c>
      <c r="AL7">
        <v>1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 t="s">
        <v>3</v>
      </c>
      <c r="AT7">
        <v>3</v>
      </c>
      <c r="AU7" t="s">
        <v>3</v>
      </c>
      <c r="AV7">
        <v>0</v>
      </c>
      <c r="AW7">
        <v>2</v>
      </c>
      <c r="AX7">
        <v>92678467</v>
      </c>
      <c r="AY7">
        <v>1</v>
      </c>
      <c r="AZ7">
        <v>0</v>
      </c>
      <c r="BA7">
        <v>6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CV7">
        <v>0</v>
      </c>
      <c r="CW7">
        <v>0</v>
      </c>
      <c r="CX7">
        <f>ROUND(Y7*Source!I29,7)</f>
        <v>3</v>
      </c>
      <c r="CY7">
        <f>AA7</f>
        <v>0</v>
      </c>
      <c r="CZ7">
        <f>AE7</f>
        <v>0</v>
      </c>
      <c r="DA7">
        <f>AI7</f>
        <v>1</v>
      </c>
      <c r="DB7">
        <f t="shared" si="1"/>
        <v>0</v>
      </c>
      <c r="DC7">
        <f t="shared" si="2"/>
        <v>0</v>
      </c>
      <c r="DD7" t="s">
        <v>3</v>
      </c>
      <c r="DE7" t="s">
        <v>3</v>
      </c>
      <c r="DF7">
        <f t="shared" si="3"/>
        <v>0</v>
      </c>
      <c r="DG7">
        <f t="shared" si="4"/>
        <v>0</v>
      </c>
      <c r="DH7">
        <f t="shared" si="5"/>
        <v>0</v>
      </c>
      <c r="DI7">
        <f t="shared" si="6"/>
        <v>0</v>
      </c>
      <c r="DJ7">
        <f>DF7</f>
        <v>0</v>
      </c>
      <c r="DK7">
        <v>0</v>
      </c>
      <c r="DL7" t="s">
        <v>3</v>
      </c>
      <c r="DM7">
        <v>0</v>
      </c>
      <c r="DN7" t="s">
        <v>3</v>
      </c>
      <c r="DO7">
        <v>0</v>
      </c>
    </row>
    <row r="8" spans="1:119" x14ac:dyDescent="0.2">
      <c r="A8">
        <f>ROW(Source!A29)</f>
        <v>29</v>
      </c>
      <c r="B8">
        <v>92678453</v>
      </c>
      <c r="C8">
        <v>92678465</v>
      </c>
      <c r="D8">
        <v>0</v>
      </c>
      <c r="E8">
        <v>1</v>
      </c>
      <c r="F8">
        <v>1</v>
      </c>
      <c r="G8">
        <v>1</v>
      </c>
      <c r="H8">
        <v>3</v>
      </c>
      <c r="I8" t="s">
        <v>33</v>
      </c>
      <c r="J8" t="s">
        <v>3</v>
      </c>
      <c r="K8" t="s">
        <v>34</v>
      </c>
      <c r="L8">
        <v>1391</v>
      </c>
      <c r="N8">
        <v>1013</v>
      </c>
      <c r="O8" t="s">
        <v>35</v>
      </c>
      <c r="P8" t="s">
        <v>35</v>
      </c>
      <c r="Q8">
        <v>1</v>
      </c>
      <c r="W8">
        <v>0</v>
      </c>
      <c r="X8">
        <v>311246249</v>
      </c>
      <c r="Y8">
        <f t="shared" si="0"/>
        <v>1</v>
      </c>
      <c r="AA8">
        <v>18095.240000000002</v>
      </c>
      <c r="AB8">
        <v>0</v>
      </c>
      <c r="AC8">
        <v>0</v>
      </c>
      <c r="AD8">
        <v>0</v>
      </c>
      <c r="AE8">
        <v>18095.240000000002</v>
      </c>
      <c r="AF8">
        <v>0</v>
      </c>
      <c r="AG8">
        <v>0</v>
      </c>
      <c r="AH8">
        <v>0</v>
      </c>
      <c r="AI8">
        <v>1</v>
      </c>
      <c r="AJ8">
        <v>1</v>
      </c>
      <c r="AK8">
        <v>1</v>
      </c>
      <c r="AL8">
        <v>1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 t="s">
        <v>3</v>
      </c>
      <c r="AT8">
        <v>1</v>
      </c>
      <c r="AU8" t="s">
        <v>3</v>
      </c>
      <c r="AV8">
        <v>0</v>
      </c>
      <c r="AW8">
        <v>1</v>
      </c>
      <c r="AX8">
        <v>-1</v>
      </c>
      <c r="AY8">
        <v>0</v>
      </c>
      <c r="AZ8">
        <v>0</v>
      </c>
      <c r="BA8" t="s">
        <v>3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CV8">
        <v>0</v>
      </c>
      <c r="CW8">
        <v>0</v>
      </c>
      <c r="CX8">
        <f>ROUND(Y8*Source!I29,7)</f>
        <v>1</v>
      </c>
      <c r="CY8">
        <f>AA8</f>
        <v>18095.240000000002</v>
      </c>
      <c r="CZ8">
        <f>AE8</f>
        <v>18095.240000000002</v>
      </c>
      <c r="DA8">
        <f>AI8</f>
        <v>1</v>
      </c>
      <c r="DB8">
        <f t="shared" si="1"/>
        <v>18095.240000000002</v>
      </c>
      <c r="DC8">
        <f t="shared" si="2"/>
        <v>0</v>
      </c>
      <c r="DD8" t="s">
        <v>3</v>
      </c>
      <c r="DE8" t="s">
        <v>3</v>
      </c>
      <c r="DF8">
        <f t="shared" si="3"/>
        <v>18095.240000000002</v>
      </c>
      <c r="DG8">
        <f t="shared" si="4"/>
        <v>0</v>
      </c>
      <c r="DH8">
        <f t="shared" si="5"/>
        <v>0</v>
      </c>
      <c r="DI8">
        <f t="shared" si="6"/>
        <v>0</v>
      </c>
      <c r="DJ8">
        <f>DF8</f>
        <v>18095.240000000002</v>
      </c>
      <c r="DK8">
        <v>0</v>
      </c>
      <c r="DL8" t="s">
        <v>3</v>
      </c>
      <c r="DM8">
        <v>0</v>
      </c>
      <c r="DN8" t="s">
        <v>3</v>
      </c>
      <c r="DO8">
        <v>0</v>
      </c>
    </row>
    <row r="9" spans="1:119" x14ac:dyDescent="0.2">
      <c r="A9">
        <f>ROW(Source!A32)</f>
        <v>32</v>
      </c>
      <c r="B9">
        <v>92678453</v>
      </c>
      <c r="C9">
        <v>92678487</v>
      </c>
      <c r="D9">
        <v>91260245</v>
      </c>
      <c r="E9">
        <v>118</v>
      </c>
      <c r="F9">
        <v>1</v>
      </c>
      <c r="G9">
        <v>1</v>
      </c>
      <c r="H9">
        <v>1</v>
      </c>
      <c r="I9" t="s">
        <v>221</v>
      </c>
      <c r="J9" t="s">
        <v>3</v>
      </c>
      <c r="K9" t="s">
        <v>222</v>
      </c>
      <c r="L9">
        <v>1191</v>
      </c>
      <c r="N9">
        <v>1013</v>
      </c>
      <c r="O9" t="s">
        <v>216</v>
      </c>
      <c r="P9" t="s">
        <v>216</v>
      </c>
      <c r="Q9">
        <v>1</v>
      </c>
      <c r="W9">
        <v>0</v>
      </c>
      <c r="X9">
        <v>-1088579471</v>
      </c>
      <c r="Y9">
        <f t="shared" si="0"/>
        <v>29.5</v>
      </c>
      <c r="AA9">
        <v>0</v>
      </c>
      <c r="AB9">
        <v>0</v>
      </c>
      <c r="AC9">
        <v>0</v>
      </c>
      <c r="AD9">
        <v>722.89</v>
      </c>
      <c r="AE9">
        <v>0</v>
      </c>
      <c r="AF9">
        <v>0</v>
      </c>
      <c r="AG9">
        <v>0</v>
      </c>
      <c r="AH9">
        <v>722.89</v>
      </c>
      <c r="AI9">
        <v>1</v>
      </c>
      <c r="AJ9">
        <v>1</v>
      </c>
      <c r="AK9">
        <v>1</v>
      </c>
      <c r="AL9">
        <v>1</v>
      </c>
      <c r="AM9">
        <v>-2</v>
      </c>
      <c r="AN9">
        <v>0</v>
      </c>
      <c r="AO9">
        <v>0</v>
      </c>
      <c r="AP9">
        <v>0</v>
      </c>
      <c r="AQ9">
        <v>1</v>
      </c>
      <c r="AR9">
        <v>0</v>
      </c>
      <c r="AS9" t="s">
        <v>3</v>
      </c>
      <c r="AT9">
        <v>29.5</v>
      </c>
      <c r="AU9" t="s">
        <v>3</v>
      </c>
      <c r="AV9">
        <v>1</v>
      </c>
      <c r="AW9">
        <v>2</v>
      </c>
      <c r="AX9">
        <v>92678488</v>
      </c>
      <c r="AY9">
        <v>1</v>
      </c>
      <c r="AZ9">
        <v>0</v>
      </c>
      <c r="BA9">
        <v>7</v>
      </c>
      <c r="BB9">
        <v>1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21325.255000000001</v>
      </c>
      <c r="BN9">
        <v>29.5</v>
      </c>
      <c r="BO9">
        <v>0</v>
      </c>
      <c r="BP9">
        <v>1</v>
      </c>
      <c r="BQ9">
        <v>0</v>
      </c>
      <c r="BR9">
        <v>0</v>
      </c>
      <c r="BS9">
        <v>0</v>
      </c>
      <c r="BT9">
        <v>21325.255000000001</v>
      </c>
      <c r="BU9">
        <v>29.5</v>
      </c>
      <c r="BV9">
        <v>0</v>
      </c>
      <c r="BW9">
        <v>1</v>
      </c>
      <c r="CU9">
        <f>ROUND(AT9*Source!I32*AH9*AL9,2)</f>
        <v>21325.26</v>
      </c>
      <c r="CV9">
        <f>ROUND(Y9*Source!I32,7)</f>
        <v>29.5</v>
      </c>
      <c r="CW9">
        <v>0</v>
      </c>
      <c r="CX9">
        <f>ROUND(Y9*Source!I32,7)</f>
        <v>29.5</v>
      </c>
      <c r="CY9">
        <f>AD9</f>
        <v>722.89</v>
      </c>
      <c r="CZ9">
        <f>AH9</f>
        <v>722.89</v>
      </c>
      <c r="DA9">
        <f>AL9</f>
        <v>1</v>
      </c>
      <c r="DB9">
        <f t="shared" si="1"/>
        <v>21325.26</v>
      </c>
      <c r="DC9">
        <f t="shared" si="2"/>
        <v>0</v>
      </c>
      <c r="DD9" t="s">
        <v>3</v>
      </c>
      <c r="DE9" t="s">
        <v>3</v>
      </c>
      <c r="DF9">
        <f t="shared" si="3"/>
        <v>0</v>
      </c>
      <c r="DG9">
        <f t="shared" si="4"/>
        <v>0</v>
      </c>
      <c r="DH9">
        <f t="shared" si="5"/>
        <v>0</v>
      </c>
      <c r="DI9">
        <f t="shared" si="6"/>
        <v>21325.26</v>
      </c>
      <c r="DJ9">
        <f>DI9</f>
        <v>21325.26</v>
      </c>
      <c r="DK9">
        <v>1</v>
      </c>
      <c r="DL9" t="s">
        <v>3</v>
      </c>
      <c r="DM9">
        <v>0</v>
      </c>
      <c r="DN9" t="s">
        <v>3</v>
      </c>
      <c r="DO9">
        <v>0</v>
      </c>
    </row>
    <row r="10" spans="1:119" x14ac:dyDescent="0.2">
      <c r="A10">
        <f>ROW(Source!A32)</f>
        <v>32</v>
      </c>
      <c r="B10">
        <v>92678453</v>
      </c>
      <c r="C10">
        <v>92678487</v>
      </c>
      <c r="D10">
        <v>91266477</v>
      </c>
      <c r="E10">
        <v>118</v>
      </c>
      <c r="F10">
        <v>1</v>
      </c>
      <c r="G10">
        <v>1</v>
      </c>
      <c r="H10">
        <v>3</v>
      </c>
      <c r="I10" t="s">
        <v>25</v>
      </c>
      <c r="J10" t="s">
        <v>3</v>
      </c>
      <c r="K10" t="s">
        <v>26</v>
      </c>
      <c r="L10">
        <v>3277935</v>
      </c>
      <c r="N10">
        <v>1013</v>
      </c>
      <c r="O10" t="s">
        <v>27</v>
      </c>
      <c r="P10" t="s">
        <v>27</v>
      </c>
      <c r="Q10">
        <v>1</v>
      </c>
      <c r="W10">
        <v>0</v>
      </c>
      <c r="X10">
        <v>-152123987</v>
      </c>
      <c r="Y10">
        <f t="shared" si="0"/>
        <v>3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1</v>
      </c>
      <c r="AJ10">
        <v>1</v>
      </c>
      <c r="AK10">
        <v>1</v>
      </c>
      <c r="AL10">
        <v>1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 t="s">
        <v>3</v>
      </c>
      <c r="AT10">
        <v>3</v>
      </c>
      <c r="AU10" t="s">
        <v>3</v>
      </c>
      <c r="AV10">
        <v>0</v>
      </c>
      <c r="AW10">
        <v>2</v>
      </c>
      <c r="AX10">
        <v>92678489</v>
      </c>
      <c r="AY10">
        <v>1</v>
      </c>
      <c r="AZ10">
        <v>0</v>
      </c>
      <c r="BA10">
        <v>8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CV10">
        <v>0</v>
      </c>
      <c r="CW10">
        <v>0</v>
      </c>
      <c r="CX10">
        <f>ROUND(Y10*Source!I32,7)</f>
        <v>3</v>
      </c>
      <c r="CY10">
        <f>AA10</f>
        <v>0</v>
      </c>
      <c r="CZ10">
        <f>AE10</f>
        <v>0</v>
      </c>
      <c r="DA10">
        <f>AI10</f>
        <v>1</v>
      </c>
      <c r="DB10">
        <f t="shared" si="1"/>
        <v>0</v>
      </c>
      <c r="DC10">
        <f t="shared" si="2"/>
        <v>0</v>
      </c>
      <c r="DD10" t="s">
        <v>3</v>
      </c>
      <c r="DE10" t="s">
        <v>3</v>
      </c>
      <c r="DF10">
        <f t="shared" si="3"/>
        <v>0</v>
      </c>
      <c r="DG10">
        <f t="shared" si="4"/>
        <v>0</v>
      </c>
      <c r="DH10">
        <f t="shared" si="5"/>
        <v>0</v>
      </c>
      <c r="DI10">
        <f t="shared" si="6"/>
        <v>0</v>
      </c>
      <c r="DJ10">
        <f>DF10</f>
        <v>0</v>
      </c>
      <c r="DK10">
        <v>0</v>
      </c>
      <c r="DL10" t="s">
        <v>3</v>
      </c>
      <c r="DM10">
        <v>0</v>
      </c>
      <c r="DN10" t="s">
        <v>3</v>
      </c>
      <c r="DO10">
        <v>0</v>
      </c>
    </row>
    <row r="11" spans="1:119" x14ac:dyDescent="0.2">
      <c r="A11">
        <f>ROW(Source!A32)</f>
        <v>32</v>
      </c>
      <c r="B11">
        <v>92678453</v>
      </c>
      <c r="C11">
        <v>92678487</v>
      </c>
      <c r="D11">
        <v>0</v>
      </c>
      <c r="E11">
        <v>0</v>
      </c>
      <c r="F11">
        <v>1</v>
      </c>
      <c r="G11">
        <v>1</v>
      </c>
      <c r="H11">
        <v>3</v>
      </c>
      <c r="I11" t="s">
        <v>33</v>
      </c>
      <c r="J11" t="s">
        <v>3</v>
      </c>
      <c r="K11" t="s">
        <v>34</v>
      </c>
      <c r="L11">
        <v>1391</v>
      </c>
      <c r="N11">
        <v>1013</v>
      </c>
      <c r="O11" t="s">
        <v>35</v>
      </c>
      <c r="P11" t="s">
        <v>35</v>
      </c>
      <c r="Q11">
        <v>1</v>
      </c>
      <c r="W11">
        <v>0</v>
      </c>
      <c r="X11">
        <v>311246249</v>
      </c>
      <c r="Y11">
        <f t="shared" si="0"/>
        <v>1</v>
      </c>
      <c r="AA11">
        <v>18095.240000000002</v>
      </c>
      <c r="AB11">
        <v>0</v>
      </c>
      <c r="AC11">
        <v>0</v>
      </c>
      <c r="AD11">
        <v>0</v>
      </c>
      <c r="AE11">
        <v>18095.240000000002</v>
      </c>
      <c r="AF11">
        <v>0</v>
      </c>
      <c r="AG11">
        <v>0</v>
      </c>
      <c r="AH11">
        <v>0</v>
      </c>
      <c r="AI11">
        <v>1</v>
      </c>
      <c r="AJ11">
        <v>1</v>
      </c>
      <c r="AK11">
        <v>1</v>
      </c>
      <c r="AL11">
        <v>1</v>
      </c>
      <c r="AM11">
        <v>0</v>
      </c>
      <c r="AN11">
        <v>0</v>
      </c>
      <c r="AO11">
        <v>0</v>
      </c>
      <c r="AP11">
        <v>1</v>
      </c>
      <c r="AQ11">
        <v>0</v>
      </c>
      <c r="AR11">
        <v>0</v>
      </c>
      <c r="AS11" t="s">
        <v>3</v>
      </c>
      <c r="AT11">
        <v>1</v>
      </c>
      <c r="AU11" t="s">
        <v>3</v>
      </c>
      <c r="AV11">
        <v>0</v>
      </c>
      <c r="AW11">
        <v>1</v>
      </c>
      <c r="AX11">
        <v>-1</v>
      </c>
      <c r="AY11">
        <v>0</v>
      </c>
      <c r="AZ11">
        <v>0</v>
      </c>
      <c r="BA11" t="s">
        <v>3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CV11">
        <v>0</v>
      </c>
      <c r="CW11">
        <v>0</v>
      </c>
      <c r="CX11">
        <f>ROUND(Y11*Source!I32,7)</f>
        <v>1</v>
      </c>
      <c r="CY11">
        <f>AA11</f>
        <v>18095.240000000002</v>
      </c>
      <c r="CZ11">
        <f>AE11</f>
        <v>18095.240000000002</v>
      </c>
      <c r="DA11">
        <f>AI11</f>
        <v>1</v>
      </c>
      <c r="DB11">
        <f t="shared" si="1"/>
        <v>18095.240000000002</v>
      </c>
      <c r="DC11">
        <f t="shared" si="2"/>
        <v>0</v>
      </c>
      <c r="DD11" t="s">
        <v>3</v>
      </c>
      <c r="DE11" t="s">
        <v>3</v>
      </c>
      <c r="DF11">
        <f t="shared" si="3"/>
        <v>18095.240000000002</v>
      </c>
      <c r="DG11">
        <f t="shared" si="4"/>
        <v>0</v>
      </c>
      <c r="DH11">
        <f t="shared" si="5"/>
        <v>0</v>
      </c>
      <c r="DI11">
        <f t="shared" si="6"/>
        <v>0</v>
      </c>
      <c r="DJ11">
        <f>DF11</f>
        <v>18095.240000000002</v>
      </c>
      <c r="DK11">
        <v>0</v>
      </c>
      <c r="DL11" t="s">
        <v>3</v>
      </c>
      <c r="DM11">
        <v>0</v>
      </c>
      <c r="DN11" t="s">
        <v>3</v>
      </c>
      <c r="DO11">
        <v>0</v>
      </c>
    </row>
    <row r="12" spans="1:119" x14ac:dyDescent="0.2">
      <c r="A12">
        <f>ROW(Source!A35)</f>
        <v>35</v>
      </c>
      <c r="B12">
        <v>92678453</v>
      </c>
      <c r="C12">
        <v>92678507</v>
      </c>
      <c r="D12">
        <v>91260241</v>
      </c>
      <c r="E12">
        <v>118</v>
      </c>
      <c r="F12">
        <v>1</v>
      </c>
      <c r="G12">
        <v>1</v>
      </c>
      <c r="H12">
        <v>1</v>
      </c>
      <c r="I12" t="s">
        <v>223</v>
      </c>
      <c r="J12" t="s">
        <v>3</v>
      </c>
      <c r="K12" t="s">
        <v>224</v>
      </c>
      <c r="L12">
        <v>1191</v>
      </c>
      <c r="N12">
        <v>1013</v>
      </c>
      <c r="O12" t="s">
        <v>216</v>
      </c>
      <c r="P12" t="s">
        <v>216</v>
      </c>
      <c r="Q12">
        <v>1</v>
      </c>
      <c r="W12">
        <v>0</v>
      </c>
      <c r="X12">
        <v>-1105933552</v>
      </c>
      <c r="Y12">
        <f t="shared" si="0"/>
        <v>2.36</v>
      </c>
      <c r="AA12">
        <v>0</v>
      </c>
      <c r="AB12">
        <v>0</v>
      </c>
      <c r="AC12">
        <v>0</v>
      </c>
      <c r="AD12">
        <v>706.53</v>
      </c>
      <c r="AE12">
        <v>0</v>
      </c>
      <c r="AF12">
        <v>0</v>
      </c>
      <c r="AG12">
        <v>0</v>
      </c>
      <c r="AH12">
        <v>706.53</v>
      </c>
      <c r="AI12">
        <v>1</v>
      </c>
      <c r="AJ12">
        <v>1</v>
      </c>
      <c r="AK12">
        <v>1</v>
      </c>
      <c r="AL12">
        <v>1</v>
      </c>
      <c r="AM12">
        <v>-2</v>
      </c>
      <c r="AN12">
        <v>0</v>
      </c>
      <c r="AO12">
        <v>0</v>
      </c>
      <c r="AP12">
        <v>0</v>
      </c>
      <c r="AQ12">
        <v>1</v>
      </c>
      <c r="AR12">
        <v>0</v>
      </c>
      <c r="AS12" t="s">
        <v>3</v>
      </c>
      <c r="AT12">
        <v>2.36</v>
      </c>
      <c r="AU12" t="s">
        <v>3</v>
      </c>
      <c r="AV12">
        <v>1</v>
      </c>
      <c r="AW12">
        <v>2</v>
      </c>
      <c r="AX12">
        <v>92678508</v>
      </c>
      <c r="AY12">
        <v>1</v>
      </c>
      <c r="AZ12">
        <v>0</v>
      </c>
      <c r="BA12">
        <v>9</v>
      </c>
      <c r="BB12">
        <v>1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1667.4107999999999</v>
      </c>
      <c r="BN12">
        <v>2.36</v>
      </c>
      <c r="BO12">
        <v>0</v>
      </c>
      <c r="BP12">
        <v>1</v>
      </c>
      <c r="BQ12">
        <v>0</v>
      </c>
      <c r="BR12">
        <v>0</v>
      </c>
      <c r="BS12">
        <v>0</v>
      </c>
      <c r="BT12">
        <v>1667.4107999999999</v>
      </c>
      <c r="BU12">
        <v>2.36</v>
      </c>
      <c r="BV12">
        <v>0</v>
      </c>
      <c r="BW12">
        <v>1</v>
      </c>
      <c r="CU12">
        <f>ROUND(AT12*Source!I35*AH12*AL12,2)</f>
        <v>11671.88</v>
      </c>
      <c r="CV12">
        <f>ROUND(Y12*Source!I35,7)</f>
        <v>16.52</v>
      </c>
      <c r="CW12">
        <v>0</v>
      </c>
      <c r="CX12">
        <f>ROUND(Y12*Source!I35,7)</f>
        <v>16.52</v>
      </c>
      <c r="CY12">
        <f>AD12</f>
        <v>706.53</v>
      </c>
      <c r="CZ12">
        <f>AH12</f>
        <v>706.53</v>
      </c>
      <c r="DA12">
        <f>AL12</f>
        <v>1</v>
      </c>
      <c r="DB12">
        <f t="shared" si="1"/>
        <v>1667.41</v>
      </c>
      <c r="DC12">
        <f t="shared" si="2"/>
        <v>0</v>
      </c>
      <c r="DD12" t="s">
        <v>3</v>
      </c>
      <c r="DE12" t="s">
        <v>3</v>
      </c>
      <c r="DF12">
        <f t="shared" si="3"/>
        <v>0</v>
      </c>
      <c r="DG12">
        <f t="shared" si="4"/>
        <v>0</v>
      </c>
      <c r="DH12">
        <f t="shared" si="5"/>
        <v>0</v>
      </c>
      <c r="DI12">
        <f t="shared" si="6"/>
        <v>11671.88</v>
      </c>
      <c r="DJ12">
        <f>DI12</f>
        <v>11671.88</v>
      </c>
      <c r="DK12">
        <v>1</v>
      </c>
      <c r="DL12" t="s">
        <v>3</v>
      </c>
      <c r="DM12">
        <v>0</v>
      </c>
      <c r="DN12" t="s">
        <v>3</v>
      </c>
      <c r="DO12">
        <v>0</v>
      </c>
    </row>
    <row r="13" spans="1:119" x14ac:dyDescent="0.2">
      <c r="A13">
        <f>ROW(Source!A35)</f>
        <v>35</v>
      </c>
      <c r="B13">
        <v>92678453</v>
      </c>
      <c r="C13">
        <v>92678507</v>
      </c>
      <c r="D13">
        <v>91260426</v>
      </c>
      <c r="E13">
        <v>118</v>
      </c>
      <c r="F13">
        <v>1</v>
      </c>
      <c r="G13">
        <v>1</v>
      </c>
      <c r="H13">
        <v>1</v>
      </c>
      <c r="I13" t="s">
        <v>225</v>
      </c>
      <c r="J13" t="s">
        <v>3</v>
      </c>
      <c r="K13" t="s">
        <v>226</v>
      </c>
      <c r="L13">
        <v>1191</v>
      </c>
      <c r="N13">
        <v>1013</v>
      </c>
      <c r="O13" t="s">
        <v>216</v>
      </c>
      <c r="P13" t="s">
        <v>216</v>
      </c>
      <c r="Q13">
        <v>1</v>
      </c>
      <c r="W13">
        <v>0</v>
      </c>
      <c r="X13">
        <v>-1417349443</v>
      </c>
      <c r="Y13">
        <f t="shared" si="0"/>
        <v>0.02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1</v>
      </c>
      <c r="AJ13">
        <v>1</v>
      </c>
      <c r="AK13">
        <v>1</v>
      </c>
      <c r="AL13">
        <v>1</v>
      </c>
      <c r="AM13">
        <v>-2</v>
      </c>
      <c r="AN13">
        <v>0</v>
      </c>
      <c r="AO13">
        <v>0</v>
      </c>
      <c r="AP13">
        <v>0</v>
      </c>
      <c r="AQ13">
        <v>1</v>
      </c>
      <c r="AR13">
        <v>0</v>
      </c>
      <c r="AS13" t="s">
        <v>3</v>
      </c>
      <c r="AT13">
        <v>0.02</v>
      </c>
      <c r="AU13" t="s">
        <v>3</v>
      </c>
      <c r="AV13">
        <v>2</v>
      </c>
      <c r="AW13">
        <v>2</v>
      </c>
      <c r="AX13">
        <v>92678509</v>
      </c>
      <c r="AY13">
        <v>1</v>
      </c>
      <c r="AZ13">
        <v>0</v>
      </c>
      <c r="BA13">
        <v>10</v>
      </c>
      <c r="BB13">
        <v>1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CV13">
        <v>0</v>
      </c>
      <c r="CW13">
        <v>0</v>
      </c>
      <c r="CX13">
        <f>ROUND(Y13*Source!I35,7)</f>
        <v>0.14000000000000001</v>
      </c>
      <c r="CY13">
        <f>AD13</f>
        <v>0</v>
      </c>
      <c r="CZ13">
        <f>AH13</f>
        <v>0</v>
      </c>
      <c r="DA13">
        <f>AL13</f>
        <v>1</v>
      </c>
      <c r="DB13">
        <f t="shared" si="1"/>
        <v>0</v>
      </c>
      <c r="DC13">
        <f t="shared" si="2"/>
        <v>0</v>
      </c>
      <c r="DD13" t="s">
        <v>3</v>
      </c>
      <c r="DE13" t="s">
        <v>3</v>
      </c>
      <c r="DF13">
        <f t="shared" si="3"/>
        <v>0</v>
      </c>
      <c r="DG13">
        <f t="shared" si="4"/>
        <v>0</v>
      </c>
      <c r="DH13">
        <f t="shared" si="5"/>
        <v>0</v>
      </c>
      <c r="DI13">
        <f t="shared" si="6"/>
        <v>0</v>
      </c>
      <c r="DJ13">
        <f>DI13</f>
        <v>0</v>
      </c>
      <c r="DK13">
        <v>0</v>
      </c>
      <c r="DL13" t="s">
        <v>3</v>
      </c>
      <c r="DM13">
        <v>0</v>
      </c>
      <c r="DN13" t="s">
        <v>3</v>
      </c>
      <c r="DO13">
        <v>0</v>
      </c>
    </row>
    <row r="14" spans="1:119" x14ac:dyDescent="0.2">
      <c r="A14">
        <f>ROW(Source!A35)</f>
        <v>35</v>
      </c>
      <c r="B14">
        <v>92678453</v>
      </c>
      <c r="C14">
        <v>92678507</v>
      </c>
      <c r="D14">
        <v>91386879</v>
      </c>
      <c r="E14">
        <v>1</v>
      </c>
      <c r="F14">
        <v>1</v>
      </c>
      <c r="G14">
        <v>1</v>
      </c>
      <c r="H14">
        <v>2</v>
      </c>
      <c r="I14" t="s">
        <v>227</v>
      </c>
      <c r="J14" t="s">
        <v>228</v>
      </c>
      <c r="K14" t="s">
        <v>229</v>
      </c>
      <c r="L14">
        <v>1368</v>
      </c>
      <c r="N14">
        <v>1011</v>
      </c>
      <c r="O14" t="s">
        <v>230</v>
      </c>
      <c r="P14" t="s">
        <v>230</v>
      </c>
      <c r="Q14">
        <v>1</v>
      </c>
      <c r="W14">
        <v>0</v>
      </c>
      <c r="X14">
        <v>-1068589559</v>
      </c>
      <c r="Y14">
        <f t="shared" si="0"/>
        <v>0.01</v>
      </c>
      <c r="AA14">
        <v>0</v>
      </c>
      <c r="AB14">
        <v>1585.56</v>
      </c>
      <c r="AC14">
        <v>982.04</v>
      </c>
      <c r="AD14">
        <v>0</v>
      </c>
      <c r="AE14">
        <v>0</v>
      </c>
      <c r="AF14">
        <v>1585.56</v>
      </c>
      <c r="AG14">
        <v>982.04</v>
      </c>
      <c r="AH14">
        <v>0</v>
      </c>
      <c r="AI14">
        <v>1</v>
      </c>
      <c r="AJ14">
        <v>1</v>
      </c>
      <c r="AK14">
        <v>1</v>
      </c>
      <c r="AL14">
        <v>1</v>
      </c>
      <c r="AM14">
        <v>-2</v>
      </c>
      <c r="AN14">
        <v>0</v>
      </c>
      <c r="AO14">
        <v>0</v>
      </c>
      <c r="AP14">
        <v>0</v>
      </c>
      <c r="AQ14">
        <v>1</v>
      </c>
      <c r="AR14">
        <v>0</v>
      </c>
      <c r="AS14" t="s">
        <v>3</v>
      </c>
      <c r="AT14">
        <v>0.01</v>
      </c>
      <c r="AU14" t="s">
        <v>3</v>
      </c>
      <c r="AV14">
        <v>1</v>
      </c>
      <c r="AW14">
        <v>2</v>
      </c>
      <c r="AX14">
        <v>92678510</v>
      </c>
      <c r="AY14">
        <v>1</v>
      </c>
      <c r="AZ14">
        <v>0</v>
      </c>
      <c r="BA14">
        <v>11</v>
      </c>
      <c r="BB14">
        <v>1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15.855599999999999</v>
      </c>
      <c r="BL14">
        <v>9.8203999999999994</v>
      </c>
      <c r="BM14">
        <v>0</v>
      </c>
      <c r="BN14">
        <v>0</v>
      </c>
      <c r="BO14">
        <v>0.01</v>
      </c>
      <c r="BP14">
        <v>1</v>
      </c>
      <c r="BQ14">
        <v>0</v>
      </c>
      <c r="BR14">
        <v>15.855599999999999</v>
      </c>
      <c r="BS14">
        <v>9.8203999999999994</v>
      </c>
      <c r="BT14">
        <v>0</v>
      </c>
      <c r="BU14">
        <v>0</v>
      </c>
      <c r="BV14">
        <v>0.01</v>
      </c>
      <c r="BW14">
        <v>1</v>
      </c>
      <c r="CV14">
        <v>0</v>
      </c>
      <c r="CW14">
        <f>ROUND(Y14*Source!I35*DO14,7)</f>
        <v>7.0000000000000007E-2</v>
      </c>
      <c r="CX14">
        <f>ROUND(Y14*Source!I35,7)</f>
        <v>7.0000000000000007E-2</v>
      </c>
      <c r="CY14">
        <f>AB14</f>
        <v>1585.56</v>
      </c>
      <c r="CZ14">
        <f>AF14</f>
        <v>1585.56</v>
      </c>
      <c r="DA14">
        <f>AJ14</f>
        <v>1</v>
      </c>
      <c r="DB14">
        <f t="shared" si="1"/>
        <v>15.86</v>
      </c>
      <c r="DC14">
        <f t="shared" si="2"/>
        <v>9.82</v>
      </c>
      <c r="DD14" t="s">
        <v>3</v>
      </c>
      <c r="DE14" t="s">
        <v>3</v>
      </c>
      <c r="DF14">
        <f t="shared" si="3"/>
        <v>0</v>
      </c>
      <c r="DG14">
        <f t="shared" si="4"/>
        <v>110.99</v>
      </c>
      <c r="DH14">
        <f t="shared" si="5"/>
        <v>68.739999999999995</v>
      </c>
      <c r="DI14">
        <f t="shared" si="6"/>
        <v>0</v>
      </c>
      <c r="DJ14">
        <f>DG14+DH14</f>
        <v>179.73</v>
      </c>
      <c r="DK14">
        <v>1</v>
      </c>
      <c r="DL14" t="s">
        <v>231</v>
      </c>
      <c r="DM14">
        <v>6</v>
      </c>
      <c r="DN14" t="s">
        <v>216</v>
      </c>
      <c r="DO14">
        <v>1</v>
      </c>
    </row>
    <row r="15" spans="1:119" x14ac:dyDescent="0.2">
      <c r="A15">
        <f>ROW(Source!A35)</f>
        <v>35</v>
      </c>
      <c r="B15">
        <v>92678453</v>
      </c>
      <c r="C15">
        <v>92678507</v>
      </c>
      <c r="D15">
        <v>91387781</v>
      </c>
      <c r="E15">
        <v>1</v>
      </c>
      <c r="F15">
        <v>1</v>
      </c>
      <c r="G15">
        <v>1</v>
      </c>
      <c r="H15">
        <v>2</v>
      </c>
      <c r="I15" t="s">
        <v>232</v>
      </c>
      <c r="J15" t="s">
        <v>233</v>
      </c>
      <c r="K15" t="s">
        <v>234</v>
      </c>
      <c r="L15">
        <v>1368</v>
      </c>
      <c r="N15">
        <v>1011</v>
      </c>
      <c r="O15" t="s">
        <v>230</v>
      </c>
      <c r="P15" t="s">
        <v>230</v>
      </c>
      <c r="Q15">
        <v>1</v>
      </c>
      <c r="W15">
        <v>0</v>
      </c>
      <c r="X15">
        <v>-312038840</v>
      </c>
      <c r="Y15">
        <f t="shared" si="0"/>
        <v>0.01</v>
      </c>
      <c r="AA15">
        <v>0</v>
      </c>
      <c r="AB15">
        <v>544.91999999999996</v>
      </c>
      <c r="AC15">
        <v>731.08</v>
      </c>
      <c r="AD15">
        <v>0</v>
      </c>
      <c r="AE15">
        <v>0</v>
      </c>
      <c r="AF15">
        <v>544.91999999999996</v>
      </c>
      <c r="AG15">
        <v>731.08</v>
      </c>
      <c r="AH15">
        <v>0</v>
      </c>
      <c r="AI15">
        <v>1</v>
      </c>
      <c r="AJ15">
        <v>1</v>
      </c>
      <c r="AK15">
        <v>1</v>
      </c>
      <c r="AL15">
        <v>1</v>
      </c>
      <c r="AM15">
        <v>-2</v>
      </c>
      <c r="AN15">
        <v>0</v>
      </c>
      <c r="AO15">
        <v>0</v>
      </c>
      <c r="AP15">
        <v>0</v>
      </c>
      <c r="AQ15">
        <v>1</v>
      </c>
      <c r="AR15">
        <v>0</v>
      </c>
      <c r="AS15" t="s">
        <v>3</v>
      </c>
      <c r="AT15">
        <v>0.01</v>
      </c>
      <c r="AU15" t="s">
        <v>3</v>
      </c>
      <c r="AV15">
        <v>1</v>
      </c>
      <c r="AW15">
        <v>2</v>
      </c>
      <c r="AX15">
        <v>92678511</v>
      </c>
      <c r="AY15">
        <v>1</v>
      </c>
      <c r="AZ15">
        <v>0</v>
      </c>
      <c r="BA15">
        <v>12</v>
      </c>
      <c r="BB15">
        <v>1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5.4491999999999994</v>
      </c>
      <c r="BL15">
        <v>7.3108000000000004</v>
      </c>
      <c r="BM15">
        <v>0</v>
      </c>
      <c r="BN15">
        <v>0</v>
      </c>
      <c r="BO15">
        <v>0.01</v>
      </c>
      <c r="BP15">
        <v>1</v>
      </c>
      <c r="BQ15">
        <v>0</v>
      </c>
      <c r="BR15">
        <v>5.4491999999999994</v>
      </c>
      <c r="BS15">
        <v>7.3108000000000004</v>
      </c>
      <c r="BT15">
        <v>0</v>
      </c>
      <c r="BU15">
        <v>0</v>
      </c>
      <c r="BV15">
        <v>0.01</v>
      </c>
      <c r="BW15">
        <v>1</v>
      </c>
      <c r="CV15">
        <v>0</v>
      </c>
      <c r="CW15">
        <f>ROUND(Y15*Source!I35*DO15,7)</f>
        <v>7.0000000000000007E-2</v>
      </c>
      <c r="CX15">
        <f>ROUND(Y15*Source!I35,7)</f>
        <v>7.0000000000000007E-2</v>
      </c>
      <c r="CY15">
        <f>AB15</f>
        <v>544.91999999999996</v>
      </c>
      <c r="CZ15">
        <f>AF15</f>
        <v>544.91999999999996</v>
      </c>
      <c r="DA15">
        <f>AJ15</f>
        <v>1</v>
      </c>
      <c r="DB15">
        <f t="shared" si="1"/>
        <v>5.45</v>
      </c>
      <c r="DC15">
        <f t="shared" si="2"/>
        <v>7.31</v>
      </c>
      <c r="DD15" t="s">
        <v>3</v>
      </c>
      <c r="DE15" t="s">
        <v>3</v>
      </c>
      <c r="DF15">
        <f t="shared" si="3"/>
        <v>0</v>
      </c>
      <c r="DG15">
        <f t="shared" si="4"/>
        <v>38.14</v>
      </c>
      <c r="DH15">
        <f t="shared" si="5"/>
        <v>51.18</v>
      </c>
      <c r="DI15">
        <f t="shared" si="6"/>
        <v>0</v>
      </c>
      <c r="DJ15">
        <f>DG15+DH15</f>
        <v>89.32</v>
      </c>
      <c r="DK15">
        <v>1</v>
      </c>
      <c r="DL15" t="s">
        <v>235</v>
      </c>
      <c r="DM15">
        <v>4</v>
      </c>
      <c r="DN15" t="s">
        <v>216</v>
      </c>
      <c r="DO15">
        <v>1</v>
      </c>
    </row>
    <row r="16" spans="1:119" x14ac:dyDescent="0.2">
      <c r="A16">
        <f>ROW(Source!A35)</f>
        <v>35</v>
      </c>
      <c r="B16">
        <v>92678453</v>
      </c>
      <c r="C16">
        <v>92678507</v>
      </c>
      <c r="D16">
        <v>91387978</v>
      </c>
      <c r="E16">
        <v>1</v>
      </c>
      <c r="F16">
        <v>1</v>
      </c>
      <c r="G16">
        <v>1</v>
      </c>
      <c r="H16">
        <v>2</v>
      </c>
      <c r="I16" t="s">
        <v>236</v>
      </c>
      <c r="J16" t="s">
        <v>237</v>
      </c>
      <c r="K16" t="s">
        <v>238</v>
      </c>
      <c r="L16">
        <v>1368</v>
      </c>
      <c r="N16">
        <v>1011</v>
      </c>
      <c r="O16" t="s">
        <v>230</v>
      </c>
      <c r="P16" t="s">
        <v>230</v>
      </c>
      <c r="Q16">
        <v>1</v>
      </c>
      <c r="W16">
        <v>0</v>
      </c>
      <c r="X16">
        <v>462025989</v>
      </c>
      <c r="Y16">
        <f t="shared" si="0"/>
        <v>0.1</v>
      </c>
      <c r="AA16">
        <v>0</v>
      </c>
      <c r="AB16">
        <v>32.24</v>
      </c>
      <c r="AC16">
        <v>0</v>
      </c>
      <c r="AD16">
        <v>0</v>
      </c>
      <c r="AE16">
        <v>0</v>
      </c>
      <c r="AF16">
        <v>32.24</v>
      </c>
      <c r="AG16">
        <v>0</v>
      </c>
      <c r="AH16">
        <v>0</v>
      </c>
      <c r="AI16">
        <v>1</v>
      </c>
      <c r="AJ16">
        <v>1</v>
      </c>
      <c r="AK16">
        <v>1</v>
      </c>
      <c r="AL16">
        <v>1</v>
      </c>
      <c r="AM16">
        <v>-2</v>
      </c>
      <c r="AN16">
        <v>0</v>
      </c>
      <c r="AO16">
        <v>0</v>
      </c>
      <c r="AP16">
        <v>0</v>
      </c>
      <c r="AQ16">
        <v>1</v>
      </c>
      <c r="AR16">
        <v>0</v>
      </c>
      <c r="AS16" t="s">
        <v>3</v>
      </c>
      <c r="AT16">
        <v>0.1</v>
      </c>
      <c r="AU16" t="s">
        <v>3</v>
      </c>
      <c r="AV16">
        <v>1</v>
      </c>
      <c r="AW16">
        <v>2</v>
      </c>
      <c r="AX16">
        <v>92678512</v>
      </c>
      <c r="AY16">
        <v>1</v>
      </c>
      <c r="AZ16">
        <v>0</v>
      </c>
      <c r="BA16">
        <v>13</v>
      </c>
      <c r="BB16">
        <v>1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3.2240000000000002</v>
      </c>
      <c r="BL16">
        <v>0</v>
      </c>
      <c r="BM16">
        <v>0</v>
      </c>
      <c r="BN16">
        <v>0</v>
      </c>
      <c r="BO16">
        <v>0</v>
      </c>
      <c r="BP16">
        <v>1</v>
      </c>
      <c r="BQ16">
        <v>0</v>
      </c>
      <c r="BR16">
        <v>3.2240000000000002</v>
      </c>
      <c r="BS16">
        <v>0</v>
      </c>
      <c r="BT16">
        <v>0</v>
      </c>
      <c r="BU16">
        <v>0</v>
      </c>
      <c r="BV16">
        <v>0</v>
      </c>
      <c r="BW16">
        <v>1</v>
      </c>
      <c r="CV16">
        <v>0</v>
      </c>
      <c r="CW16">
        <f>ROUND(Y16*Source!I35*DO16,7)</f>
        <v>0</v>
      </c>
      <c r="CX16">
        <f>ROUND(Y16*Source!I35,7)</f>
        <v>0.7</v>
      </c>
      <c r="CY16">
        <f>AB16</f>
        <v>32.24</v>
      </c>
      <c r="CZ16">
        <f>AF16</f>
        <v>32.24</v>
      </c>
      <c r="DA16">
        <f>AJ16</f>
        <v>1</v>
      </c>
      <c r="DB16">
        <f t="shared" si="1"/>
        <v>3.22</v>
      </c>
      <c r="DC16">
        <f t="shared" si="2"/>
        <v>0</v>
      </c>
      <c r="DD16" t="s">
        <v>3</v>
      </c>
      <c r="DE16" t="s">
        <v>3</v>
      </c>
      <c r="DF16">
        <f t="shared" si="3"/>
        <v>0</v>
      </c>
      <c r="DG16">
        <f t="shared" si="4"/>
        <v>22.57</v>
      </c>
      <c r="DH16">
        <f t="shared" si="5"/>
        <v>0</v>
      </c>
      <c r="DI16">
        <f t="shared" si="6"/>
        <v>0</v>
      </c>
      <c r="DJ16">
        <f>DG16+DH16</f>
        <v>22.57</v>
      </c>
      <c r="DK16">
        <v>1</v>
      </c>
      <c r="DL16" t="s">
        <v>3</v>
      </c>
      <c r="DM16">
        <v>0</v>
      </c>
      <c r="DN16" t="s">
        <v>3</v>
      </c>
      <c r="DO16">
        <v>0</v>
      </c>
    </row>
    <row r="17" spans="1:119" x14ac:dyDescent="0.2">
      <c r="A17">
        <f>ROW(Source!A35)</f>
        <v>35</v>
      </c>
      <c r="B17">
        <v>92678453</v>
      </c>
      <c r="C17">
        <v>92678507</v>
      </c>
      <c r="D17">
        <v>91334952</v>
      </c>
      <c r="E17">
        <v>1</v>
      </c>
      <c r="F17">
        <v>1</v>
      </c>
      <c r="G17">
        <v>1</v>
      </c>
      <c r="H17">
        <v>3</v>
      </c>
      <c r="I17" t="s">
        <v>239</v>
      </c>
      <c r="J17" t="s">
        <v>240</v>
      </c>
      <c r="K17" t="s">
        <v>241</v>
      </c>
      <c r="L17">
        <v>1346</v>
      </c>
      <c r="N17">
        <v>1009</v>
      </c>
      <c r="O17" t="s">
        <v>242</v>
      </c>
      <c r="P17" t="s">
        <v>242</v>
      </c>
      <c r="Q17">
        <v>1</v>
      </c>
      <c r="W17">
        <v>0</v>
      </c>
      <c r="X17">
        <v>-288203296</v>
      </c>
      <c r="Y17">
        <f t="shared" si="0"/>
        <v>1.2E-2</v>
      </c>
      <c r="AA17">
        <v>238.56</v>
      </c>
      <c r="AB17">
        <v>0</v>
      </c>
      <c r="AC17">
        <v>0</v>
      </c>
      <c r="AD17">
        <v>0</v>
      </c>
      <c r="AE17">
        <v>150.04</v>
      </c>
      <c r="AF17">
        <v>0</v>
      </c>
      <c r="AG17">
        <v>0</v>
      </c>
      <c r="AH17">
        <v>0</v>
      </c>
      <c r="AI17">
        <v>1.59</v>
      </c>
      <c r="AJ17">
        <v>1</v>
      </c>
      <c r="AK17">
        <v>1</v>
      </c>
      <c r="AL17">
        <v>1</v>
      </c>
      <c r="AM17">
        <v>2</v>
      </c>
      <c r="AN17">
        <v>0</v>
      </c>
      <c r="AO17">
        <v>0</v>
      </c>
      <c r="AP17">
        <v>0</v>
      </c>
      <c r="AQ17">
        <v>1</v>
      </c>
      <c r="AR17">
        <v>0</v>
      </c>
      <c r="AS17" t="s">
        <v>3</v>
      </c>
      <c r="AT17">
        <v>1.2E-2</v>
      </c>
      <c r="AU17" t="s">
        <v>3</v>
      </c>
      <c r="AV17">
        <v>0</v>
      </c>
      <c r="AW17">
        <v>2</v>
      </c>
      <c r="AX17">
        <v>92678513</v>
      </c>
      <c r="AY17">
        <v>1</v>
      </c>
      <c r="AZ17">
        <v>0</v>
      </c>
      <c r="BA17">
        <v>14</v>
      </c>
      <c r="BB17">
        <v>1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1.8004799999999999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1</v>
      </c>
      <c r="BQ17">
        <v>1.8004799999999999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1</v>
      </c>
      <c r="CV17">
        <v>0</v>
      </c>
      <c r="CW17">
        <v>0</v>
      </c>
      <c r="CX17">
        <f>ROUND(Y17*Source!I35,7)</f>
        <v>8.4000000000000005E-2</v>
      </c>
      <c r="CY17">
        <f t="shared" ref="CY17:CY32" si="7">AA17</f>
        <v>238.56</v>
      </c>
      <c r="CZ17">
        <f t="shared" ref="CZ17:CZ32" si="8">AE17</f>
        <v>150.04</v>
      </c>
      <c r="DA17">
        <f t="shared" ref="DA17:DA32" si="9">AI17</f>
        <v>1.59</v>
      </c>
      <c r="DB17">
        <f t="shared" si="1"/>
        <v>1.8</v>
      </c>
      <c r="DC17">
        <f t="shared" si="2"/>
        <v>0</v>
      </c>
      <c r="DD17" t="s">
        <v>3</v>
      </c>
      <c r="DE17" t="s">
        <v>3</v>
      </c>
      <c r="DF17">
        <f>ROUND(ROUND(AE17*AI17,2)*CX17,2)</f>
        <v>20.04</v>
      </c>
      <c r="DG17">
        <f t="shared" si="4"/>
        <v>0</v>
      </c>
      <c r="DH17">
        <f t="shared" si="5"/>
        <v>0</v>
      </c>
      <c r="DI17">
        <f t="shared" si="6"/>
        <v>0</v>
      </c>
      <c r="DJ17">
        <f t="shared" ref="DJ17:DJ32" si="10">DF17</f>
        <v>20.04</v>
      </c>
      <c r="DK17">
        <v>0</v>
      </c>
      <c r="DL17" t="s">
        <v>3</v>
      </c>
      <c r="DM17">
        <v>0</v>
      </c>
      <c r="DN17" t="s">
        <v>3</v>
      </c>
      <c r="DO17">
        <v>0</v>
      </c>
    </row>
    <row r="18" spans="1:119" x14ac:dyDescent="0.2">
      <c r="A18">
        <f>ROW(Source!A35)</f>
        <v>35</v>
      </c>
      <c r="B18">
        <v>92678453</v>
      </c>
      <c r="C18">
        <v>92678507</v>
      </c>
      <c r="D18">
        <v>91336974</v>
      </c>
      <c r="E18">
        <v>1</v>
      </c>
      <c r="F18">
        <v>1</v>
      </c>
      <c r="G18">
        <v>1</v>
      </c>
      <c r="H18">
        <v>3</v>
      </c>
      <c r="I18" t="s">
        <v>243</v>
      </c>
      <c r="J18" t="s">
        <v>244</v>
      </c>
      <c r="K18" t="s">
        <v>245</v>
      </c>
      <c r="L18">
        <v>1346</v>
      </c>
      <c r="N18">
        <v>1009</v>
      </c>
      <c r="O18" t="s">
        <v>242</v>
      </c>
      <c r="P18" t="s">
        <v>242</v>
      </c>
      <c r="Q18">
        <v>1</v>
      </c>
      <c r="W18">
        <v>0</v>
      </c>
      <c r="X18">
        <v>-1673196120</v>
      </c>
      <c r="Y18">
        <f t="shared" si="0"/>
        <v>2E-3</v>
      </c>
      <c r="AA18">
        <v>163.02000000000001</v>
      </c>
      <c r="AB18">
        <v>0</v>
      </c>
      <c r="AC18">
        <v>0</v>
      </c>
      <c r="AD18">
        <v>0</v>
      </c>
      <c r="AE18">
        <v>187.38</v>
      </c>
      <c r="AF18">
        <v>0</v>
      </c>
      <c r="AG18">
        <v>0</v>
      </c>
      <c r="AH18">
        <v>0</v>
      </c>
      <c r="AI18">
        <v>0.87</v>
      </c>
      <c r="AJ18">
        <v>1</v>
      </c>
      <c r="AK18">
        <v>1</v>
      </c>
      <c r="AL18">
        <v>1</v>
      </c>
      <c r="AM18">
        <v>2</v>
      </c>
      <c r="AN18">
        <v>0</v>
      </c>
      <c r="AO18">
        <v>0</v>
      </c>
      <c r="AP18">
        <v>0</v>
      </c>
      <c r="AQ18">
        <v>1</v>
      </c>
      <c r="AR18">
        <v>0</v>
      </c>
      <c r="AS18" t="s">
        <v>3</v>
      </c>
      <c r="AT18">
        <v>2E-3</v>
      </c>
      <c r="AU18" t="s">
        <v>3</v>
      </c>
      <c r="AV18">
        <v>0</v>
      </c>
      <c r="AW18">
        <v>2</v>
      </c>
      <c r="AX18">
        <v>92678514</v>
      </c>
      <c r="AY18">
        <v>1</v>
      </c>
      <c r="AZ18">
        <v>0</v>
      </c>
      <c r="BA18">
        <v>15</v>
      </c>
      <c r="BB18">
        <v>1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0.37475999999999998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1</v>
      </c>
      <c r="BQ18">
        <v>0.37475999999999998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1</v>
      </c>
      <c r="CV18">
        <v>0</v>
      </c>
      <c r="CW18">
        <v>0</v>
      </c>
      <c r="CX18">
        <f>ROUND(Y18*Source!I35,7)</f>
        <v>1.4E-2</v>
      </c>
      <c r="CY18">
        <f t="shared" si="7"/>
        <v>163.02000000000001</v>
      </c>
      <c r="CZ18">
        <f t="shared" si="8"/>
        <v>187.38</v>
      </c>
      <c r="DA18">
        <f t="shared" si="9"/>
        <v>0.87</v>
      </c>
      <c r="DB18">
        <f t="shared" si="1"/>
        <v>0.37</v>
      </c>
      <c r="DC18">
        <f t="shared" si="2"/>
        <v>0</v>
      </c>
      <c r="DD18" t="s">
        <v>3</v>
      </c>
      <c r="DE18" t="s">
        <v>3</v>
      </c>
      <c r="DF18">
        <f>ROUND(ROUND(AE18*AI18,2)*CX18,2)</f>
        <v>2.2799999999999998</v>
      </c>
      <c r="DG18">
        <f t="shared" si="4"/>
        <v>0</v>
      </c>
      <c r="DH18">
        <f t="shared" si="5"/>
        <v>0</v>
      </c>
      <c r="DI18">
        <f t="shared" si="6"/>
        <v>0</v>
      </c>
      <c r="DJ18">
        <f t="shared" si="10"/>
        <v>2.2799999999999998</v>
      </c>
      <c r="DK18">
        <v>0</v>
      </c>
      <c r="DL18" t="s">
        <v>3</v>
      </c>
      <c r="DM18">
        <v>0</v>
      </c>
      <c r="DN18" t="s">
        <v>3</v>
      </c>
      <c r="DO18">
        <v>0</v>
      </c>
    </row>
    <row r="19" spans="1:119" x14ac:dyDescent="0.2">
      <c r="A19">
        <f>ROW(Source!A35)</f>
        <v>35</v>
      </c>
      <c r="B19">
        <v>92678453</v>
      </c>
      <c r="C19">
        <v>92678507</v>
      </c>
      <c r="D19">
        <v>91336998</v>
      </c>
      <c r="E19">
        <v>1</v>
      </c>
      <c r="F19">
        <v>1</v>
      </c>
      <c r="G19">
        <v>1</v>
      </c>
      <c r="H19">
        <v>3</v>
      </c>
      <c r="I19" t="s">
        <v>246</v>
      </c>
      <c r="J19" t="s">
        <v>247</v>
      </c>
      <c r="K19" t="s">
        <v>248</v>
      </c>
      <c r="L19">
        <v>1383</v>
      </c>
      <c r="N19">
        <v>1013</v>
      </c>
      <c r="O19" t="s">
        <v>249</v>
      </c>
      <c r="P19" t="s">
        <v>249</v>
      </c>
      <c r="Q19">
        <v>1</v>
      </c>
      <c r="W19">
        <v>0</v>
      </c>
      <c r="X19">
        <v>-182421198</v>
      </c>
      <c r="Y19">
        <f t="shared" si="0"/>
        <v>6.2399999999999997E-2</v>
      </c>
      <c r="AA19">
        <v>6.92</v>
      </c>
      <c r="AB19">
        <v>0</v>
      </c>
      <c r="AC19">
        <v>0</v>
      </c>
      <c r="AD19">
        <v>0</v>
      </c>
      <c r="AE19">
        <v>6.92</v>
      </c>
      <c r="AF19">
        <v>0</v>
      </c>
      <c r="AG19">
        <v>0</v>
      </c>
      <c r="AH19">
        <v>0</v>
      </c>
      <c r="AI19">
        <v>1</v>
      </c>
      <c r="AJ19">
        <v>1</v>
      </c>
      <c r="AK19">
        <v>1</v>
      </c>
      <c r="AL19">
        <v>1</v>
      </c>
      <c r="AM19">
        <v>-2</v>
      </c>
      <c r="AN19">
        <v>0</v>
      </c>
      <c r="AO19">
        <v>0</v>
      </c>
      <c r="AP19">
        <v>0</v>
      </c>
      <c r="AQ19">
        <v>1</v>
      </c>
      <c r="AR19">
        <v>0</v>
      </c>
      <c r="AS19" t="s">
        <v>3</v>
      </c>
      <c r="AT19">
        <v>6.2399999999999997E-2</v>
      </c>
      <c r="AU19" t="s">
        <v>3</v>
      </c>
      <c r="AV19">
        <v>0</v>
      </c>
      <c r="AW19">
        <v>2</v>
      </c>
      <c r="AX19">
        <v>92678515</v>
      </c>
      <c r="AY19">
        <v>1</v>
      </c>
      <c r="AZ19">
        <v>0</v>
      </c>
      <c r="BA19">
        <v>16</v>
      </c>
      <c r="BB19">
        <v>1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0.43180799999999997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1</v>
      </c>
      <c r="BQ19">
        <v>0.43180799999999997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1</v>
      </c>
      <c r="CV19">
        <v>0</v>
      </c>
      <c r="CW19">
        <v>0</v>
      </c>
      <c r="CX19">
        <f>ROUND(Y19*Source!I35,7)</f>
        <v>0.43680000000000002</v>
      </c>
      <c r="CY19">
        <f t="shared" si="7"/>
        <v>6.92</v>
      </c>
      <c r="CZ19">
        <f t="shared" si="8"/>
        <v>6.92</v>
      </c>
      <c r="DA19">
        <f t="shared" si="9"/>
        <v>1</v>
      </c>
      <c r="DB19">
        <f t="shared" si="1"/>
        <v>0.43</v>
      </c>
      <c r="DC19">
        <f t="shared" si="2"/>
        <v>0</v>
      </c>
      <c r="DD19" t="s">
        <v>3</v>
      </c>
      <c r="DE19" t="s">
        <v>3</v>
      </c>
      <c r="DF19">
        <f>ROUND(ROUND(AE19,2)*CX19,2)</f>
        <v>3.02</v>
      </c>
      <c r="DG19">
        <f t="shared" si="4"/>
        <v>0</v>
      </c>
      <c r="DH19">
        <f t="shared" si="5"/>
        <v>0</v>
      </c>
      <c r="DI19">
        <f t="shared" si="6"/>
        <v>0</v>
      </c>
      <c r="DJ19">
        <f t="shared" si="10"/>
        <v>3.02</v>
      </c>
      <c r="DK19">
        <v>1</v>
      </c>
      <c r="DL19" t="s">
        <v>3</v>
      </c>
      <c r="DM19">
        <v>0</v>
      </c>
      <c r="DN19" t="s">
        <v>3</v>
      </c>
      <c r="DO19">
        <v>0</v>
      </c>
    </row>
    <row r="20" spans="1:119" x14ac:dyDescent="0.2">
      <c r="A20">
        <f>ROW(Source!A35)</f>
        <v>35</v>
      </c>
      <c r="B20">
        <v>92678453</v>
      </c>
      <c r="C20">
        <v>92678507</v>
      </c>
      <c r="D20">
        <v>91337154</v>
      </c>
      <c r="E20">
        <v>1</v>
      </c>
      <c r="F20">
        <v>1</v>
      </c>
      <c r="G20">
        <v>1</v>
      </c>
      <c r="H20">
        <v>3</v>
      </c>
      <c r="I20" t="s">
        <v>250</v>
      </c>
      <c r="J20" t="s">
        <v>251</v>
      </c>
      <c r="K20" t="s">
        <v>252</v>
      </c>
      <c r="L20">
        <v>1301</v>
      </c>
      <c r="N20">
        <v>1003</v>
      </c>
      <c r="O20" t="s">
        <v>253</v>
      </c>
      <c r="P20" t="s">
        <v>253</v>
      </c>
      <c r="Q20">
        <v>1</v>
      </c>
      <c r="W20">
        <v>0</v>
      </c>
      <c r="X20">
        <v>1043352333</v>
      </c>
      <c r="Y20">
        <f t="shared" si="0"/>
        <v>2</v>
      </c>
      <c r="AA20">
        <v>5.1100000000000003</v>
      </c>
      <c r="AB20">
        <v>0</v>
      </c>
      <c r="AC20">
        <v>0</v>
      </c>
      <c r="AD20">
        <v>0</v>
      </c>
      <c r="AE20">
        <v>5.87</v>
      </c>
      <c r="AF20">
        <v>0</v>
      </c>
      <c r="AG20">
        <v>0</v>
      </c>
      <c r="AH20">
        <v>0</v>
      </c>
      <c r="AI20">
        <v>0.87</v>
      </c>
      <c r="AJ20">
        <v>1</v>
      </c>
      <c r="AK20">
        <v>1</v>
      </c>
      <c r="AL20">
        <v>1</v>
      </c>
      <c r="AM20">
        <v>2</v>
      </c>
      <c r="AN20">
        <v>0</v>
      </c>
      <c r="AO20">
        <v>0</v>
      </c>
      <c r="AP20">
        <v>0</v>
      </c>
      <c r="AQ20">
        <v>1</v>
      </c>
      <c r="AR20">
        <v>0</v>
      </c>
      <c r="AS20" t="s">
        <v>3</v>
      </c>
      <c r="AT20">
        <v>2</v>
      </c>
      <c r="AU20" t="s">
        <v>3</v>
      </c>
      <c r="AV20">
        <v>0</v>
      </c>
      <c r="AW20">
        <v>2</v>
      </c>
      <c r="AX20">
        <v>92678516</v>
      </c>
      <c r="AY20">
        <v>1</v>
      </c>
      <c r="AZ20">
        <v>0</v>
      </c>
      <c r="BA20">
        <v>17</v>
      </c>
      <c r="BB20">
        <v>1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11.74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1</v>
      </c>
      <c r="BQ20">
        <v>11.74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1</v>
      </c>
      <c r="CV20">
        <v>0</v>
      </c>
      <c r="CW20">
        <v>0</v>
      </c>
      <c r="CX20">
        <f>ROUND(Y20*Source!I35,7)</f>
        <v>14</v>
      </c>
      <c r="CY20">
        <f t="shared" si="7"/>
        <v>5.1100000000000003</v>
      </c>
      <c r="CZ20">
        <f t="shared" si="8"/>
        <v>5.87</v>
      </c>
      <c r="DA20">
        <f t="shared" si="9"/>
        <v>0.87</v>
      </c>
      <c r="DB20">
        <f t="shared" si="1"/>
        <v>11.74</v>
      </c>
      <c r="DC20">
        <f t="shared" si="2"/>
        <v>0</v>
      </c>
      <c r="DD20" t="s">
        <v>3</v>
      </c>
      <c r="DE20" t="s">
        <v>3</v>
      </c>
      <c r="DF20">
        <f t="shared" ref="DF20:DF29" si="11">ROUND(ROUND(AE20*AI20,2)*CX20,2)</f>
        <v>71.540000000000006</v>
      </c>
      <c r="DG20">
        <f t="shared" si="4"/>
        <v>0</v>
      </c>
      <c r="DH20">
        <f t="shared" si="5"/>
        <v>0</v>
      </c>
      <c r="DI20">
        <f t="shared" si="6"/>
        <v>0</v>
      </c>
      <c r="DJ20">
        <f t="shared" si="10"/>
        <v>71.540000000000006</v>
      </c>
      <c r="DK20">
        <v>0</v>
      </c>
      <c r="DL20" t="s">
        <v>3</v>
      </c>
      <c r="DM20">
        <v>0</v>
      </c>
      <c r="DN20" t="s">
        <v>3</v>
      </c>
      <c r="DO20">
        <v>0</v>
      </c>
    </row>
    <row r="21" spans="1:119" x14ac:dyDescent="0.2">
      <c r="A21">
        <f>ROW(Source!A35)</f>
        <v>35</v>
      </c>
      <c r="B21">
        <v>92678453</v>
      </c>
      <c r="C21">
        <v>92678507</v>
      </c>
      <c r="D21">
        <v>91337740</v>
      </c>
      <c r="E21">
        <v>1</v>
      </c>
      <c r="F21">
        <v>1</v>
      </c>
      <c r="G21">
        <v>1</v>
      </c>
      <c r="H21">
        <v>3</v>
      </c>
      <c r="I21" t="s">
        <v>254</v>
      </c>
      <c r="J21" t="s">
        <v>255</v>
      </c>
      <c r="K21" t="s">
        <v>256</v>
      </c>
      <c r="L21">
        <v>1346</v>
      </c>
      <c r="N21">
        <v>1009</v>
      </c>
      <c r="O21" t="s">
        <v>242</v>
      </c>
      <c r="P21" t="s">
        <v>242</v>
      </c>
      <c r="Q21">
        <v>1</v>
      </c>
      <c r="W21">
        <v>0</v>
      </c>
      <c r="X21">
        <v>-1476217930</v>
      </c>
      <c r="Y21">
        <f t="shared" si="0"/>
        <v>0.09</v>
      </c>
      <c r="AA21">
        <v>119.84</v>
      </c>
      <c r="AB21">
        <v>0</v>
      </c>
      <c r="AC21">
        <v>0</v>
      </c>
      <c r="AD21">
        <v>0</v>
      </c>
      <c r="AE21">
        <v>155.63</v>
      </c>
      <c r="AF21">
        <v>0</v>
      </c>
      <c r="AG21">
        <v>0</v>
      </c>
      <c r="AH21">
        <v>0</v>
      </c>
      <c r="AI21">
        <v>0.77</v>
      </c>
      <c r="AJ21">
        <v>1</v>
      </c>
      <c r="AK21">
        <v>1</v>
      </c>
      <c r="AL21">
        <v>1</v>
      </c>
      <c r="AM21">
        <v>2</v>
      </c>
      <c r="AN21">
        <v>0</v>
      </c>
      <c r="AO21">
        <v>0</v>
      </c>
      <c r="AP21">
        <v>0</v>
      </c>
      <c r="AQ21">
        <v>1</v>
      </c>
      <c r="AR21">
        <v>0</v>
      </c>
      <c r="AS21" t="s">
        <v>3</v>
      </c>
      <c r="AT21">
        <v>0.09</v>
      </c>
      <c r="AU21" t="s">
        <v>3</v>
      </c>
      <c r="AV21">
        <v>0</v>
      </c>
      <c r="AW21">
        <v>2</v>
      </c>
      <c r="AX21">
        <v>92678517</v>
      </c>
      <c r="AY21">
        <v>1</v>
      </c>
      <c r="AZ21">
        <v>0</v>
      </c>
      <c r="BA21">
        <v>18</v>
      </c>
      <c r="BB21">
        <v>1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14.006699999999999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1</v>
      </c>
      <c r="BQ21">
        <v>14.006699999999999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1</v>
      </c>
      <c r="CV21">
        <v>0</v>
      </c>
      <c r="CW21">
        <v>0</v>
      </c>
      <c r="CX21">
        <f>ROUND(Y21*Source!I35,7)</f>
        <v>0.63</v>
      </c>
      <c r="CY21">
        <f t="shared" si="7"/>
        <v>119.84</v>
      </c>
      <c r="CZ21">
        <f t="shared" si="8"/>
        <v>155.63</v>
      </c>
      <c r="DA21">
        <f t="shared" si="9"/>
        <v>0.77</v>
      </c>
      <c r="DB21">
        <f t="shared" si="1"/>
        <v>14.01</v>
      </c>
      <c r="DC21">
        <f t="shared" si="2"/>
        <v>0</v>
      </c>
      <c r="DD21" t="s">
        <v>3</v>
      </c>
      <c r="DE21" t="s">
        <v>3</v>
      </c>
      <c r="DF21">
        <f t="shared" si="11"/>
        <v>75.5</v>
      </c>
      <c r="DG21">
        <f t="shared" si="4"/>
        <v>0</v>
      </c>
      <c r="DH21">
        <f t="shared" si="5"/>
        <v>0</v>
      </c>
      <c r="DI21">
        <f t="shared" si="6"/>
        <v>0</v>
      </c>
      <c r="DJ21">
        <f t="shared" si="10"/>
        <v>75.5</v>
      </c>
      <c r="DK21">
        <v>0</v>
      </c>
      <c r="DL21" t="s">
        <v>3</v>
      </c>
      <c r="DM21">
        <v>0</v>
      </c>
      <c r="DN21" t="s">
        <v>3</v>
      </c>
      <c r="DO21">
        <v>0</v>
      </c>
    </row>
    <row r="22" spans="1:119" x14ac:dyDescent="0.2">
      <c r="A22">
        <f>ROW(Source!A35)</f>
        <v>35</v>
      </c>
      <c r="B22">
        <v>92678453</v>
      </c>
      <c r="C22">
        <v>92678507</v>
      </c>
      <c r="D22">
        <v>91338493</v>
      </c>
      <c r="E22">
        <v>1</v>
      </c>
      <c r="F22">
        <v>1</v>
      </c>
      <c r="G22">
        <v>1</v>
      </c>
      <c r="H22">
        <v>3</v>
      </c>
      <c r="I22" t="s">
        <v>257</v>
      </c>
      <c r="J22" t="s">
        <v>258</v>
      </c>
      <c r="K22" t="s">
        <v>259</v>
      </c>
      <c r="L22">
        <v>1346</v>
      </c>
      <c r="N22">
        <v>1009</v>
      </c>
      <c r="O22" t="s">
        <v>242</v>
      </c>
      <c r="P22" t="s">
        <v>242</v>
      </c>
      <c r="Q22">
        <v>1</v>
      </c>
      <c r="W22">
        <v>0</v>
      </c>
      <c r="X22">
        <v>-489290570</v>
      </c>
      <c r="Y22">
        <f t="shared" si="0"/>
        <v>0.373</v>
      </c>
      <c r="AA22">
        <v>188.92</v>
      </c>
      <c r="AB22">
        <v>0</v>
      </c>
      <c r="AC22">
        <v>0</v>
      </c>
      <c r="AD22">
        <v>0</v>
      </c>
      <c r="AE22">
        <v>174.93</v>
      </c>
      <c r="AF22">
        <v>0</v>
      </c>
      <c r="AG22">
        <v>0</v>
      </c>
      <c r="AH22">
        <v>0</v>
      </c>
      <c r="AI22">
        <v>1.08</v>
      </c>
      <c r="AJ22">
        <v>1</v>
      </c>
      <c r="AK22">
        <v>1</v>
      </c>
      <c r="AL22">
        <v>1</v>
      </c>
      <c r="AM22">
        <v>2</v>
      </c>
      <c r="AN22">
        <v>0</v>
      </c>
      <c r="AO22">
        <v>0</v>
      </c>
      <c r="AP22">
        <v>0</v>
      </c>
      <c r="AQ22">
        <v>1</v>
      </c>
      <c r="AR22">
        <v>0</v>
      </c>
      <c r="AS22" t="s">
        <v>3</v>
      </c>
      <c r="AT22">
        <v>0.373</v>
      </c>
      <c r="AU22" t="s">
        <v>3</v>
      </c>
      <c r="AV22">
        <v>0</v>
      </c>
      <c r="AW22">
        <v>2</v>
      </c>
      <c r="AX22">
        <v>92678518</v>
      </c>
      <c r="AY22">
        <v>1</v>
      </c>
      <c r="AZ22">
        <v>0</v>
      </c>
      <c r="BA22">
        <v>19</v>
      </c>
      <c r="BB22">
        <v>1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65.248890000000003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1</v>
      </c>
      <c r="BQ22">
        <v>65.248890000000003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1</v>
      </c>
      <c r="CV22">
        <v>0</v>
      </c>
      <c r="CW22">
        <v>0</v>
      </c>
      <c r="CX22">
        <f>ROUND(Y22*Source!I35,7)</f>
        <v>2.6110000000000002</v>
      </c>
      <c r="CY22">
        <f t="shared" si="7"/>
        <v>188.92</v>
      </c>
      <c r="CZ22">
        <f t="shared" si="8"/>
        <v>174.93</v>
      </c>
      <c r="DA22">
        <f t="shared" si="9"/>
        <v>1.08</v>
      </c>
      <c r="DB22">
        <f t="shared" si="1"/>
        <v>65.25</v>
      </c>
      <c r="DC22">
        <f t="shared" si="2"/>
        <v>0</v>
      </c>
      <c r="DD22" t="s">
        <v>3</v>
      </c>
      <c r="DE22" t="s">
        <v>3</v>
      </c>
      <c r="DF22">
        <f t="shared" si="11"/>
        <v>493.27</v>
      </c>
      <c r="DG22">
        <f t="shared" si="4"/>
        <v>0</v>
      </c>
      <c r="DH22">
        <f t="shared" si="5"/>
        <v>0</v>
      </c>
      <c r="DI22">
        <f t="shared" si="6"/>
        <v>0</v>
      </c>
      <c r="DJ22">
        <f t="shared" si="10"/>
        <v>493.27</v>
      </c>
      <c r="DK22">
        <v>0</v>
      </c>
      <c r="DL22" t="s">
        <v>3</v>
      </c>
      <c r="DM22">
        <v>0</v>
      </c>
      <c r="DN22" t="s">
        <v>3</v>
      </c>
      <c r="DO22">
        <v>0</v>
      </c>
    </row>
    <row r="23" spans="1:119" x14ac:dyDescent="0.2">
      <c r="A23">
        <f>ROW(Source!A35)</f>
        <v>35</v>
      </c>
      <c r="B23">
        <v>92678453</v>
      </c>
      <c r="C23">
        <v>92678507</v>
      </c>
      <c r="D23">
        <v>91338559</v>
      </c>
      <c r="E23">
        <v>1</v>
      </c>
      <c r="F23">
        <v>1</v>
      </c>
      <c r="G23">
        <v>1</v>
      </c>
      <c r="H23">
        <v>3</v>
      </c>
      <c r="I23" t="s">
        <v>260</v>
      </c>
      <c r="J23" t="s">
        <v>261</v>
      </c>
      <c r="K23" t="s">
        <v>262</v>
      </c>
      <c r="L23">
        <v>1425</v>
      </c>
      <c r="N23">
        <v>1013</v>
      </c>
      <c r="O23" t="s">
        <v>263</v>
      </c>
      <c r="P23" t="s">
        <v>263</v>
      </c>
      <c r="Q23">
        <v>1</v>
      </c>
      <c r="W23">
        <v>0</v>
      </c>
      <c r="X23">
        <v>-910460444</v>
      </c>
      <c r="Y23">
        <f t="shared" si="0"/>
        <v>0.02</v>
      </c>
      <c r="AA23">
        <v>54.64</v>
      </c>
      <c r="AB23">
        <v>0</v>
      </c>
      <c r="AC23">
        <v>0</v>
      </c>
      <c r="AD23">
        <v>0</v>
      </c>
      <c r="AE23">
        <v>41.71</v>
      </c>
      <c r="AF23">
        <v>0</v>
      </c>
      <c r="AG23">
        <v>0</v>
      </c>
      <c r="AH23">
        <v>0</v>
      </c>
      <c r="AI23">
        <v>1.31</v>
      </c>
      <c r="AJ23">
        <v>1</v>
      </c>
      <c r="AK23">
        <v>1</v>
      </c>
      <c r="AL23">
        <v>1</v>
      </c>
      <c r="AM23">
        <v>2</v>
      </c>
      <c r="AN23">
        <v>0</v>
      </c>
      <c r="AO23">
        <v>0</v>
      </c>
      <c r="AP23">
        <v>0</v>
      </c>
      <c r="AQ23">
        <v>1</v>
      </c>
      <c r="AR23">
        <v>0</v>
      </c>
      <c r="AS23" t="s">
        <v>3</v>
      </c>
      <c r="AT23">
        <v>0.02</v>
      </c>
      <c r="AU23" t="s">
        <v>3</v>
      </c>
      <c r="AV23">
        <v>0</v>
      </c>
      <c r="AW23">
        <v>2</v>
      </c>
      <c r="AX23">
        <v>92678519</v>
      </c>
      <c r="AY23">
        <v>1</v>
      </c>
      <c r="AZ23">
        <v>0</v>
      </c>
      <c r="BA23">
        <v>20</v>
      </c>
      <c r="BB23">
        <v>1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0.83420000000000005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1</v>
      </c>
      <c r="BQ23">
        <v>0.83420000000000005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1</v>
      </c>
      <c r="CV23">
        <v>0</v>
      </c>
      <c r="CW23">
        <v>0</v>
      </c>
      <c r="CX23">
        <f>ROUND(Y23*Source!I35,7)</f>
        <v>0.14000000000000001</v>
      </c>
      <c r="CY23">
        <f t="shared" si="7"/>
        <v>54.64</v>
      </c>
      <c r="CZ23">
        <f t="shared" si="8"/>
        <v>41.71</v>
      </c>
      <c r="DA23">
        <f t="shared" si="9"/>
        <v>1.31</v>
      </c>
      <c r="DB23">
        <f t="shared" si="1"/>
        <v>0.83</v>
      </c>
      <c r="DC23">
        <f t="shared" si="2"/>
        <v>0</v>
      </c>
      <c r="DD23" t="s">
        <v>3</v>
      </c>
      <c r="DE23" t="s">
        <v>3</v>
      </c>
      <c r="DF23">
        <f t="shared" si="11"/>
        <v>7.65</v>
      </c>
      <c r="DG23">
        <f t="shared" si="4"/>
        <v>0</v>
      </c>
      <c r="DH23">
        <f t="shared" si="5"/>
        <v>0</v>
      </c>
      <c r="DI23">
        <f t="shared" si="6"/>
        <v>0</v>
      </c>
      <c r="DJ23">
        <f t="shared" si="10"/>
        <v>7.65</v>
      </c>
      <c r="DK23">
        <v>0</v>
      </c>
      <c r="DL23" t="s">
        <v>3</v>
      </c>
      <c r="DM23">
        <v>0</v>
      </c>
      <c r="DN23" t="s">
        <v>3</v>
      </c>
      <c r="DO23">
        <v>0</v>
      </c>
    </row>
    <row r="24" spans="1:119" x14ac:dyDescent="0.2">
      <c r="A24">
        <f>ROW(Source!A35)</f>
        <v>35</v>
      </c>
      <c r="B24">
        <v>92678453</v>
      </c>
      <c r="C24">
        <v>92678507</v>
      </c>
      <c r="D24">
        <v>91339610</v>
      </c>
      <c r="E24">
        <v>1</v>
      </c>
      <c r="F24">
        <v>1</v>
      </c>
      <c r="G24">
        <v>1</v>
      </c>
      <c r="H24">
        <v>3</v>
      </c>
      <c r="I24" t="s">
        <v>264</v>
      </c>
      <c r="J24" t="s">
        <v>265</v>
      </c>
      <c r="K24" t="s">
        <v>266</v>
      </c>
      <c r="L24">
        <v>1346</v>
      </c>
      <c r="N24">
        <v>1009</v>
      </c>
      <c r="O24" t="s">
        <v>242</v>
      </c>
      <c r="P24" t="s">
        <v>242</v>
      </c>
      <c r="Q24">
        <v>1</v>
      </c>
      <c r="W24">
        <v>0</v>
      </c>
      <c r="X24">
        <v>-1224836742</v>
      </c>
      <c r="Y24">
        <f t="shared" si="0"/>
        <v>1E-3</v>
      </c>
      <c r="AA24">
        <v>633.04</v>
      </c>
      <c r="AB24">
        <v>0</v>
      </c>
      <c r="AC24">
        <v>0</v>
      </c>
      <c r="AD24">
        <v>0</v>
      </c>
      <c r="AE24">
        <v>395.65</v>
      </c>
      <c r="AF24">
        <v>0</v>
      </c>
      <c r="AG24">
        <v>0</v>
      </c>
      <c r="AH24">
        <v>0</v>
      </c>
      <c r="AI24">
        <v>1.6</v>
      </c>
      <c r="AJ24">
        <v>1</v>
      </c>
      <c r="AK24">
        <v>1</v>
      </c>
      <c r="AL24">
        <v>1</v>
      </c>
      <c r="AM24">
        <v>2</v>
      </c>
      <c r="AN24">
        <v>0</v>
      </c>
      <c r="AO24">
        <v>0</v>
      </c>
      <c r="AP24">
        <v>0</v>
      </c>
      <c r="AQ24">
        <v>1</v>
      </c>
      <c r="AR24">
        <v>0</v>
      </c>
      <c r="AS24" t="s">
        <v>3</v>
      </c>
      <c r="AT24">
        <v>1E-3</v>
      </c>
      <c r="AU24" t="s">
        <v>3</v>
      </c>
      <c r="AV24">
        <v>0</v>
      </c>
      <c r="AW24">
        <v>2</v>
      </c>
      <c r="AX24">
        <v>92678520</v>
      </c>
      <c r="AY24">
        <v>1</v>
      </c>
      <c r="AZ24">
        <v>0</v>
      </c>
      <c r="BA24">
        <v>21</v>
      </c>
      <c r="BB24">
        <v>1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0.39565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1</v>
      </c>
      <c r="BQ24">
        <v>0.39565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1</v>
      </c>
      <c r="CV24">
        <v>0</v>
      </c>
      <c r="CW24">
        <v>0</v>
      </c>
      <c r="CX24">
        <f>ROUND(Y24*Source!I35,7)</f>
        <v>7.0000000000000001E-3</v>
      </c>
      <c r="CY24">
        <f t="shared" si="7"/>
        <v>633.04</v>
      </c>
      <c r="CZ24">
        <f t="shared" si="8"/>
        <v>395.65</v>
      </c>
      <c r="DA24">
        <f t="shared" si="9"/>
        <v>1.6</v>
      </c>
      <c r="DB24">
        <f t="shared" si="1"/>
        <v>0.4</v>
      </c>
      <c r="DC24">
        <f t="shared" si="2"/>
        <v>0</v>
      </c>
      <c r="DD24" t="s">
        <v>3</v>
      </c>
      <c r="DE24" t="s">
        <v>3</v>
      </c>
      <c r="DF24">
        <f t="shared" si="11"/>
        <v>4.43</v>
      </c>
      <c r="DG24">
        <f t="shared" si="4"/>
        <v>0</v>
      </c>
      <c r="DH24">
        <f t="shared" si="5"/>
        <v>0</v>
      </c>
      <c r="DI24">
        <f t="shared" si="6"/>
        <v>0</v>
      </c>
      <c r="DJ24">
        <f t="shared" si="10"/>
        <v>4.43</v>
      </c>
      <c r="DK24">
        <v>0</v>
      </c>
      <c r="DL24" t="s">
        <v>3</v>
      </c>
      <c r="DM24">
        <v>0</v>
      </c>
      <c r="DN24" t="s">
        <v>3</v>
      </c>
      <c r="DO24">
        <v>0</v>
      </c>
    </row>
    <row r="25" spans="1:119" x14ac:dyDescent="0.2">
      <c r="A25">
        <f>ROW(Source!A35)</f>
        <v>35</v>
      </c>
      <c r="B25">
        <v>92678453</v>
      </c>
      <c r="C25">
        <v>92678507</v>
      </c>
      <c r="D25">
        <v>91343631</v>
      </c>
      <c r="E25">
        <v>1</v>
      </c>
      <c r="F25">
        <v>1</v>
      </c>
      <c r="G25">
        <v>1</v>
      </c>
      <c r="H25">
        <v>3</v>
      </c>
      <c r="I25" t="s">
        <v>267</v>
      </c>
      <c r="J25" t="s">
        <v>268</v>
      </c>
      <c r="K25" t="s">
        <v>269</v>
      </c>
      <c r="L25">
        <v>1348</v>
      </c>
      <c r="N25">
        <v>1009</v>
      </c>
      <c r="O25" t="s">
        <v>270</v>
      </c>
      <c r="P25" t="s">
        <v>270</v>
      </c>
      <c r="Q25">
        <v>1000</v>
      </c>
      <c r="W25">
        <v>0</v>
      </c>
      <c r="X25">
        <v>-901091791</v>
      </c>
      <c r="Y25">
        <f t="shared" si="0"/>
        <v>4.0000000000000001E-3</v>
      </c>
      <c r="AA25">
        <v>134756.88</v>
      </c>
      <c r="AB25">
        <v>0</v>
      </c>
      <c r="AC25">
        <v>0</v>
      </c>
      <c r="AD25">
        <v>0</v>
      </c>
      <c r="AE25">
        <v>105278.81</v>
      </c>
      <c r="AF25">
        <v>0</v>
      </c>
      <c r="AG25">
        <v>0</v>
      </c>
      <c r="AH25">
        <v>0</v>
      </c>
      <c r="AI25">
        <v>1.28</v>
      </c>
      <c r="AJ25">
        <v>1</v>
      </c>
      <c r="AK25">
        <v>1</v>
      </c>
      <c r="AL25">
        <v>1</v>
      </c>
      <c r="AM25">
        <v>2</v>
      </c>
      <c r="AN25">
        <v>0</v>
      </c>
      <c r="AO25">
        <v>0</v>
      </c>
      <c r="AP25">
        <v>0</v>
      </c>
      <c r="AQ25">
        <v>1</v>
      </c>
      <c r="AR25">
        <v>0</v>
      </c>
      <c r="AS25" t="s">
        <v>3</v>
      </c>
      <c r="AT25">
        <v>4.0000000000000001E-3</v>
      </c>
      <c r="AU25" t="s">
        <v>3</v>
      </c>
      <c r="AV25">
        <v>0</v>
      </c>
      <c r="AW25">
        <v>2</v>
      </c>
      <c r="AX25">
        <v>92678521</v>
      </c>
      <c r="AY25">
        <v>1</v>
      </c>
      <c r="AZ25">
        <v>0</v>
      </c>
      <c r="BA25">
        <v>22</v>
      </c>
      <c r="BB25">
        <v>1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421.11523999999997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1</v>
      </c>
      <c r="BQ25">
        <v>421.11523999999997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1</v>
      </c>
      <c r="CV25">
        <v>0</v>
      </c>
      <c r="CW25">
        <v>0</v>
      </c>
      <c r="CX25">
        <f>ROUND(Y25*Source!I35,7)</f>
        <v>2.8000000000000001E-2</v>
      </c>
      <c r="CY25">
        <f t="shared" si="7"/>
        <v>134756.88</v>
      </c>
      <c r="CZ25">
        <f t="shared" si="8"/>
        <v>105278.81</v>
      </c>
      <c r="DA25">
        <f t="shared" si="9"/>
        <v>1.28</v>
      </c>
      <c r="DB25">
        <f t="shared" si="1"/>
        <v>421.12</v>
      </c>
      <c r="DC25">
        <f t="shared" si="2"/>
        <v>0</v>
      </c>
      <c r="DD25" t="s">
        <v>3</v>
      </c>
      <c r="DE25" t="s">
        <v>3</v>
      </c>
      <c r="DF25">
        <f t="shared" si="11"/>
        <v>3773.19</v>
      </c>
      <c r="DG25">
        <f t="shared" si="4"/>
        <v>0</v>
      </c>
      <c r="DH25">
        <f t="shared" si="5"/>
        <v>0</v>
      </c>
      <c r="DI25">
        <f t="shared" si="6"/>
        <v>0</v>
      </c>
      <c r="DJ25">
        <f t="shared" si="10"/>
        <v>3773.19</v>
      </c>
      <c r="DK25">
        <v>0</v>
      </c>
      <c r="DL25" t="s">
        <v>3</v>
      </c>
      <c r="DM25">
        <v>0</v>
      </c>
      <c r="DN25" t="s">
        <v>3</v>
      </c>
      <c r="DO25">
        <v>0</v>
      </c>
    </row>
    <row r="26" spans="1:119" x14ac:dyDescent="0.2">
      <c r="A26">
        <f>ROW(Source!A35)</f>
        <v>35</v>
      </c>
      <c r="B26">
        <v>92678453</v>
      </c>
      <c r="C26">
        <v>92678507</v>
      </c>
      <c r="D26">
        <v>91356005</v>
      </c>
      <c r="E26">
        <v>1</v>
      </c>
      <c r="F26">
        <v>1</v>
      </c>
      <c r="G26">
        <v>1</v>
      </c>
      <c r="H26">
        <v>3</v>
      </c>
      <c r="I26" t="s">
        <v>271</v>
      </c>
      <c r="J26" t="s">
        <v>272</v>
      </c>
      <c r="K26" t="s">
        <v>273</v>
      </c>
      <c r="L26">
        <v>1346</v>
      </c>
      <c r="N26">
        <v>1009</v>
      </c>
      <c r="O26" t="s">
        <v>242</v>
      </c>
      <c r="P26" t="s">
        <v>242</v>
      </c>
      <c r="Q26">
        <v>1</v>
      </c>
      <c r="W26">
        <v>0</v>
      </c>
      <c r="X26">
        <v>2025193363</v>
      </c>
      <c r="Y26">
        <f t="shared" si="0"/>
        <v>4.4999999999999998E-2</v>
      </c>
      <c r="AA26">
        <v>110.23</v>
      </c>
      <c r="AB26">
        <v>0</v>
      </c>
      <c r="AC26">
        <v>0</v>
      </c>
      <c r="AD26">
        <v>0</v>
      </c>
      <c r="AE26">
        <v>79.88</v>
      </c>
      <c r="AF26">
        <v>0</v>
      </c>
      <c r="AG26">
        <v>0</v>
      </c>
      <c r="AH26">
        <v>0</v>
      </c>
      <c r="AI26">
        <v>1.38</v>
      </c>
      <c r="AJ26">
        <v>1</v>
      </c>
      <c r="AK26">
        <v>1</v>
      </c>
      <c r="AL26">
        <v>1</v>
      </c>
      <c r="AM26">
        <v>2</v>
      </c>
      <c r="AN26">
        <v>0</v>
      </c>
      <c r="AO26">
        <v>0</v>
      </c>
      <c r="AP26">
        <v>0</v>
      </c>
      <c r="AQ26">
        <v>1</v>
      </c>
      <c r="AR26">
        <v>0</v>
      </c>
      <c r="AS26" t="s">
        <v>3</v>
      </c>
      <c r="AT26">
        <v>4.4999999999999998E-2</v>
      </c>
      <c r="AU26" t="s">
        <v>3</v>
      </c>
      <c r="AV26">
        <v>0</v>
      </c>
      <c r="AW26">
        <v>2</v>
      </c>
      <c r="AX26">
        <v>92678522</v>
      </c>
      <c r="AY26">
        <v>1</v>
      </c>
      <c r="AZ26">
        <v>0</v>
      </c>
      <c r="BA26">
        <v>23</v>
      </c>
      <c r="BB26">
        <v>1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3.5945999999999998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1</v>
      </c>
      <c r="BQ26">
        <v>3.5945999999999998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1</v>
      </c>
      <c r="CV26">
        <v>0</v>
      </c>
      <c r="CW26">
        <v>0</v>
      </c>
      <c r="CX26">
        <f>ROUND(Y26*Source!I35,7)</f>
        <v>0.315</v>
      </c>
      <c r="CY26">
        <f t="shared" si="7"/>
        <v>110.23</v>
      </c>
      <c r="CZ26">
        <f t="shared" si="8"/>
        <v>79.88</v>
      </c>
      <c r="DA26">
        <f t="shared" si="9"/>
        <v>1.38</v>
      </c>
      <c r="DB26">
        <f t="shared" si="1"/>
        <v>3.59</v>
      </c>
      <c r="DC26">
        <f t="shared" si="2"/>
        <v>0</v>
      </c>
      <c r="DD26" t="s">
        <v>3</v>
      </c>
      <c r="DE26" t="s">
        <v>3</v>
      </c>
      <c r="DF26">
        <f t="shared" si="11"/>
        <v>34.72</v>
      </c>
      <c r="DG26">
        <f t="shared" si="4"/>
        <v>0</v>
      </c>
      <c r="DH26">
        <f t="shared" si="5"/>
        <v>0</v>
      </c>
      <c r="DI26">
        <f t="shared" si="6"/>
        <v>0</v>
      </c>
      <c r="DJ26">
        <f t="shared" si="10"/>
        <v>34.72</v>
      </c>
      <c r="DK26">
        <v>0</v>
      </c>
      <c r="DL26" t="s">
        <v>3</v>
      </c>
      <c r="DM26">
        <v>0</v>
      </c>
      <c r="DN26" t="s">
        <v>3</v>
      </c>
      <c r="DO26">
        <v>0</v>
      </c>
    </row>
    <row r="27" spans="1:119" x14ac:dyDescent="0.2">
      <c r="A27">
        <f>ROW(Source!A35)</f>
        <v>35</v>
      </c>
      <c r="B27">
        <v>92678453</v>
      </c>
      <c r="C27">
        <v>92678507</v>
      </c>
      <c r="D27">
        <v>91356051</v>
      </c>
      <c r="E27">
        <v>1</v>
      </c>
      <c r="F27">
        <v>1</v>
      </c>
      <c r="G27">
        <v>1</v>
      </c>
      <c r="H27">
        <v>3</v>
      </c>
      <c r="I27" t="s">
        <v>274</v>
      </c>
      <c r="J27" t="s">
        <v>275</v>
      </c>
      <c r="K27" t="s">
        <v>276</v>
      </c>
      <c r="L27">
        <v>1346</v>
      </c>
      <c r="N27">
        <v>1009</v>
      </c>
      <c r="O27" t="s">
        <v>242</v>
      </c>
      <c r="P27" t="s">
        <v>242</v>
      </c>
      <c r="Q27">
        <v>1</v>
      </c>
      <c r="W27">
        <v>0</v>
      </c>
      <c r="X27">
        <v>-921302106</v>
      </c>
      <c r="Y27">
        <f t="shared" si="0"/>
        <v>1.2E-2</v>
      </c>
      <c r="AA27">
        <v>192.08</v>
      </c>
      <c r="AB27">
        <v>0</v>
      </c>
      <c r="AC27">
        <v>0</v>
      </c>
      <c r="AD27">
        <v>0</v>
      </c>
      <c r="AE27">
        <v>157.44</v>
      </c>
      <c r="AF27">
        <v>0</v>
      </c>
      <c r="AG27">
        <v>0</v>
      </c>
      <c r="AH27">
        <v>0</v>
      </c>
      <c r="AI27">
        <v>1.22</v>
      </c>
      <c r="AJ27">
        <v>1</v>
      </c>
      <c r="AK27">
        <v>1</v>
      </c>
      <c r="AL27">
        <v>1</v>
      </c>
      <c r="AM27">
        <v>2</v>
      </c>
      <c r="AN27">
        <v>0</v>
      </c>
      <c r="AO27">
        <v>0</v>
      </c>
      <c r="AP27">
        <v>0</v>
      </c>
      <c r="AQ27">
        <v>1</v>
      </c>
      <c r="AR27">
        <v>0</v>
      </c>
      <c r="AS27" t="s">
        <v>3</v>
      </c>
      <c r="AT27">
        <v>1.2E-2</v>
      </c>
      <c r="AU27" t="s">
        <v>3</v>
      </c>
      <c r="AV27">
        <v>0</v>
      </c>
      <c r="AW27">
        <v>2</v>
      </c>
      <c r="AX27">
        <v>92678523</v>
      </c>
      <c r="AY27">
        <v>1</v>
      </c>
      <c r="AZ27">
        <v>0</v>
      </c>
      <c r="BA27">
        <v>24</v>
      </c>
      <c r="BB27">
        <v>1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1.8892800000000001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1</v>
      </c>
      <c r="BQ27">
        <v>1.8892800000000001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1</v>
      </c>
      <c r="CV27">
        <v>0</v>
      </c>
      <c r="CW27">
        <v>0</v>
      </c>
      <c r="CX27">
        <f>ROUND(Y27*Source!I35,7)</f>
        <v>8.4000000000000005E-2</v>
      </c>
      <c r="CY27">
        <f t="shared" si="7"/>
        <v>192.08</v>
      </c>
      <c r="CZ27">
        <f t="shared" si="8"/>
        <v>157.44</v>
      </c>
      <c r="DA27">
        <f t="shared" si="9"/>
        <v>1.22</v>
      </c>
      <c r="DB27">
        <f t="shared" si="1"/>
        <v>1.89</v>
      </c>
      <c r="DC27">
        <f t="shared" si="2"/>
        <v>0</v>
      </c>
      <c r="DD27" t="s">
        <v>3</v>
      </c>
      <c r="DE27" t="s">
        <v>3</v>
      </c>
      <c r="DF27">
        <f t="shared" si="11"/>
        <v>16.13</v>
      </c>
      <c r="DG27">
        <f t="shared" si="4"/>
        <v>0</v>
      </c>
      <c r="DH27">
        <f t="shared" si="5"/>
        <v>0</v>
      </c>
      <c r="DI27">
        <f t="shared" si="6"/>
        <v>0</v>
      </c>
      <c r="DJ27">
        <f t="shared" si="10"/>
        <v>16.13</v>
      </c>
      <c r="DK27">
        <v>0</v>
      </c>
      <c r="DL27" t="s">
        <v>3</v>
      </c>
      <c r="DM27">
        <v>0</v>
      </c>
      <c r="DN27" t="s">
        <v>3</v>
      </c>
      <c r="DO27">
        <v>0</v>
      </c>
    </row>
    <row r="28" spans="1:119" x14ac:dyDescent="0.2">
      <c r="A28">
        <f>ROW(Source!A35)</f>
        <v>35</v>
      </c>
      <c r="B28">
        <v>92678453</v>
      </c>
      <c r="C28">
        <v>92678507</v>
      </c>
      <c r="D28">
        <v>91363879</v>
      </c>
      <c r="E28">
        <v>1</v>
      </c>
      <c r="F28">
        <v>1</v>
      </c>
      <c r="G28">
        <v>1</v>
      </c>
      <c r="H28">
        <v>3</v>
      </c>
      <c r="I28" t="s">
        <v>277</v>
      </c>
      <c r="J28" t="s">
        <v>278</v>
      </c>
      <c r="K28" t="s">
        <v>279</v>
      </c>
      <c r="L28">
        <v>1455</v>
      </c>
      <c r="N28">
        <v>1013</v>
      </c>
      <c r="O28" t="s">
        <v>280</v>
      </c>
      <c r="P28" t="s">
        <v>280</v>
      </c>
      <c r="Q28">
        <v>1</v>
      </c>
      <c r="W28">
        <v>0</v>
      </c>
      <c r="X28">
        <v>-1468880334</v>
      </c>
      <c r="Y28">
        <f t="shared" si="0"/>
        <v>0.1</v>
      </c>
      <c r="AA28">
        <v>1303.67</v>
      </c>
      <c r="AB28">
        <v>0</v>
      </c>
      <c r="AC28">
        <v>0</v>
      </c>
      <c r="AD28">
        <v>0</v>
      </c>
      <c r="AE28">
        <v>944.69</v>
      </c>
      <c r="AF28">
        <v>0</v>
      </c>
      <c r="AG28">
        <v>0</v>
      </c>
      <c r="AH28">
        <v>0</v>
      </c>
      <c r="AI28">
        <v>1.38</v>
      </c>
      <c r="AJ28">
        <v>1</v>
      </c>
      <c r="AK28">
        <v>1</v>
      </c>
      <c r="AL28">
        <v>1</v>
      </c>
      <c r="AM28">
        <v>2</v>
      </c>
      <c r="AN28">
        <v>0</v>
      </c>
      <c r="AO28">
        <v>0</v>
      </c>
      <c r="AP28">
        <v>0</v>
      </c>
      <c r="AQ28">
        <v>1</v>
      </c>
      <c r="AR28">
        <v>0</v>
      </c>
      <c r="AS28" t="s">
        <v>3</v>
      </c>
      <c r="AT28">
        <v>0.1</v>
      </c>
      <c r="AU28" t="s">
        <v>3</v>
      </c>
      <c r="AV28">
        <v>0</v>
      </c>
      <c r="AW28">
        <v>2</v>
      </c>
      <c r="AX28">
        <v>92678524</v>
      </c>
      <c r="AY28">
        <v>1</v>
      </c>
      <c r="AZ28">
        <v>0</v>
      </c>
      <c r="BA28">
        <v>25</v>
      </c>
      <c r="BB28">
        <v>1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94.469000000000008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1</v>
      </c>
      <c r="BQ28">
        <v>94.469000000000008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1</v>
      </c>
      <c r="CV28">
        <v>0</v>
      </c>
      <c r="CW28">
        <v>0</v>
      </c>
      <c r="CX28">
        <f>ROUND(Y28*Source!I35,7)</f>
        <v>0.7</v>
      </c>
      <c r="CY28">
        <f t="shared" si="7"/>
        <v>1303.67</v>
      </c>
      <c r="CZ28">
        <f t="shared" si="8"/>
        <v>944.69</v>
      </c>
      <c r="DA28">
        <f t="shared" si="9"/>
        <v>1.38</v>
      </c>
      <c r="DB28">
        <f t="shared" si="1"/>
        <v>94.47</v>
      </c>
      <c r="DC28">
        <f t="shared" si="2"/>
        <v>0</v>
      </c>
      <c r="DD28" t="s">
        <v>3</v>
      </c>
      <c r="DE28" t="s">
        <v>3</v>
      </c>
      <c r="DF28">
        <f t="shared" si="11"/>
        <v>912.57</v>
      </c>
      <c r="DG28">
        <f t="shared" si="4"/>
        <v>0</v>
      </c>
      <c r="DH28">
        <f t="shared" si="5"/>
        <v>0</v>
      </c>
      <c r="DI28">
        <f t="shared" si="6"/>
        <v>0</v>
      </c>
      <c r="DJ28">
        <f t="shared" si="10"/>
        <v>912.57</v>
      </c>
      <c r="DK28">
        <v>0</v>
      </c>
      <c r="DL28" t="s">
        <v>3</v>
      </c>
      <c r="DM28">
        <v>0</v>
      </c>
      <c r="DN28" t="s">
        <v>3</v>
      </c>
      <c r="DO28">
        <v>0</v>
      </c>
    </row>
    <row r="29" spans="1:119" x14ac:dyDescent="0.2">
      <c r="A29">
        <f>ROW(Source!A35)</f>
        <v>35</v>
      </c>
      <c r="B29">
        <v>92678453</v>
      </c>
      <c r="C29">
        <v>92678507</v>
      </c>
      <c r="D29">
        <v>91382355</v>
      </c>
      <c r="E29">
        <v>1</v>
      </c>
      <c r="F29">
        <v>1</v>
      </c>
      <c r="G29">
        <v>1</v>
      </c>
      <c r="H29">
        <v>3</v>
      </c>
      <c r="I29" t="s">
        <v>281</v>
      </c>
      <c r="J29" t="s">
        <v>282</v>
      </c>
      <c r="K29" t="s">
        <v>283</v>
      </c>
      <c r="L29">
        <v>1425</v>
      </c>
      <c r="N29">
        <v>1013</v>
      </c>
      <c r="O29" t="s">
        <v>263</v>
      </c>
      <c r="P29" t="s">
        <v>263</v>
      </c>
      <c r="Q29">
        <v>1</v>
      </c>
      <c r="W29">
        <v>0</v>
      </c>
      <c r="X29">
        <v>1566465851</v>
      </c>
      <c r="Y29">
        <f t="shared" si="0"/>
        <v>6.0999999999999999E-2</v>
      </c>
      <c r="AA29">
        <v>669.02</v>
      </c>
      <c r="AB29">
        <v>0</v>
      </c>
      <c r="AC29">
        <v>0</v>
      </c>
      <c r="AD29">
        <v>0</v>
      </c>
      <c r="AE29">
        <v>655.9</v>
      </c>
      <c r="AF29">
        <v>0</v>
      </c>
      <c r="AG29">
        <v>0</v>
      </c>
      <c r="AH29">
        <v>0</v>
      </c>
      <c r="AI29">
        <v>1.02</v>
      </c>
      <c r="AJ29">
        <v>1</v>
      </c>
      <c r="AK29">
        <v>1</v>
      </c>
      <c r="AL29">
        <v>1</v>
      </c>
      <c r="AM29">
        <v>2</v>
      </c>
      <c r="AN29">
        <v>0</v>
      </c>
      <c r="AO29">
        <v>0</v>
      </c>
      <c r="AP29">
        <v>0</v>
      </c>
      <c r="AQ29">
        <v>1</v>
      </c>
      <c r="AR29">
        <v>0</v>
      </c>
      <c r="AS29" t="s">
        <v>3</v>
      </c>
      <c r="AT29">
        <v>6.0999999999999999E-2</v>
      </c>
      <c r="AU29" t="s">
        <v>3</v>
      </c>
      <c r="AV29">
        <v>0</v>
      </c>
      <c r="AW29">
        <v>2</v>
      </c>
      <c r="AX29">
        <v>92678525</v>
      </c>
      <c r="AY29">
        <v>1</v>
      </c>
      <c r="AZ29">
        <v>0</v>
      </c>
      <c r="BA29">
        <v>26</v>
      </c>
      <c r="BB29">
        <v>1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40.009899999999995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1</v>
      </c>
      <c r="BQ29">
        <v>40.009899999999995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1</v>
      </c>
      <c r="CV29">
        <v>0</v>
      </c>
      <c r="CW29">
        <v>0</v>
      </c>
      <c r="CX29">
        <f>ROUND(Y29*Source!I35,7)</f>
        <v>0.42699999999999999</v>
      </c>
      <c r="CY29">
        <f t="shared" si="7"/>
        <v>669.02</v>
      </c>
      <c r="CZ29">
        <f t="shared" si="8"/>
        <v>655.9</v>
      </c>
      <c r="DA29">
        <f t="shared" si="9"/>
        <v>1.02</v>
      </c>
      <c r="DB29">
        <f t="shared" si="1"/>
        <v>40.01</v>
      </c>
      <c r="DC29">
        <f t="shared" si="2"/>
        <v>0</v>
      </c>
      <c r="DD29" t="s">
        <v>3</v>
      </c>
      <c r="DE29" t="s">
        <v>3</v>
      </c>
      <c r="DF29">
        <f t="shared" si="11"/>
        <v>285.67</v>
      </c>
      <c r="DG29">
        <f t="shared" si="4"/>
        <v>0</v>
      </c>
      <c r="DH29">
        <f t="shared" si="5"/>
        <v>0</v>
      </c>
      <c r="DI29">
        <f t="shared" si="6"/>
        <v>0</v>
      </c>
      <c r="DJ29">
        <f t="shared" si="10"/>
        <v>285.67</v>
      </c>
      <c r="DK29">
        <v>0</v>
      </c>
      <c r="DL29" t="s">
        <v>3</v>
      </c>
      <c r="DM29">
        <v>0</v>
      </c>
      <c r="DN29" t="s">
        <v>3</v>
      </c>
      <c r="DO29">
        <v>0</v>
      </c>
    </row>
    <row r="30" spans="1:119" x14ac:dyDescent="0.2">
      <c r="A30">
        <f>ROW(Source!A35)</f>
        <v>35</v>
      </c>
      <c r="B30">
        <v>92678453</v>
      </c>
      <c r="C30">
        <v>92678507</v>
      </c>
      <c r="D30">
        <v>91266476</v>
      </c>
      <c r="E30">
        <v>118</v>
      </c>
      <c r="F30">
        <v>1</v>
      </c>
      <c r="G30">
        <v>1</v>
      </c>
      <c r="H30">
        <v>3</v>
      </c>
      <c r="I30" t="s">
        <v>56</v>
      </c>
      <c r="J30" t="s">
        <v>3</v>
      </c>
      <c r="K30" t="s">
        <v>57</v>
      </c>
      <c r="L30">
        <v>3277935</v>
      </c>
      <c r="N30">
        <v>1013</v>
      </c>
      <c r="O30" t="s">
        <v>27</v>
      </c>
      <c r="P30" t="s">
        <v>27</v>
      </c>
      <c r="Q30">
        <v>1</v>
      </c>
      <c r="W30">
        <v>0</v>
      </c>
      <c r="X30">
        <v>274903907</v>
      </c>
      <c r="Y30">
        <f t="shared" si="0"/>
        <v>2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1</v>
      </c>
      <c r="AJ30">
        <v>1</v>
      </c>
      <c r="AK30">
        <v>1</v>
      </c>
      <c r="AL30">
        <v>1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 t="s">
        <v>3</v>
      </c>
      <c r="AT30">
        <v>2</v>
      </c>
      <c r="AU30" t="s">
        <v>3</v>
      </c>
      <c r="AV30">
        <v>0</v>
      </c>
      <c r="AW30">
        <v>2</v>
      </c>
      <c r="AX30">
        <v>92678526</v>
      </c>
      <c r="AY30">
        <v>1</v>
      </c>
      <c r="AZ30">
        <v>0</v>
      </c>
      <c r="BA30">
        <v>27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CV30">
        <v>0</v>
      </c>
      <c r="CW30">
        <v>0</v>
      </c>
      <c r="CX30">
        <f>ROUND(Y30*Source!I35,7)</f>
        <v>14</v>
      </c>
      <c r="CY30">
        <f t="shared" si="7"/>
        <v>0</v>
      </c>
      <c r="CZ30">
        <f t="shared" si="8"/>
        <v>0</v>
      </c>
      <c r="DA30">
        <f t="shared" si="9"/>
        <v>1</v>
      </c>
      <c r="DB30">
        <f t="shared" si="1"/>
        <v>0</v>
      </c>
      <c r="DC30">
        <f t="shared" si="2"/>
        <v>0</v>
      </c>
      <c r="DD30" t="s">
        <v>3</v>
      </c>
      <c r="DE30" t="s">
        <v>3</v>
      </c>
      <c r="DF30">
        <f t="shared" ref="DF30:DF44" si="12">ROUND(ROUND(AE30,2)*CX30,2)</f>
        <v>0</v>
      </c>
      <c r="DG30">
        <f t="shared" si="4"/>
        <v>0</v>
      </c>
      <c r="DH30">
        <f t="shared" si="5"/>
        <v>0</v>
      </c>
      <c r="DI30">
        <f t="shared" si="6"/>
        <v>0</v>
      </c>
      <c r="DJ30">
        <f t="shared" si="10"/>
        <v>0</v>
      </c>
      <c r="DK30">
        <v>0</v>
      </c>
      <c r="DL30" t="s">
        <v>3</v>
      </c>
      <c r="DM30">
        <v>0</v>
      </c>
      <c r="DN30" t="s">
        <v>3</v>
      </c>
      <c r="DO30">
        <v>0</v>
      </c>
    </row>
    <row r="31" spans="1:119" x14ac:dyDescent="0.2">
      <c r="A31">
        <f>ROW(Source!A35)</f>
        <v>35</v>
      </c>
      <c r="B31">
        <v>92678453</v>
      </c>
      <c r="C31">
        <v>92678507</v>
      </c>
      <c r="D31">
        <v>0</v>
      </c>
      <c r="E31">
        <v>1</v>
      </c>
      <c r="F31">
        <v>1</v>
      </c>
      <c r="G31">
        <v>1</v>
      </c>
      <c r="H31">
        <v>3</v>
      </c>
      <c r="I31" t="s">
        <v>33</v>
      </c>
      <c r="J31" t="s">
        <v>3</v>
      </c>
      <c r="K31" t="s">
        <v>58</v>
      </c>
      <c r="L31">
        <v>1371</v>
      </c>
      <c r="N31">
        <v>1013</v>
      </c>
      <c r="O31" t="s">
        <v>18</v>
      </c>
      <c r="P31" t="s">
        <v>18</v>
      </c>
      <c r="Q31">
        <v>1</v>
      </c>
      <c r="W31">
        <v>0</v>
      </c>
      <c r="X31">
        <v>622975080</v>
      </c>
      <c r="Y31">
        <f t="shared" si="0"/>
        <v>1</v>
      </c>
      <c r="AA31">
        <v>6190.48</v>
      </c>
      <c r="AB31">
        <v>0</v>
      </c>
      <c r="AC31">
        <v>0</v>
      </c>
      <c r="AD31">
        <v>0</v>
      </c>
      <c r="AE31">
        <v>6190.48</v>
      </c>
      <c r="AF31">
        <v>0</v>
      </c>
      <c r="AG31">
        <v>0</v>
      </c>
      <c r="AH31">
        <v>0</v>
      </c>
      <c r="AI31">
        <v>1</v>
      </c>
      <c r="AJ31">
        <v>1</v>
      </c>
      <c r="AK31">
        <v>1</v>
      </c>
      <c r="AL31">
        <v>1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 t="s">
        <v>3</v>
      </c>
      <c r="AT31">
        <v>1</v>
      </c>
      <c r="AU31" t="s">
        <v>3</v>
      </c>
      <c r="AV31">
        <v>0</v>
      </c>
      <c r="AW31">
        <v>1</v>
      </c>
      <c r="AX31">
        <v>-1</v>
      </c>
      <c r="AY31">
        <v>0</v>
      </c>
      <c r="AZ31">
        <v>0</v>
      </c>
      <c r="BA31" t="s">
        <v>3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CV31">
        <v>0</v>
      </c>
      <c r="CW31">
        <v>0</v>
      </c>
      <c r="CX31">
        <f>ROUND(Y31*Source!I35,7)</f>
        <v>7</v>
      </c>
      <c r="CY31">
        <f t="shared" si="7"/>
        <v>6190.48</v>
      </c>
      <c r="CZ31">
        <f t="shared" si="8"/>
        <v>6190.48</v>
      </c>
      <c r="DA31">
        <f t="shared" si="9"/>
        <v>1</v>
      </c>
      <c r="DB31">
        <f t="shared" si="1"/>
        <v>6190.48</v>
      </c>
      <c r="DC31">
        <f t="shared" si="2"/>
        <v>0</v>
      </c>
      <c r="DD31" t="s">
        <v>3</v>
      </c>
      <c r="DE31" t="s">
        <v>3</v>
      </c>
      <c r="DF31">
        <f t="shared" si="12"/>
        <v>43333.36</v>
      </c>
      <c r="DG31">
        <f t="shared" si="4"/>
        <v>0</v>
      </c>
      <c r="DH31">
        <f t="shared" si="5"/>
        <v>0</v>
      </c>
      <c r="DI31">
        <f t="shared" si="6"/>
        <v>0</v>
      </c>
      <c r="DJ31">
        <f t="shared" si="10"/>
        <v>43333.36</v>
      </c>
      <c r="DK31">
        <v>0</v>
      </c>
      <c r="DL31" t="s">
        <v>3</v>
      </c>
      <c r="DM31">
        <v>0</v>
      </c>
      <c r="DN31" t="s">
        <v>3</v>
      </c>
      <c r="DO31">
        <v>0</v>
      </c>
    </row>
    <row r="32" spans="1:119" x14ac:dyDescent="0.2">
      <c r="A32">
        <f>ROW(Source!A35)</f>
        <v>35</v>
      </c>
      <c r="B32">
        <v>92678453</v>
      </c>
      <c r="C32">
        <v>92678507</v>
      </c>
      <c r="D32">
        <v>0</v>
      </c>
      <c r="E32">
        <v>1</v>
      </c>
      <c r="F32">
        <v>1</v>
      </c>
      <c r="G32">
        <v>1</v>
      </c>
      <c r="H32">
        <v>3</v>
      </c>
      <c r="I32" t="s">
        <v>33</v>
      </c>
      <c r="J32" t="s">
        <v>3</v>
      </c>
      <c r="K32" t="s">
        <v>60</v>
      </c>
      <c r="L32">
        <v>1371</v>
      </c>
      <c r="N32">
        <v>1013</v>
      </c>
      <c r="O32" t="s">
        <v>18</v>
      </c>
      <c r="P32" t="s">
        <v>18</v>
      </c>
      <c r="Q32">
        <v>1</v>
      </c>
      <c r="W32">
        <v>0</v>
      </c>
      <c r="X32">
        <v>1102328780</v>
      </c>
      <c r="Y32">
        <f t="shared" si="0"/>
        <v>1</v>
      </c>
      <c r="AA32">
        <v>952.38</v>
      </c>
      <c r="AB32">
        <v>0</v>
      </c>
      <c r="AC32">
        <v>0</v>
      </c>
      <c r="AD32">
        <v>0</v>
      </c>
      <c r="AE32">
        <v>952.38</v>
      </c>
      <c r="AF32">
        <v>0</v>
      </c>
      <c r="AG32">
        <v>0</v>
      </c>
      <c r="AH32">
        <v>0</v>
      </c>
      <c r="AI32">
        <v>1</v>
      </c>
      <c r="AJ32">
        <v>1</v>
      </c>
      <c r="AK32">
        <v>1</v>
      </c>
      <c r="AL32">
        <v>1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 t="s">
        <v>3</v>
      </c>
      <c r="AT32">
        <v>1</v>
      </c>
      <c r="AU32" t="s">
        <v>3</v>
      </c>
      <c r="AV32">
        <v>0</v>
      </c>
      <c r="AW32">
        <v>1</v>
      </c>
      <c r="AX32">
        <v>-1</v>
      </c>
      <c r="AY32">
        <v>0</v>
      </c>
      <c r="AZ32">
        <v>0</v>
      </c>
      <c r="BA32" t="s">
        <v>3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CV32">
        <v>0</v>
      </c>
      <c r="CW32">
        <v>0</v>
      </c>
      <c r="CX32">
        <f>ROUND(Y32*Source!I35,7)</f>
        <v>7</v>
      </c>
      <c r="CY32">
        <f t="shared" si="7"/>
        <v>952.38</v>
      </c>
      <c r="CZ32">
        <f t="shared" si="8"/>
        <v>952.38</v>
      </c>
      <c r="DA32">
        <f t="shared" si="9"/>
        <v>1</v>
      </c>
      <c r="DB32">
        <f t="shared" si="1"/>
        <v>952.38</v>
      </c>
      <c r="DC32">
        <f t="shared" si="2"/>
        <v>0</v>
      </c>
      <c r="DD32" t="s">
        <v>3</v>
      </c>
      <c r="DE32" t="s">
        <v>3</v>
      </c>
      <c r="DF32">
        <f t="shared" si="12"/>
        <v>6666.66</v>
      </c>
      <c r="DG32">
        <f t="shared" si="4"/>
        <v>0</v>
      </c>
      <c r="DH32">
        <f t="shared" si="5"/>
        <v>0</v>
      </c>
      <c r="DI32">
        <f t="shared" si="6"/>
        <v>0</v>
      </c>
      <c r="DJ32">
        <f t="shared" si="10"/>
        <v>6666.66</v>
      </c>
      <c r="DK32">
        <v>0</v>
      </c>
      <c r="DL32" t="s">
        <v>3</v>
      </c>
      <c r="DM32">
        <v>0</v>
      </c>
      <c r="DN32" t="s">
        <v>3</v>
      </c>
      <c r="DO32">
        <v>0</v>
      </c>
    </row>
    <row r="33" spans="1:119" x14ac:dyDescent="0.2">
      <c r="A33">
        <f>ROW(Source!A39)</f>
        <v>39</v>
      </c>
      <c r="B33">
        <v>92678453</v>
      </c>
      <c r="C33">
        <v>92678495</v>
      </c>
      <c r="D33">
        <v>91260231</v>
      </c>
      <c r="E33">
        <v>118</v>
      </c>
      <c r="F33">
        <v>1</v>
      </c>
      <c r="G33">
        <v>1</v>
      </c>
      <c r="H33">
        <v>1</v>
      </c>
      <c r="I33" t="s">
        <v>284</v>
      </c>
      <c r="J33" t="s">
        <v>3</v>
      </c>
      <c r="K33" t="s">
        <v>285</v>
      </c>
      <c r="L33">
        <v>1191</v>
      </c>
      <c r="N33">
        <v>1013</v>
      </c>
      <c r="O33" t="s">
        <v>216</v>
      </c>
      <c r="P33" t="s">
        <v>216</v>
      </c>
      <c r="Q33">
        <v>1</v>
      </c>
      <c r="W33">
        <v>0</v>
      </c>
      <c r="X33">
        <v>1958912953</v>
      </c>
      <c r="Y33">
        <f t="shared" si="0"/>
        <v>5.55</v>
      </c>
      <c r="AA33">
        <v>0</v>
      </c>
      <c r="AB33">
        <v>0</v>
      </c>
      <c r="AC33">
        <v>0</v>
      </c>
      <c r="AD33">
        <v>665.61</v>
      </c>
      <c r="AE33">
        <v>0</v>
      </c>
      <c r="AF33">
        <v>0</v>
      </c>
      <c r="AG33">
        <v>0</v>
      </c>
      <c r="AH33">
        <v>665.61</v>
      </c>
      <c r="AI33">
        <v>1</v>
      </c>
      <c r="AJ33">
        <v>1</v>
      </c>
      <c r="AK33">
        <v>1</v>
      </c>
      <c r="AL33">
        <v>1</v>
      </c>
      <c r="AM33">
        <v>-2</v>
      </c>
      <c r="AN33">
        <v>0</v>
      </c>
      <c r="AO33">
        <v>0</v>
      </c>
      <c r="AP33">
        <v>0</v>
      </c>
      <c r="AQ33">
        <v>1</v>
      </c>
      <c r="AR33">
        <v>0</v>
      </c>
      <c r="AS33" t="s">
        <v>3</v>
      </c>
      <c r="AT33">
        <v>5.55</v>
      </c>
      <c r="AU33" t="s">
        <v>3</v>
      </c>
      <c r="AV33">
        <v>1</v>
      </c>
      <c r="AW33">
        <v>2</v>
      </c>
      <c r="AX33">
        <v>92678496</v>
      </c>
      <c r="AY33">
        <v>1</v>
      </c>
      <c r="AZ33">
        <v>0</v>
      </c>
      <c r="BA33">
        <v>28</v>
      </c>
      <c r="BB33">
        <v>1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3694.1354999999999</v>
      </c>
      <c r="BN33">
        <v>5.55</v>
      </c>
      <c r="BO33">
        <v>0</v>
      </c>
      <c r="BP33">
        <v>1</v>
      </c>
      <c r="BQ33">
        <v>0</v>
      </c>
      <c r="BR33">
        <v>0</v>
      </c>
      <c r="BS33">
        <v>0</v>
      </c>
      <c r="BT33">
        <v>3694.1354999999999</v>
      </c>
      <c r="BU33">
        <v>5.55</v>
      </c>
      <c r="BV33">
        <v>0</v>
      </c>
      <c r="BW33">
        <v>1</v>
      </c>
      <c r="CU33">
        <f>ROUND(AT33*Source!I39*AH33*AL33,2)</f>
        <v>25858.95</v>
      </c>
      <c r="CV33">
        <f>ROUND(Y33*Source!I39,7)</f>
        <v>38.85</v>
      </c>
      <c r="CW33">
        <v>0</v>
      </c>
      <c r="CX33">
        <f>ROUND(Y33*Source!I39,7)</f>
        <v>38.85</v>
      </c>
      <c r="CY33">
        <f>AD33</f>
        <v>665.61</v>
      </c>
      <c r="CZ33">
        <f>AH33</f>
        <v>665.61</v>
      </c>
      <c r="DA33">
        <f>AL33</f>
        <v>1</v>
      </c>
      <c r="DB33">
        <f t="shared" si="1"/>
        <v>3694.14</v>
      </c>
      <c r="DC33">
        <f t="shared" si="2"/>
        <v>0</v>
      </c>
      <c r="DD33" t="s">
        <v>3</v>
      </c>
      <c r="DE33" t="s">
        <v>3</v>
      </c>
      <c r="DF33">
        <f t="shared" si="12"/>
        <v>0</v>
      </c>
      <c r="DG33">
        <f t="shared" si="4"/>
        <v>0</v>
      </c>
      <c r="DH33">
        <f t="shared" si="5"/>
        <v>0</v>
      </c>
      <c r="DI33">
        <f t="shared" si="6"/>
        <v>25858.95</v>
      </c>
      <c r="DJ33">
        <f>DI33</f>
        <v>25858.95</v>
      </c>
      <c r="DK33">
        <v>1</v>
      </c>
      <c r="DL33" t="s">
        <v>3</v>
      </c>
      <c r="DM33">
        <v>0</v>
      </c>
      <c r="DN33" t="s">
        <v>3</v>
      </c>
      <c r="DO33">
        <v>0</v>
      </c>
    </row>
    <row r="34" spans="1:119" x14ac:dyDescent="0.2">
      <c r="A34">
        <f>ROW(Source!A39)</f>
        <v>39</v>
      </c>
      <c r="B34">
        <v>92678453</v>
      </c>
      <c r="C34">
        <v>92678495</v>
      </c>
      <c r="D34">
        <v>91266477</v>
      </c>
      <c r="E34">
        <v>118</v>
      </c>
      <c r="F34">
        <v>1</v>
      </c>
      <c r="G34">
        <v>1</v>
      </c>
      <c r="H34">
        <v>3</v>
      </c>
      <c r="I34" t="s">
        <v>25</v>
      </c>
      <c r="J34" t="s">
        <v>3</v>
      </c>
      <c r="K34" t="s">
        <v>26</v>
      </c>
      <c r="L34">
        <v>3277935</v>
      </c>
      <c r="N34">
        <v>1013</v>
      </c>
      <c r="O34" t="s">
        <v>27</v>
      </c>
      <c r="P34" t="s">
        <v>27</v>
      </c>
      <c r="Q34">
        <v>1</v>
      </c>
      <c r="W34">
        <v>0</v>
      </c>
      <c r="X34">
        <v>-152123987</v>
      </c>
      <c r="Y34">
        <f t="shared" si="0"/>
        <v>3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1</v>
      </c>
      <c r="AJ34">
        <v>1</v>
      </c>
      <c r="AK34">
        <v>1</v>
      </c>
      <c r="AL34">
        <v>1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 t="s">
        <v>3</v>
      </c>
      <c r="AT34">
        <v>3</v>
      </c>
      <c r="AU34" t="s">
        <v>3</v>
      </c>
      <c r="AV34">
        <v>0</v>
      </c>
      <c r="AW34">
        <v>2</v>
      </c>
      <c r="AX34">
        <v>92678497</v>
      </c>
      <c r="AY34">
        <v>1</v>
      </c>
      <c r="AZ34">
        <v>0</v>
      </c>
      <c r="BA34">
        <v>29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CV34">
        <v>0</v>
      </c>
      <c r="CW34">
        <v>0</v>
      </c>
      <c r="CX34">
        <f>ROUND(Y34*Source!I39,7)</f>
        <v>21</v>
      </c>
      <c r="CY34">
        <f>AA34</f>
        <v>0</v>
      </c>
      <c r="CZ34">
        <f>AE34</f>
        <v>0</v>
      </c>
      <c r="DA34">
        <f>AI34</f>
        <v>1</v>
      </c>
      <c r="DB34">
        <f t="shared" si="1"/>
        <v>0</v>
      </c>
      <c r="DC34">
        <f t="shared" si="2"/>
        <v>0</v>
      </c>
      <c r="DD34" t="s">
        <v>3</v>
      </c>
      <c r="DE34" t="s">
        <v>3</v>
      </c>
      <c r="DF34">
        <f t="shared" si="12"/>
        <v>0</v>
      </c>
      <c r="DG34">
        <f t="shared" si="4"/>
        <v>0</v>
      </c>
      <c r="DH34">
        <f t="shared" si="5"/>
        <v>0</v>
      </c>
      <c r="DI34">
        <f t="shared" si="6"/>
        <v>0</v>
      </c>
      <c r="DJ34">
        <f>DF34</f>
        <v>0</v>
      </c>
      <c r="DK34">
        <v>0</v>
      </c>
      <c r="DL34" t="s">
        <v>3</v>
      </c>
      <c r="DM34">
        <v>0</v>
      </c>
      <c r="DN34" t="s">
        <v>3</v>
      </c>
      <c r="DO34">
        <v>0</v>
      </c>
    </row>
    <row r="35" spans="1:119" x14ac:dyDescent="0.2">
      <c r="A35">
        <f>ROW(Source!A39)</f>
        <v>39</v>
      </c>
      <c r="B35">
        <v>92678453</v>
      </c>
      <c r="C35">
        <v>92678495</v>
      </c>
      <c r="D35">
        <v>0</v>
      </c>
      <c r="E35">
        <v>0</v>
      </c>
      <c r="F35">
        <v>1</v>
      </c>
      <c r="G35">
        <v>1</v>
      </c>
      <c r="H35">
        <v>3</v>
      </c>
      <c r="I35" t="s">
        <v>33</v>
      </c>
      <c r="J35" t="s">
        <v>3</v>
      </c>
      <c r="K35" t="s">
        <v>58</v>
      </c>
      <c r="L35">
        <v>1371</v>
      </c>
      <c r="N35">
        <v>1013</v>
      </c>
      <c r="O35" t="s">
        <v>18</v>
      </c>
      <c r="P35" t="s">
        <v>18</v>
      </c>
      <c r="Q35">
        <v>1</v>
      </c>
      <c r="W35">
        <v>0</v>
      </c>
      <c r="X35">
        <v>622975080</v>
      </c>
      <c r="Y35">
        <f t="shared" si="0"/>
        <v>1</v>
      </c>
      <c r="AA35">
        <v>6190.48</v>
      </c>
      <c r="AB35">
        <v>0</v>
      </c>
      <c r="AC35">
        <v>0</v>
      </c>
      <c r="AD35">
        <v>0</v>
      </c>
      <c r="AE35">
        <v>6190.48</v>
      </c>
      <c r="AF35">
        <v>0</v>
      </c>
      <c r="AG35">
        <v>0</v>
      </c>
      <c r="AH35">
        <v>0</v>
      </c>
      <c r="AI35">
        <v>1</v>
      </c>
      <c r="AJ35">
        <v>1</v>
      </c>
      <c r="AK35">
        <v>1</v>
      </c>
      <c r="AL35">
        <v>1</v>
      </c>
      <c r="AM35">
        <v>0</v>
      </c>
      <c r="AN35">
        <v>0</v>
      </c>
      <c r="AO35">
        <v>0</v>
      </c>
      <c r="AP35">
        <v>1</v>
      </c>
      <c r="AQ35">
        <v>0</v>
      </c>
      <c r="AR35">
        <v>0</v>
      </c>
      <c r="AS35" t="s">
        <v>3</v>
      </c>
      <c r="AT35">
        <v>1</v>
      </c>
      <c r="AU35" t="s">
        <v>3</v>
      </c>
      <c r="AV35">
        <v>0</v>
      </c>
      <c r="AW35">
        <v>1</v>
      </c>
      <c r="AX35">
        <v>-1</v>
      </c>
      <c r="AY35">
        <v>0</v>
      </c>
      <c r="AZ35">
        <v>0</v>
      </c>
      <c r="BA35" t="s">
        <v>3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CV35">
        <v>0</v>
      </c>
      <c r="CW35">
        <v>0</v>
      </c>
      <c r="CX35">
        <f>ROUND(Y35*Source!I39,7)</f>
        <v>7</v>
      </c>
      <c r="CY35">
        <f>AA35</f>
        <v>6190.48</v>
      </c>
      <c r="CZ35">
        <f>AE35</f>
        <v>6190.48</v>
      </c>
      <c r="DA35">
        <f>AI35</f>
        <v>1</v>
      </c>
      <c r="DB35">
        <f t="shared" si="1"/>
        <v>6190.48</v>
      </c>
      <c r="DC35">
        <f t="shared" si="2"/>
        <v>0</v>
      </c>
      <c r="DD35" t="s">
        <v>3</v>
      </c>
      <c r="DE35" t="s">
        <v>3</v>
      </c>
      <c r="DF35">
        <f t="shared" si="12"/>
        <v>43333.36</v>
      </c>
      <c r="DG35">
        <f t="shared" si="4"/>
        <v>0</v>
      </c>
      <c r="DH35">
        <f t="shared" si="5"/>
        <v>0</v>
      </c>
      <c r="DI35">
        <f t="shared" si="6"/>
        <v>0</v>
      </c>
      <c r="DJ35">
        <f>DF35</f>
        <v>43333.36</v>
      </c>
      <c r="DK35">
        <v>0</v>
      </c>
      <c r="DL35" t="s">
        <v>3</v>
      </c>
      <c r="DM35">
        <v>0</v>
      </c>
      <c r="DN35" t="s">
        <v>3</v>
      </c>
      <c r="DO35">
        <v>0</v>
      </c>
    </row>
    <row r="36" spans="1:119" x14ac:dyDescent="0.2">
      <c r="A36">
        <f>ROW(Source!A39)</f>
        <v>39</v>
      </c>
      <c r="B36">
        <v>92678453</v>
      </c>
      <c r="C36">
        <v>92678495</v>
      </c>
      <c r="D36">
        <v>0</v>
      </c>
      <c r="E36">
        <v>0</v>
      </c>
      <c r="F36">
        <v>1</v>
      </c>
      <c r="G36">
        <v>1</v>
      </c>
      <c r="H36">
        <v>3</v>
      </c>
      <c r="I36" t="s">
        <v>33</v>
      </c>
      <c r="J36" t="s">
        <v>3</v>
      </c>
      <c r="K36" t="s">
        <v>60</v>
      </c>
      <c r="L36">
        <v>1371</v>
      </c>
      <c r="N36">
        <v>1013</v>
      </c>
      <c r="O36" t="s">
        <v>18</v>
      </c>
      <c r="P36" t="s">
        <v>18</v>
      </c>
      <c r="Q36">
        <v>1</v>
      </c>
      <c r="W36">
        <v>0</v>
      </c>
      <c r="X36">
        <v>1102328780</v>
      </c>
      <c r="Y36">
        <f t="shared" si="0"/>
        <v>1</v>
      </c>
      <c r="AA36">
        <v>952.38</v>
      </c>
      <c r="AB36">
        <v>0</v>
      </c>
      <c r="AC36">
        <v>0</v>
      </c>
      <c r="AD36">
        <v>0</v>
      </c>
      <c r="AE36">
        <v>952.38</v>
      </c>
      <c r="AF36">
        <v>0</v>
      </c>
      <c r="AG36">
        <v>0</v>
      </c>
      <c r="AH36">
        <v>0</v>
      </c>
      <c r="AI36">
        <v>1</v>
      </c>
      <c r="AJ36">
        <v>1</v>
      </c>
      <c r="AK36">
        <v>1</v>
      </c>
      <c r="AL36">
        <v>1</v>
      </c>
      <c r="AM36">
        <v>0</v>
      </c>
      <c r="AN36">
        <v>0</v>
      </c>
      <c r="AO36">
        <v>0</v>
      </c>
      <c r="AP36">
        <v>1</v>
      </c>
      <c r="AQ36">
        <v>0</v>
      </c>
      <c r="AR36">
        <v>0</v>
      </c>
      <c r="AS36" t="s">
        <v>3</v>
      </c>
      <c r="AT36">
        <v>1</v>
      </c>
      <c r="AU36" t="s">
        <v>3</v>
      </c>
      <c r="AV36">
        <v>0</v>
      </c>
      <c r="AW36">
        <v>1</v>
      </c>
      <c r="AX36">
        <v>-1</v>
      </c>
      <c r="AY36">
        <v>0</v>
      </c>
      <c r="AZ36">
        <v>0</v>
      </c>
      <c r="BA36" t="s">
        <v>3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CV36">
        <v>0</v>
      </c>
      <c r="CW36">
        <v>0</v>
      </c>
      <c r="CX36">
        <f>ROUND(Y36*Source!I39,7)</f>
        <v>7</v>
      </c>
      <c r="CY36">
        <f>AA36</f>
        <v>952.38</v>
      </c>
      <c r="CZ36">
        <f>AE36</f>
        <v>952.38</v>
      </c>
      <c r="DA36">
        <f>AI36</f>
        <v>1</v>
      </c>
      <c r="DB36">
        <f t="shared" si="1"/>
        <v>952.38</v>
      </c>
      <c r="DC36">
        <f t="shared" si="2"/>
        <v>0</v>
      </c>
      <c r="DD36" t="s">
        <v>3</v>
      </c>
      <c r="DE36" t="s">
        <v>3</v>
      </c>
      <c r="DF36">
        <f t="shared" si="12"/>
        <v>6666.66</v>
      </c>
      <c r="DG36">
        <f t="shared" si="4"/>
        <v>0</v>
      </c>
      <c r="DH36">
        <f t="shared" si="5"/>
        <v>0</v>
      </c>
      <c r="DI36">
        <f t="shared" si="6"/>
        <v>0</v>
      </c>
      <c r="DJ36">
        <f>DF36</f>
        <v>6666.66</v>
      </c>
      <c r="DK36">
        <v>0</v>
      </c>
      <c r="DL36" t="s">
        <v>3</v>
      </c>
      <c r="DM36">
        <v>0</v>
      </c>
      <c r="DN36" t="s">
        <v>3</v>
      </c>
      <c r="DO36">
        <v>0</v>
      </c>
    </row>
    <row r="37" spans="1:119" x14ac:dyDescent="0.2">
      <c r="A37">
        <f>ROW(Source!A43)</f>
        <v>43</v>
      </c>
      <c r="B37">
        <v>92678453</v>
      </c>
      <c r="C37">
        <v>92678549</v>
      </c>
      <c r="D37">
        <v>91260231</v>
      </c>
      <c r="E37">
        <v>118</v>
      </c>
      <c r="F37">
        <v>1</v>
      </c>
      <c r="G37">
        <v>1</v>
      </c>
      <c r="H37">
        <v>1</v>
      </c>
      <c r="I37" t="s">
        <v>284</v>
      </c>
      <c r="J37" t="s">
        <v>3</v>
      </c>
      <c r="K37" t="s">
        <v>285</v>
      </c>
      <c r="L37">
        <v>1191</v>
      </c>
      <c r="N37">
        <v>1013</v>
      </c>
      <c r="O37" t="s">
        <v>216</v>
      </c>
      <c r="P37" t="s">
        <v>216</v>
      </c>
      <c r="Q37">
        <v>1</v>
      </c>
      <c r="W37">
        <v>0</v>
      </c>
      <c r="X37">
        <v>1958912953</v>
      </c>
      <c r="Y37">
        <f t="shared" si="0"/>
        <v>4.87</v>
      </c>
      <c r="AA37">
        <v>0</v>
      </c>
      <c r="AB37">
        <v>0</v>
      </c>
      <c r="AC37">
        <v>0</v>
      </c>
      <c r="AD37">
        <v>665.61</v>
      </c>
      <c r="AE37">
        <v>0</v>
      </c>
      <c r="AF37">
        <v>0</v>
      </c>
      <c r="AG37">
        <v>0</v>
      </c>
      <c r="AH37">
        <v>665.61</v>
      </c>
      <c r="AI37">
        <v>1</v>
      </c>
      <c r="AJ37">
        <v>1</v>
      </c>
      <c r="AK37">
        <v>1</v>
      </c>
      <c r="AL37">
        <v>1</v>
      </c>
      <c r="AM37">
        <v>-2</v>
      </c>
      <c r="AN37">
        <v>0</v>
      </c>
      <c r="AO37">
        <v>0</v>
      </c>
      <c r="AP37">
        <v>1</v>
      </c>
      <c r="AQ37">
        <v>1</v>
      </c>
      <c r="AR37">
        <v>0</v>
      </c>
      <c r="AS37" t="s">
        <v>3</v>
      </c>
      <c r="AT37">
        <v>4.87</v>
      </c>
      <c r="AU37" t="s">
        <v>3</v>
      </c>
      <c r="AV37">
        <v>1</v>
      </c>
      <c r="AW37">
        <v>2</v>
      </c>
      <c r="AX37">
        <v>92678553</v>
      </c>
      <c r="AY37">
        <v>1</v>
      </c>
      <c r="AZ37">
        <v>0</v>
      </c>
      <c r="BA37">
        <v>30</v>
      </c>
      <c r="BB37">
        <v>1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3241.5207</v>
      </c>
      <c r="BN37">
        <v>4.87</v>
      </c>
      <c r="BO37">
        <v>0</v>
      </c>
      <c r="BP37">
        <v>1</v>
      </c>
      <c r="BQ37">
        <v>0</v>
      </c>
      <c r="BR37">
        <v>0</v>
      </c>
      <c r="BS37">
        <v>0</v>
      </c>
      <c r="BT37">
        <v>3241.5207</v>
      </c>
      <c r="BU37">
        <v>4.87</v>
      </c>
      <c r="BV37">
        <v>0</v>
      </c>
      <c r="BW37">
        <v>1</v>
      </c>
      <c r="CU37">
        <f>ROUND(AT37*Source!I43*AH37*AL37,2)</f>
        <v>22690.639999999999</v>
      </c>
      <c r="CV37">
        <f>ROUND(Y37*Source!I43,7)</f>
        <v>34.090000000000003</v>
      </c>
      <c r="CW37">
        <v>0</v>
      </c>
      <c r="CX37">
        <f>ROUND(Y37*Source!I43,7)</f>
        <v>34.090000000000003</v>
      </c>
      <c r="CY37">
        <f>AD37</f>
        <v>665.61</v>
      </c>
      <c r="CZ37">
        <f>AH37</f>
        <v>665.61</v>
      </c>
      <c r="DA37">
        <f>AL37</f>
        <v>1</v>
      </c>
      <c r="DB37">
        <f t="shared" si="1"/>
        <v>3241.52</v>
      </c>
      <c r="DC37">
        <f t="shared" si="2"/>
        <v>0</v>
      </c>
      <c r="DD37" t="s">
        <v>3</v>
      </c>
      <c r="DE37" t="s">
        <v>3</v>
      </c>
      <c r="DF37">
        <f t="shared" si="12"/>
        <v>0</v>
      </c>
      <c r="DG37">
        <f t="shared" si="4"/>
        <v>0</v>
      </c>
      <c r="DH37">
        <f t="shared" si="5"/>
        <v>0</v>
      </c>
      <c r="DI37">
        <f t="shared" si="6"/>
        <v>22690.639999999999</v>
      </c>
      <c r="DJ37">
        <f>DI37</f>
        <v>22690.639999999999</v>
      </c>
      <c r="DK37">
        <v>1</v>
      </c>
      <c r="DL37" t="s">
        <v>3</v>
      </c>
      <c r="DM37">
        <v>0</v>
      </c>
      <c r="DN37" t="s">
        <v>3</v>
      </c>
      <c r="DO37">
        <v>0</v>
      </c>
    </row>
    <row r="38" spans="1:119" x14ac:dyDescent="0.2">
      <c r="A38">
        <f>ROW(Source!A43)</f>
        <v>43</v>
      </c>
      <c r="B38">
        <v>92678453</v>
      </c>
      <c r="C38">
        <v>92678549</v>
      </c>
      <c r="D38">
        <v>91266477</v>
      </c>
      <c r="E38">
        <v>118</v>
      </c>
      <c r="F38">
        <v>1</v>
      </c>
      <c r="G38">
        <v>1</v>
      </c>
      <c r="H38">
        <v>3</v>
      </c>
      <c r="I38" t="s">
        <v>25</v>
      </c>
      <c r="J38" t="s">
        <v>3</v>
      </c>
      <c r="K38" t="s">
        <v>26</v>
      </c>
      <c r="L38">
        <v>3277935</v>
      </c>
      <c r="N38">
        <v>1013</v>
      </c>
      <c r="O38" t="s">
        <v>27</v>
      </c>
      <c r="P38" t="s">
        <v>27</v>
      </c>
      <c r="Q38">
        <v>1</v>
      </c>
      <c r="W38">
        <v>0</v>
      </c>
      <c r="X38">
        <v>-152123987</v>
      </c>
      <c r="Y38">
        <f t="shared" si="0"/>
        <v>3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1</v>
      </c>
      <c r="AJ38">
        <v>1</v>
      </c>
      <c r="AK38">
        <v>1</v>
      </c>
      <c r="AL38">
        <v>1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 t="s">
        <v>3</v>
      </c>
      <c r="AT38">
        <v>3</v>
      </c>
      <c r="AU38" t="s">
        <v>3</v>
      </c>
      <c r="AV38">
        <v>0</v>
      </c>
      <c r="AW38">
        <v>2</v>
      </c>
      <c r="AX38">
        <v>92678554</v>
      </c>
      <c r="AY38">
        <v>1</v>
      </c>
      <c r="AZ38">
        <v>0</v>
      </c>
      <c r="BA38">
        <v>31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CV38">
        <v>0</v>
      </c>
      <c r="CW38">
        <v>0</v>
      </c>
      <c r="CX38">
        <f>ROUND(Y38*Source!I43,7)</f>
        <v>21</v>
      </c>
      <c r="CY38">
        <f>AA38</f>
        <v>0</v>
      </c>
      <c r="CZ38">
        <f>AE38</f>
        <v>0</v>
      </c>
      <c r="DA38">
        <f>AI38</f>
        <v>1</v>
      </c>
      <c r="DB38">
        <f t="shared" si="1"/>
        <v>0</v>
      </c>
      <c r="DC38">
        <f t="shared" si="2"/>
        <v>0</v>
      </c>
      <c r="DD38" t="s">
        <v>3</v>
      </c>
      <c r="DE38" t="s">
        <v>3</v>
      </c>
      <c r="DF38">
        <f t="shared" si="12"/>
        <v>0</v>
      </c>
      <c r="DG38">
        <f t="shared" si="4"/>
        <v>0</v>
      </c>
      <c r="DH38">
        <f t="shared" si="5"/>
        <v>0</v>
      </c>
      <c r="DI38">
        <f t="shared" si="6"/>
        <v>0</v>
      </c>
      <c r="DJ38">
        <f>DF38</f>
        <v>0</v>
      </c>
      <c r="DK38">
        <v>0</v>
      </c>
      <c r="DL38" t="s">
        <v>3</v>
      </c>
      <c r="DM38">
        <v>0</v>
      </c>
      <c r="DN38" t="s">
        <v>3</v>
      </c>
      <c r="DO38">
        <v>0</v>
      </c>
    </row>
    <row r="39" spans="1:119" x14ac:dyDescent="0.2">
      <c r="A39">
        <f>ROW(Source!A43)</f>
        <v>43</v>
      </c>
      <c r="B39">
        <v>92678453</v>
      </c>
      <c r="C39">
        <v>92678549</v>
      </c>
      <c r="D39">
        <v>0</v>
      </c>
      <c r="E39">
        <v>1</v>
      </c>
      <c r="F39">
        <v>1</v>
      </c>
      <c r="G39">
        <v>1</v>
      </c>
      <c r="H39">
        <v>3</v>
      </c>
      <c r="I39" t="s">
        <v>33</v>
      </c>
      <c r="J39" t="s">
        <v>3</v>
      </c>
      <c r="K39" t="s">
        <v>58</v>
      </c>
      <c r="L39">
        <v>1371</v>
      </c>
      <c r="N39">
        <v>1013</v>
      </c>
      <c r="O39" t="s">
        <v>18</v>
      </c>
      <c r="P39" t="s">
        <v>18</v>
      </c>
      <c r="Q39">
        <v>1</v>
      </c>
      <c r="W39">
        <v>0</v>
      </c>
      <c r="X39">
        <v>622975080</v>
      </c>
      <c r="Y39">
        <f t="shared" si="0"/>
        <v>1</v>
      </c>
      <c r="AA39">
        <v>6190.48</v>
      </c>
      <c r="AB39">
        <v>0</v>
      </c>
      <c r="AC39">
        <v>0</v>
      </c>
      <c r="AD39">
        <v>0</v>
      </c>
      <c r="AE39">
        <v>6190.48</v>
      </c>
      <c r="AF39">
        <v>0</v>
      </c>
      <c r="AG39">
        <v>0</v>
      </c>
      <c r="AH39">
        <v>0</v>
      </c>
      <c r="AI39">
        <v>1</v>
      </c>
      <c r="AJ39">
        <v>1</v>
      </c>
      <c r="AK39">
        <v>1</v>
      </c>
      <c r="AL39">
        <v>1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 t="s">
        <v>3</v>
      </c>
      <c r="AT39">
        <v>1</v>
      </c>
      <c r="AU39" t="s">
        <v>3</v>
      </c>
      <c r="AV39">
        <v>0</v>
      </c>
      <c r="AW39">
        <v>1</v>
      </c>
      <c r="AX39">
        <v>-1</v>
      </c>
      <c r="AY39">
        <v>0</v>
      </c>
      <c r="AZ39">
        <v>0</v>
      </c>
      <c r="BA39" t="s">
        <v>3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CV39">
        <v>0</v>
      </c>
      <c r="CW39">
        <v>0</v>
      </c>
      <c r="CX39">
        <f>ROUND(Y39*Source!I43,7)</f>
        <v>7</v>
      </c>
      <c r="CY39">
        <f>AA39</f>
        <v>6190.48</v>
      </c>
      <c r="CZ39">
        <f>AE39</f>
        <v>6190.48</v>
      </c>
      <c r="DA39">
        <f>AI39</f>
        <v>1</v>
      </c>
      <c r="DB39">
        <f t="shared" si="1"/>
        <v>6190.48</v>
      </c>
      <c r="DC39">
        <f t="shared" si="2"/>
        <v>0</v>
      </c>
      <c r="DD39" t="s">
        <v>3</v>
      </c>
      <c r="DE39" t="s">
        <v>3</v>
      </c>
      <c r="DF39">
        <f t="shared" si="12"/>
        <v>43333.36</v>
      </c>
      <c r="DG39">
        <f t="shared" si="4"/>
        <v>0</v>
      </c>
      <c r="DH39">
        <f t="shared" si="5"/>
        <v>0</v>
      </c>
      <c r="DI39">
        <f t="shared" si="6"/>
        <v>0</v>
      </c>
      <c r="DJ39">
        <f>DF39</f>
        <v>43333.36</v>
      </c>
      <c r="DK39">
        <v>0</v>
      </c>
      <c r="DL39" t="s">
        <v>3</v>
      </c>
      <c r="DM39">
        <v>0</v>
      </c>
      <c r="DN39" t="s">
        <v>3</v>
      </c>
      <c r="DO39">
        <v>0</v>
      </c>
    </row>
    <row r="40" spans="1:119" x14ac:dyDescent="0.2">
      <c r="A40">
        <f>ROW(Source!A43)</f>
        <v>43</v>
      </c>
      <c r="B40">
        <v>92678453</v>
      </c>
      <c r="C40">
        <v>92678549</v>
      </c>
      <c r="D40">
        <v>0</v>
      </c>
      <c r="E40">
        <v>1</v>
      </c>
      <c r="F40">
        <v>1</v>
      </c>
      <c r="G40">
        <v>1</v>
      </c>
      <c r="H40">
        <v>3</v>
      </c>
      <c r="I40" t="s">
        <v>33</v>
      </c>
      <c r="J40" t="s">
        <v>3</v>
      </c>
      <c r="K40" t="s">
        <v>60</v>
      </c>
      <c r="L40">
        <v>1371</v>
      </c>
      <c r="N40">
        <v>1013</v>
      </c>
      <c r="O40" t="s">
        <v>18</v>
      </c>
      <c r="P40" t="s">
        <v>18</v>
      </c>
      <c r="Q40">
        <v>1</v>
      </c>
      <c r="W40">
        <v>0</v>
      </c>
      <c r="X40">
        <v>1102328780</v>
      </c>
      <c r="Y40">
        <f t="shared" si="0"/>
        <v>1</v>
      </c>
      <c r="AA40">
        <v>952.38</v>
      </c>
      <c r="AB40">
        <v>0</v>
      </c>
      <c r="AC40">
        <v>0</v>
      </c>
      <c r="AD40">
        <v>0</v>
      </c>
      <c r="AE40">
        <v>952.38</v>
      </c>
      <c r="AF40">
        <v>0</v>
      </c>
      <c r="AG40">
        <v>0</v>
      </c>
      <c r="AH40">
        <v>0</v>
      </c>
      <c r="AI40">
        <v>1</v>
      </c>
      <c r="AJ40">
        <v>1</v>
      </c>
      <c r="AK40">
        <v>1</v>
      </c>
      <c r="AL40">
        <v>1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 t="s">
        <v>3</v>
      </c>
      <c r="AT40">
        <v>1</v>
      </c>
      <c r="AU40" t="s">
        <v>3</v>
      </c>
      <c r="AV40">
        <v>0</v>
      </c>
      <c r="AW40">
        <v>1</v>
      </c>
      <c r="AX40">
        <v>-1</v>
      </c>
      <c r="AY40">
        <v>0</v>
      </c>
      <c r="AZ40">
        <v>0</v>
      </c>
      <c r="BA40" t="s">
        <v>3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CV40">
        <v>0</v>
      </c>
      <c r="CW40">
        <v>0</v>
      </c>
      <c r="CX40">
        <f>ROUND(Y40*Source!I43,7)</f>
        <v>7</v>
      </c>
      <c r="CY40">
        <f>AA40</f>
        <v>952.38</v>
      </c>
      <c r="CZ40">
        <f>AE40</f>
        <v>952.38</v>
      </c>
      <c r="DA40">
        <f>AI40</f>
        <v>1</v>
      </c>
      <c r="DB40">
        <f t="shared" si="1"/>
        <v>952.38</v>
      </c>
      <c r="DC40">
        <f t="shared" si="2"/>
        <v>0</v>
      </c>
      <c r="DD40" t="s">
        <v>3</v>
      </c>
      <c r="DE40" t="s">
        <v>3</v>
      </c>
      <c r="DF40">
        <f t="shared" si="12"/>
        <v>6666.66</v>
      </c>
      <c r="DG40">
        <f t="shared" si="4"/>
        <v>0</v>
      </c>
      <c r="DH40">
        <f t="shared" si="5"/>
        <v>0</v>
      </c>
      <c r="DI40">
        <f t="shared" si="6"/>
        <v>0</v>
      </c>
      <c r="DJ40">
        <f>DF40</f>
        <v>6666.66</v>
      </c>
      <c r="DK40">
        <v>0</v>
      </c>
      <c r="DL40" t="s">
        <v>3</v>
      </c>
      <c r="DM40">
        <v>0</v>
      </c>
      <c r="DN40" t="s">
        <v>3</v>
      </c>
      <c r="DO40">
        <v>0</v>
      </c>
    </row>
    <row r="41" spans="1:119" x14ac:dyDescent="0.2">
      <c r="A41">
        <f>ROW(Source!A47)</f>
        <v>47</v>
      </c>
      <c r="B41">
        <v>92678453</v>
      </c>
      <c r="C41">
        <v>92678560</v>
      </c>
      <c r="D41">
        <v>91260233</v>
      </c>
      <c r="E41">
        <v>118</v>
      </c>
      <c r="F41">
        <v>1</v>
      </c>
      <c r="G41">
        <v>1</v>
      </c>
      <c r="H41">
        <v>1</v>
      </c>
      <c r="I41" t="s">
        <v>286</v>
      </c>
      <c r="J41" t="s">
        <v>3</v>
      </c>
      <c r="K41" t="s">
        <v>287</v>
      </c>
      <c r="L41">
        <v>1191</v>
      </c>
      <c r="N41">
        <v>1013</v>
      </c>
      <c r="O41" t="s">
        <v>216</v>
      </c>
      <c r="P41" t="s">
        <v>216</v>
      </c>
      <c r="Q41">
        <v>1</v>
      </c>
      <c r="W41">
        <v>0</v>
      </c>
      <c r="X41">
        <v>32079103</v>
      </c>
      <c r="Y41">
        <f t="shared" si="0"/>
        <v>5.86</v>
      </c>
      <c r="AA41">
        <v>0</v>
      </c>
      <c r="AB41">
        <v>0</v>
      </c>
      <c r="AC41">
        <v>0</v>
      </c>
      <c r="AD41">
        <v>673.79</v>
      </c>
      <c r="AE41">
        <v>0</v>
      </c>
      <c r="AF41">
        <v>0</v>
      </c>
      <c r="AG41">
        <v>0</v>
      </c>
      <c r="AH41">
        <v>673.79</v>
      </c>
      <c r="AI41">
        <v>1</v>
      </c>
      <c r="AJ41">
        <v>1</v>
      </c>
      <c r="AK41">
        <v>1</v>
      </c>
      <c r="AL41">
        <v>1</v>
      </c>
      <c r="AM41">
        <v>-2</v>
      </c>
      <c r="AN41">
        <v>0</v>
      </c>
      <c r="AO41">
        <v>0</v>
      </c>
      <c r="AP41">
        <v>0</v>
      </c>
      <c r="AQ41">
        <v>1</v>
      </c>
      <c r="AR41">
        <v>0</v>
      </c>
      <c r="AS41" t="s">
        <v>3</v>
      </c>
      <c r="AT41">
        <v>5.86</v>
      </c>
      <c r="AU41" t="s">
        <v>3</v>
      </c>
      <c r="AV41">
        <v>1</v>
      </c>
      <c r="AW41">
        <v>2</v>
      </c>
      <c r="AX41">
        <v>92678561</v>
      </c>
      <c r="AY41">
        <v>1</v>
      </c>
      <c r="AZ41">
        <v>0</v>
      </c>
      <c r="BA41">
        <v>32</v>
      </c>
      <c r="BB41">
        <v>1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3948.4094</v>
      </c>
      <c r="BN41">
        <v>5.86</v>
      </c>
      <c r="BO41">
        <v>0</v>
      </c>
      <c r="BP41">
        <v>1</v>
      </c>
      <c r="BQ41">
        <v>0</v>
      </c>
      <c r="BR41">
        <v>0</v>
      </c>
      <c r="BS41">
        <v>0</v>
      </c>
      <c r="BT41">
        <v>3948.4094</v>
      </c>
      <c r="BU41">
        <v>5.86</v>
      </c>
      <c r="BV41">
        <v>0</v>
      </c>
      <c r="BW41">
        <v>1</v>
      </c>
      <c r="CU41">
        <f>ROUND(AT41*Source!I47*AH41*AL41,2)</f>
        <v>0</v>
      </c>
      <c r="CV41">
        <f>ROUND(Y41*Source!I47,7)</f>
        <v>0</v>
      </c>
      <c r="CW41">
        <v>0</v>
      </c>
      <c r="CX41">
        <f>ROUND(Y41*Source!I47,7)</f>
        <v>0</v>
      </c>
      <c r="CY41">
        <f>AD41</f>
        <v>673.79</v>
      </c>
      <c r="CZ41">
        <f>AH41</f>
        <v>673.79</v>
      </c>
      <c r="DA41">
        <f>AL41</f>
        <v>1</v>
      </c>
      <c r="DB41">
        <f t="shared" si="1"/>
        <v>3948.41</v>
      </c>
      <c r="DC41">
        <f t="shared" si="2"/>
        <v>0</v>
      </c>
      <c r="DD41" t="s">
        <v>3</v>
      </c>
      <c r="DE41" t="s">
        <v>3</v>
      </c>
      <c r="DF41">
        <f t="shared" si="12"/>
        <v>0</v>
      </c>
      <c r="DG41">
        <f t="shared" si="4"/>
        <v>0</v>
      </c>
      <c r="DH41">
        <f t="shared" si="5"/>
        <v>0</v>
      </c>
      <c r="DI41">
        <f t="shared" si="6"/>
        <v>0</v>
      </c>
      <c r="DJ41">
        <f>DI41</f>
        <v>0</v>
      </c>
      <c r="DK41">
        <v>1</v>
      </c>
      <c r="DL41" t="s">
        <v>3</v>
      </c>
      <c r="DM41">
        <v>0</v>
      </c>
      <c r="DN41" t="s">
        <v>3</v>
      </c>
      <c r="DO41">
        <v>0</v>
      </c>
    </row>
    <row r="42" spans="1:119" x14ac:dyDescent="0.2">
      <c r="A42">
        <f>ROW(Source!A47)</f>
        <v>47</v>
      </c>
      <c r="B42">
        <v>92678453</v>
      </c>
      <c r="C42">
        <v>92678560</v>
      </c>
      <c r="D42">
        <v>91266477</v>
      </c>
      <c r="E42">
        <v>118</v>
      </c>
      <c r="F42">
        <v>1</v>
      </c>
      <c r="G42">
        <v>1</v>
      </c>
      <c r="H42">
        <v>3</v>
      </c>
      <c r="I42" t="s">
        <v>25</v>
      </c>
      <c r="J42" t="s">
        <v>3</v>
      </c>
      <c r="K42" t="s">
        <v>26</v>
      </c>
      <c r="L42">
        <v>3277935</v>
      </c>
      <c r="N42">
        <v>1013</v>
      </c>
      <c r="O42" t="s">
        <v>27</v>
      </c>
      <c r="P42" t="s">
        <v>27</v>
      </c>
      <c r="Q42">
        <v>1</v>
      </c>
      <c r="W42">
        <v>0</v>
      </c>
      <c r="X42">
        <v>-152123987</v>
      </c>
      <c r="Y42">
        <f t="shared" si="0"/>
        <v>3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1</v>
      </c>
      <c r="AJ42">
        <v>1</v>
      </c>
      <c r="AK42">
        <v>1</v>
      </c>
      <c r="AL42">
        <v>1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 t="s">
        <v>3</v>
      </c>
      <c r="AT42">
        <v>3</v>
      </c>
      <c r="AU42" t="s">
        <v>3</v>
      </c>
      <c r="AV42">
        <v>0</v>
      </c>
      <c r="AW42">
        <v>2</v>
      </c>
      <c r="AX42">
        <v>92678562</v>
      </c>
      <c r="AY42">
        <v>1</v>
      </c>
      <c r="AZ42">
        <v>0</v>
      </c>
      <c r="BA42">
        <v>33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CV42">
        <v>0</v>
      </c>
      <c r="CW42">
        <v>0</v>
      </c>
      <c r="CX42">
        <f>ROUND(Y42*Source!I47,7)</f>
        <v>0</v>
      </c>
      <c r="CY42">
        <f>AA42</f>
        <v>0</v>
      </c>
      <c r="CZ42">
        <f>AE42</f>
        <v>0</v>
      </c>
      <c r="DA42">
        <f>AI42</f>
        <v>1</v>
      </c>
      <c r="DB42">
        <f t="shared" si="1"/>
        <v>0</v>
      </c>
      <c r="DC42">
        <f t="shared" si="2"/>
        <v>0</v>
      </c>
      <c r="DD42" t="s">
        <v>3</v>
      </c>
      <c r="DE42" t="s">
        <v>3</v>
      </c>
      <c r="DF42">
        <f t="shared" si="12"/>
        <v>0</v>
      </c>
      <c r="DG42">
        <f t="shared" si="4"/>
        <v>0</v>
      </c>
      <c r="DH42">
        <f t="shared" si="5"/>
        <v>0</v>
      </c>
      <c r="DI42">
        <f t="shared" si="6"/>
        <v>0</v>
      </c>
      <c r="DJ42">
        <f>DF42</f>
        <v>0</v>
      </c>
      <c r="DK42">
        <v>0</v>
      </c>
      <c r="DL42" t="s">
        <v>3</v>
      </c>
      <c r="DM42">
        <v>0</v>
      </c>
      <c r="DN42" t="s">
        <v>3</v>
      </c>
      <c r="DO42">
        <v>0</v>
      </c>
    </row>
    <row r="43" spans="1:119" x14ac:dyDescent="0.2">
      <c r="A43">
        <f>ROW(Source!A49)</f>
        <v>49</v>
      </c>
      <c r="B43">
        <v>92678453</v>
      </c>
      <c r="C43">
        <v>92678469</v>
      </c>
      <c r="D43">
        <v>91260233</v>
      </c>
      <c r="E43">
        <v>118</v>
      </c>
      <c r="F43">
        <v>1</v>
      </c>
      <c r="G43">
        <v>1</v>
      </c>
      <c r="H43">
        <v>1</v>
      </c>
      <c r="I43" t="s">
        <v>286</v>
      </c>
      <c r="J43" t="s">
        <v>3</v>
      </c>
      <c r="K43" t="s">
        <v>287</v>
      </c>
      <c r="L43">
        <v>1191</v>
      </c>
      <c r="N43">
        <v>1013</v>
      </c>
      <c r="O43" t="s">
        <v>216</v>
      </c>
      <c r="P43" t="s">
        <v>216</v>
      </c>
      <c r="Q43">
        <v>1</v>
      </c>
      <c r="W43">
        <v>0</v>
      </c>
      <c r="X43">
        <v>32079103</v>
      </c>
      <c r="Y43">
        <f t="shared" si="0"/>
        <v>5.21</v>
      </c>
      <c r="AA43">
        <v>0</v>
      </c>
      <c r="AB43">
        <v>0</v>
      </c>
      <c r="AC43">
        <v>0</v>
      </c>
      <c r="AD43">
        <v>673.79</v>
      </c>
      <c r="AE43">
        <v>0</v>
      </c>
      <c r="AF43">
        <v>0</v>
      </c>
      <c r="AG43">
        <v>0</v>
      </c>
      <c r="AH43">
        <v>673.79</v>
      </c>
      <c r="AI43">
        <v>1</v>
      </c>
      <c r="AJ43">
        <v>1</v>
      </c>
      <c r="AK43">
        <v>1</v>
      </c>
      <c r="AL43">
        <v>1</v>
      </c>
      <c r="AM43">
        <v>-2</v>
      </c>
      <c r="AN43">
        <v>0</v>
      </c>
      <c r="AO43">
        <v>0</v>
      </c>
      <c r="AP43">
        <v>0</v>
      </c>
      <c r="AQ43">
        <v>1</v>
      </c>
      <c r="AR43">
        <v>0</v>
      </c>
      <c r="AS43" t="s">
        <v>3</v>
      </c>
      <c r="AT43">
        <v>5.21</v>
      </c>
      <c r="AU43" t="s">
        <v>3</v>
      </c>
      <c r="AV43">
        <v>1</v>
      </c>
      <c r="AW43">
        <v>2</v>
      </c>
      <c r="AX43">
        <v>92678470</v>
      </c>
      <c r="AY43">
        <v>1</v>
      </c>
      <c r="AZ43">
        <v>0</v>
      </c>
      <c r="BA43">
        <v>34</v>
      </c>
      <c r="BB43">
        <v>1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3510.4458999999997</v>
      </c>
      <c r="BN43">
        <v>5.21</v>
      </c>
      <c r="BO43">
        <v>0</v>
      </c>
      <c r="BP43">
        <v>1</v>
      </c>
      <c r="BQ43">
        <v>0</v>
      </c>
      <c r="BR43">
        <v>0</v>
      </c>
      <c r="BS43">
        <v>0</v>
      </c>
      <c r="BT43">
        <v>3510.4458999999997</v>
      </c>
      <c r="BU43">
        <v>5.21</v>
      </c>
      <c r="BV43">
        <v>0</v>
      </c>
      <c r="BW43">
        <v>1</v>
      </c>
      <c r="CU43">
        <f>ROUND(AT43*Source!I49*AH43*AL43,2)</f>
        <v>0</v>
      </c>
      <c r="CV43">
        <f>ROUND(Y43*Source!I49,7)</f>
        <v>0</v>
      </c>
      <c r="CW43">
        <v>0</v>
      </c>
      <c r="CX43">
        <f>ROUND(Y43*Source!I49,7)</f>
        <v>0</v>
      </c>
      <c r="CY43">
        <f>AD43</f>
        <v>673.79</v>
      </c>
      <c r="CZ43">
        <f>AH43</f>
        <v>673.79</v>
      </c>
      <c r="DA43">
        <f>AL43</f>
        <v>1</v>
      </c>
      <c r="DB43">
        <f t="shared" si="1"/>
        <v>3510.45</v>
      </c>
      <c r="DC43">
        <f t="shared" si="2"/>
        <v>0</v>
      </c>
      <c r="DD43" t="s">
        <v>3</v>
      </c>
      <c r="DE43" t="s">
        <v>3</v>
      </c>
      <c r="DF43">
        <f t="shared" si="12"/>
        <v>0</v>
      </c>
      <c r="DG43">
        <f t="shared" si="4"/>
        <v>0</v>
      </c>
      <c r="DH43">
        <f t="shared" si="5"/>
        <v>0</v>
      </c>
      <c r="DI43">
        <f t="shared" si="6"/>
        <v>0</v>
      </c>
      <c r="DJ43">
        <f>DI43</f>
        <v>0</v>
      </c>
      <c r="DK43">
        <v>1</v>
      </c>
      <c r="DL43" t="s">
        <v>3</v>
      </c>
      <c r="DM43">
        <v>0</v>
      </c>
      <c r="DN43" t="s">
        <v>3</v>
      </c>
      <c r="DO43">
        <v>0</v>
      </c>
    </row>
    <row r="44" spans="1:119" x14ac:dyDescent="0.2">
      <c r="A44">
        <f>ROW(Source!A49)</f>
        <v>49</v>
      </c>
      <c r="B44">
        <v>92678453</v>
      </c>
      <c r="C44">
        <v>92678469</v>
      </c>
      <c r="D44">
        <v>91266477</v>
      </c>
      <c r="E44">
        <v>118</v>
      </c>
      <c r="F44">
        <v>1</v>
      </c>
      <c r="G44">
        <v>1</v>
      </c>
      <c r="H44">
        <v>3</v>
      </c>
      <c r="I44" t="s">
        <v>25</v>
      </c>
      <c r="J44" t="s">
        <v>3</v>
      </c>
      <c r="K44" t="s">
        <v>26</v>
      </c>
      <c r="L44">
        <v>3277935</v>
      </c>
      <c r="N44">
        <v>1013</v>
      </c>
      <c r="O44" t="s">
        <v>27</v>
      </c>
      <c r="P44" t="s">
        <v>27</v>
      </c>
      <c r="Q44">
        <v>1</v>
      </c>
      <c r="W44">
        <v>0</v>
      </c>
      <c r="X44">
        <v>-152123987</v>
      </c>
      <c r="Y44">
        <f t="shared" si="0"/>
        <v>3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1</v>
      </c>
      <c r="AJ44">
        <v>1</v>
      </c>
      <c r="AK44">
        <v>1</v>
      </c>
      <c r="AL44">
        <v>1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 t="s">
        <v>3</v>
      </c>
      <c r="AT44">
        <v>3</v>
      </c>
      <c r="AU44" t="s">
        <v>3</v>
      </c>
      <c r="AV44">
        <v>0</v>
      </c>
      <c r="AW44">
        <v>2</v>
      </c>
      <c r="AX44">
        <v>92678471</v>
      </c>
      <c r="AY44">
        <v>1</v>
      </c>
      <c r="AZ44">
        <v>0</v>
      </c>
      <c r="BA44">
        <v>35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CV44">
        <v>0</v>
      </c>
      <c r="CW44">
        <v>0</v>
      </c>
      <c r="CX44">
        <f>ROUND(Y44*Source!I49,7)</f>
        <v>0</v>
      </c>
      <c r="CY44">
        <f>AA44</f>
        <v>0</v>
      </c>
      <c r="CZ44">
        <f>AE44</f>
        <v>0</v>
      </c>
      <c r="DA44">
        <f>AI44</f>
        <v>1</v>
      </c>
      <c r="DB44">
        <f t="shared" si="1"/>
        <v>0</v>
      </c>
      <c r="DC44">
        <f t="shared" si="2"/>
        <v>0</v>
      </c>
      <c r="DD44" t="s">
        <v>3</v>
      </c>
      <c r="DE44" t="s">
        <v>3</v>
      </c>
      <c r="DF44">
        <f t="shared" si="12"/>
        <v>0</v>
      </c>
      <c r="DG44">
        <f t="shared" si="4"/>
        <v>0</v>
      </c>
      <c r="DH44">
        <f t="shared" si="5"/>
        <v>0</v>
      </c>
      <c r="DI44">
        <f t="shared" si="6"/>
        <v>0</v>
      </c>
      <c r="DJ44">
        <f>DF44</f>
        <v>0</v>
      </c>
      <c r="DK44">
        <v>0</v>
      </c>
      <c r="DL44" t="s">
        <v>3</v>
      </c>
      <c r="DM44">
        <v>0</v>
      </c>
      <c r="DN44" t="s">
        <v>3</v>
      </c>
      <c r="DO44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R35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44" x14ac:dyDescent="0.2">
      <c r="A1">
        <f>ROW(Source!A24)</f>
        <v>24</v>
      </c>
      <c r="B1">
        <v>92678484</v>
      </c>
      <c r="C1">
        <v>92678481</v>
      </c>
      <c r="D1">
        <v>37072767</v>
      </c>
      <c r="E1">
        <v>118</v>
      </c>
      <c r="F1">
        <v>1</v>
      </c>
      <c r="G1">
        <v>1</v>
      </c>
      <c r="H1">
        <v>1</v>
      </c>
      <c r="I1" t="s">
        <v>214</v>
      </c>
      <c r="J1" t="s">
        <v>3</v>
      </c>
      <c r="K1" t="s">
        <v>215</v>
      </c>
      <c r="L1">
        <v>1191</v>
      </c>
      <c r="N1">
        <v>1013</v>
      </c>
      <c r="O1" t="s">
        <v>216</v>
      </c>
      <c r="P1" t="s">
        <v>216</v>
      </c>
      <c r="Q1">
        <v>1</v>
      </c>
      <c r="X1">
        <v>7.94</v>
      </c>
      <c r="Y1">
        <v>0</v>
      </c>
      <c r="Z1">
        <v>0</v>
      </c>
      <c r="AA1">
        <v>0</v>
      </c>
      <c r="AB1">
        <v>698.34</v>
      </c>
      <c r="AC1">
        <v>0</v>
      </c>
      <c r="AD1">
        <v>1</v>
      </c>
      <c r="AE1">
        <v>1</v>
      </c>
      <c r="AF1" t="s">
        <v>3</v>
      </c>
      <c r="AG1">
        <v>7.94</v>
      </c>
      <c r="AH1">
        <v>2</v>
      </c>
      <c r="AI1">
        <v>92678482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 x14ac:dyDescent="0.2">
      <c r="A2">
        <f>ROW(Source!A24)</f>
        <v>24</v>
      </c>
      <c r="B2">
        <v>92678485</v>
      </c>
      <c r="C2">
        <v>92678481</v>
      </c>
      <c r="D2">
        <v>91266477</v>
      </c>
      <c r="E2">
        <v>118</v>
      </c>
      <c r="F2">
        <v>1</v>
      </c>
      <c r="G2">
        <v>1</v>
      </c>
      <c r="H2">
        <v>3</v>
      </c>
      <c r="I2" t="s">
        <v>25</v>
      </c>
      <c r="J2" t="s">
        <v>3</v>
      </c>
      <c r="K2" t="s">
        <v>26</v>
      </c>
      <c r="L2">
        <v>3277935</v>
      </c>
      <c r="N2">
        <v>1013</v>
      </c>
      <c r="O2" t="s">
        <v>27</v>
      </c>
      <c r="P2" t="s">
        <v>27</v>
      </c>
      <c r="Q2">
        <v>1</v>
      </c>
      <c r="X2">
        <v>3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 t="s">
        <v>3</v>
      </c>
      <c r="AG2">
        <v>3</v>
      </c>
      <c r="AH2">
        <v>2</v>
      </c>
      <c r="AI2">
        <v>92678483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 x14ac:dyDescent="0.2">
      <c r="A3">
        <f>ROW(Source!A26)</f>
        <v>26</v>
      </c>
      <c r="B3">
        <v>92678544</v>
      </c>
      <c r="C3">
        <v>92678541</v>
      </c>
      <c r="D3">
        <v>37082223</v>
      </c>
      <c r="E3">
        <v>118</v>
      </c>
      <c r="F3">
        <v>1</v>
      </c>
      <c r="G3">
        <v>1</v>
      </c>
      <c r="H3">
        <v>1</v>
      </c>
      <c r="I3" t="s">
        <v>217</v>
      </c>
      <c r="J3" t="s">
        <v>3</v>
      </c>
      <c r="K3" t="s">
        <v>218</v>
      </c>
      <c r="L3">
        <v>1191</v>
      </c>
      <c r="N3">
        <v>1013</v>
      </c>
      <c r="O3" t="s">
        <v>216</v>
      </c>
      <c r="P3" t="s">
        <v>216</v>
      </c>
      <c r="Q3">
        <v>1</v>
      </c>
      <c r="X3">
        <v>33.33</v>
      </c>
      <c r="Y3">
        <v>0</v>
      </c>
      <c r="Z3">
        <v>0</v>
      </c>
      <c r="AA3">
        <v>0</v>
      </c>
      <c r="AB3">
        <v>741.99</v>
      </c>
      <c r="AC3">
        <v>0</v>
      </c>
      <c r="AD3">
        <v>1</v>
      </c>
      <c r="AE3">
        <v>1</v>
      </c>
      <c r="AF3" t="s">
        <v>3</v>
      </c>
      <c r="AG3">
        <v>33.33</v>
      </c>
      <c r="AH3">
        <v>2</v>
      </c>
      <c r="AI3">
        <v>92678542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 x14ac:dyDescent="0.2">
      <c r="A4">
        <f>ROW(Source!A26)</f>
        <v>26</v>
      </c>
      <c r="B4">
        <v>92678545</v>
      </c>
      <c r="C4">
        <v>92678541</v>
      </c>
      <c r="D4">
        <v>91266477</v>
      </c>
      <c r="E4">
        <v>118</v>
      </c>
      <c r="F4">
        <v>1</v>
      </c>
      <c r="G4">
        <v>1</v>
      </c>
      <c r="H4">
        <v>3</v>
      </c>
      <c r="I4" t="s">
        <v>25</v>
      </c>
      <c r="J4" t="s">
        <v>3</v>
      </c>
      <c r="K4" t="s">
        <v>26</v>
      </c>
      <c r="L4">
        <v>3277935</v>
      </c>
      <c r="N4">
        <v>1013</v>
      </c>
      <c r="O4" t="s">
        <v>27</v>
      </c>
      <c r="P4" t="s">
        <v>27</v>
      </c>
      <c r="Q4">
        <v>1</v>
      </c>
      <c r="X4">
        <v>3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 t="s">
        <v>3</v>
      </c>
      <c r="AG4">
        <v>3</v>
      </c>
      <c r="AH4">
        <v>2</v>
      </c>
      <c r="AI4">
        <v>92678543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 x14ac:dyDescent="0.2">
      <c r="A5">
        <f>ROW(Source!A29)</f>
        <v>29</v>
      </c>
      <c r="B5">
        <v>92678466</v>
      </c>
      <c r="C5">
        <v>92678465</v>
      </c>
      <c r="D5">
        <v>91260259</v>
      </c>
      <c r="E5">
        <v>118</v>
      </c>
      <c r="F5">
        <v>1</v>
      </c>
      <c r="G5">
        <v>1</v>
      </c>
      <c r="H5">
        <v>1</v>
      </c>
      <c r="I5" t="s">
        <v>219</v>
      </c>
      <c r="J5" t="s">
        <v>3</v>
      </c>
      <c r="K5" t="s">
        <v>220</v>
      </c>
      <c r="L5">
        <v>1191</v>
      </c>
      <c r="N5">
        <v>1013</v>
      </c>
      <c r="O5" t="s">
        <v>216</v>
      </c>
      <c r="P5" t="s">
        <v>216</v>
      </c>
      <c r="Q5">
        <v>1</v>
      </c>
      <c r="X5">
        <v>9.66</v>
      </c>
      <c r="Y5">
        <v>0</v>
      </c>
      <c r="Z5">
        <v>0</v>
      </c>
      <c r="AA5">
        <v>0</v>
      </c>
      <c r="AB5">
        <v>763.81</v>
      </c>
      <c r="AC5">
        <v>0</v>
      </c>
      <c r="AD5">
        <v>1</v>
      </c>
      <c r="AE5">
        <v>1</v>
      </c>
      <c r="AF5" t="s">
        <v>3</v>
      </c>
      <c r="AG5">
        <v>9.66</v>
      </c>
      <c r="AH5">
        <v>2</v>
      </c>
      <c r="AI5">
        <v>92678466</v>
      </c>
      <c r="AJ5">
        <v>6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 x14ac:dyDescent="0.2">
      <c r="A6">
        <f>ROW(Source!A29)</f>
        <v>29</v>
      </c>
      <c r="B6">
        <v>92678467</v>
      </c>
      <c r="C6">
        <v>92678465</v>
      </c>
      <c r="D6">
        <v>91266477</v>
      </c>
      <c r="E6">
        <v>118</v>
      </c>
      <c r="F6">
        <v>1</v>
      </c>
      <c r="G6">
        <v>1</v>
      </c>
      <c r="H6">
        <v>3</v>
      </c>
      <c r="I6" t="s">
        <v>25</v>
      </c>
      <c r="J6" t="s">
        <v>3</v>
      </c>
      <c r="K6" t="s">
        <v>26</v>
      </c>
      <c r="L6">
        <v>3277935</v>
      </c>
      <c r="N6">
        <v>1013</v>
      </c>
      <c r="O6" t="s">
        <v>27</v>
      </c>
      <c r="P6" t="s">
        <v>27</v>
      </c>
      <c r="Q6">
        <v>1</v>
      </c>
      <c r="X6">
        <v>3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 t="s">
        <v>3</v>
      </c>
      <c r="AG6">
        <v>3</v>
      </c>
      <c r="AH6">
        <v>2</v>
      </c>
      <c r="AI6">
        <v>92678467</v>
      </c>
      <c r="AJ6">
        <v>7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 x14ac:dyDescent="0.2">
      <c r="A7">
        <f>ROW(Source!A32)</f>
        <v>32</v>
      </c>
      <c r="B7">
        <v>92678488</v>
      </c>
      <c r="C7">
        <v>92678487</v>
      </c>
      <c r="D7">
        <v>91260245</v>
      </c>
      <c r="E7">
        <v>118</v>
      </c>
      <c r="F7">
        <v>1</v>
      </c>
      <c r="G7">
        <v>1</v>
      </c>
      <c r="H7">
        <v>1</v>
      </c>
      <c r="I7" t="s">
        <v>221</v>
      </c>
      <c r="J7" t="s">
        <v>3</v>
      </c>
      <c r="K7" t="s">
        <v>222</v>
      </c>
      <c r="L7">
        <v>1191</v>
      </c>
      <c r="N7">
        <v>1013</v>
      </c>
      <c r="O7" t="s">
        <v>216</v>
      </c>
      <c r="P7" t="s">
        <v>216</v>
      </c>
      <c r="Q7">
        <v>1</v>
      </c>
      <c r="X7">
        <v>29.5</v>
      </c>
      <c r="Y7">
        <v>0</v>
      </c>
      <c r="Z7">
        <v>0</v>
      </c>
      <c r="AA7">
        <v>0</v>
      </c>
      <c r="AB7">
        <v>722.89</v>
      </c>
      <c r="AC7">
        <v>0</v>
      </c>
      <c r="AD7">
        <v>1</v>
      </c>
      <c r="AE7">
        <v>1</v>
      </c>
      <c r="AF7" t="s">
        <v>3</v>
      </c>
      <c r="AG7">
        <v>29.5</v>
      </c>
      <c r="AH7">
        <v>2</v>
      </c>
      <c r="AI7">
        <v>92678488</v>
      </c>
      <c r="AJ7">
        <v>9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 x14ac:dyDescent="0.2">
      <c r="A8">
        <f>ROW(Source!A32)</f>
        <v>32</v>
      </c>
      <c r="B8">
        <v>92678489</v>
      </c>
      <c r="C8">
        <v>92678487</v>
      </c>
      <c r="D8">
        <v>91266477</v>
      </c>
      <c r="E8">
        <v>118</v>
      </c>
      <c r="F8">
        <v>1</v>
      </c>
      <c r="G8">
        <v>1</v>
      </c>
      <c r="H8">
        <v>3</v>
      </c>
      <c r="I8" t="s">
        <v>25</v>
      </c>
      <c r="J8" t="s">
        <v>3</v>
      </c>
      <c r="K8" t="s">
        <v>26</v>
      </c>
      <c r="L8">
        <v>3277935</v>
      </c>
      <c r="N8">
        <v>1013</v>
      </c>
      <c r="O8" t="s">
        <v>27</v>
      </c>
      <c r="P8" t="s">
        <v>27</v>
      </c>
      <c r="Q8">
        <v>1</v>
      </c>
      <c r="X8">
        <v>3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 t="s">
        <v>3</v>
      </c>
      <c r="AG8">
        <v>3</v>
      </c>
      <c r="AH8">
        <v>2</v>
      </c>
      <c r="AI8">
        <v>92678489</v>
      </c>
      <c r="AJ8">
        <v>10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 x14ac:dyDescent="0.2">
      <c r="A9">
        <f>ROW(Source!A35)</f>
        <v>35</v>
      </c>
      <c r="B9">
        <v>92678508</v>
      </c>
      <c r="C9">
        <v>92678507</v>
      </c>
      <c r="D9">
        <v>91260241</v>
      </c>
      <c r="E9">
        <v>118</v>
      </c>
      <c r="F9">
        <v>1</v>
      </c>
      <c r="G9">
        <v>1</v>
      </c>
      <c r="H9">
        <v>1</v>
      </c>
      <c r="I9" t="s">
        <v>223</v>
      </c>
      <c r="J9" t="s">
        <v>3</v>
      </c>
      <c r="K9" t="s">
        <v>224</v>
      </c>
      <c r="L9">
        <v>1191</v>
      </c>
      <c r="N9">
        <v>1013</v>
      </c>
      <c r="O9" t="s">
        <v>216</v>
      </c>
      <c r="P9" t="s">
        <v>216</v>
      </c>
      <c r="Q9">
        <v>1</v>
      </c>
      <c r="X9">
        <v>2.36</v>
      </c>
      <c r="Y9">
        <v>0</v>
      </c>
      <c r="Z9">
        <v>0</v>
      </c>
      <c r="AA9">
        <v>0</v>
      </c>
      <c r="AB9">
        <v>706.53</v>
      </c>
      <c r="AC9">
        <v>0</v>
      </c>
      <c r="AD9">
        <v>1</v>
      </c>
      <c r="AE9">
        <v>1</v>
      </c>
      <c r="AF9" t="s">
        <v>3</v>
      </c>
      <c r="AG9">
        <v>2.36</v>
      </c>
      <c r="AH9">
        <v>2</v>
      </c>
      <c r="AI9">
        <v>92678508</v>
      </c>
      <c r="AJ9">
        <v>12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 x14ac:dyDescent="0.2">
      <c r="A10">
        <f>ROW(Source!A35)</f>
        <v>35</v>
      </c>
      <c r="B10">
        <v>92678509</v>
      </c>
      <c r="C10">
        <v>92678507</v>
      </c>
      <c r="D10">
        <v>91260426</v>
      </c>
      <c r="E10">
        <v>118</v>
      </c>
      <c r="F10">
        <v>1</v>
      </c>
      <c r="G10">
        <v>1</v>
      </c>
      <c r="H10">
        <v>1</v>
      </c>
      <c r="I10" t="s">
        <v>225</v>
      </c>
      <c r="J10" t="s">
        <v>3</v>
      </c>
      <c r="K10" t="s">
        <v>226</v>
      </c>
      <c r="L10">
        <v>1191</v>
      </c>
      <c r="N10">
        <v>1013</v>
      </c>
      <c r="O10" t="s">
        <v>216</v>
      </c>
      <c r="P10" t="s">
        <v>216</v>
      </c>
      <c r="Q10">
        <v>1</v>
      </c>
      <c r="X10">
        <v>0.02</v>
      </c>
      <c r="Y10">
        <v>0</v>
      </c>
      <c r="Z10">
        <v>0</v>
      </c>
      <c r="AA10">
        <v>0</v>
      </c>
      <c r="AB10">
        <v>0</v>
      </c>
      <c r="AC10">
        <v>0</v>
      </c>
      <c r="AD10">
        <v>1</v>
      </c>
      <c r="AE10">
        <v>2</v>
      </c>
      <c r="AF10" t="s">
        <v>3</v>
      </c>
      <c r="AG10">
        <v>0.02</v>
      </c>
      <c r="AH10">
        <v>2</v>
      </c>
      <c r="AI10">
        <v>92678509</v>
      </c>
      <c r="AJ10">
        <v>13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 x14ac:dyDescent="0.2">
      <c r="A11">
        <f>ROW(Source!A35)</f>
        <v>35</v>
      </c>
      <c r="B11">
        <v>92678510</v>
      </c>
      <c r="C11">
        <v>92678507</v>
      </c>
      <c r="D11">
        <v>91386879</v>
      </c>
      <c r="E11">
        <v>1</v>
      </c>
      <c r="F11">
        <v>1</v>
      </c>
      <c r="G11">
        <v>1</v>
      </c>
      <c r="H11">
        <v>2</v>
      </c>
      <c r="I11" t="s">
        <v>227</v>
      </c>
      <c r="J11" t="s">
        <v>228</v>
      </c>
      <c r="K11" t="s">
        <v>229</v>
      </c>
      <c r="L11">
        <v>1368</v>
      </c>
      <c r="N11">
        <v>1011</v>
      </c>
      <c r="O11" t="s">
        <v>230</v>
      </c>
      <c r="P11" t="s">
        <v>230</v>
      </c>
      <c r="Q11">
        <v>1</v>
      </c>
      <c r="X11">
        <v>0.01</v>
      </c>
      <c r="Y11">
        <v>0</v>
      </c>
      <c r="Z11">
        <v>1585.56</v>
      </c>
      <c r="AA11">
        <v>982.04</v>
      </c>
      <c r="AB11">
        <v>0</v>
      </c>
      <c r="AC11">
        <v>0</v>
      </c>
      <c r="AD11">
        <v>1</v>
      </c>
      <c r="AE11">
        <v>0</v>
      </c>
      <c r="AF11" t="s">
        <v>3</v>
      </c>
      <c r="AG11">
        <v>0.01</v>
      </c>
      <c r="AH11">
        <v>2</v>
      </c>
      <c r="AI11">
        <v>92678510</v>
      </c>
      <c r="AJ11">
        <v>14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 x14ac:dyDescent="0.2">
      <c r="A12">
        <f>ROW(Source!A35)</f>
        <v>35</v>
      </c>
      <c r="B12">
        <v>92678511</v>
      </c>
      <c r="C12">
        <v>92678507</v>
      </c>
      <c r="D12">
        <v>91387781</v>
      </c>
      <c r="E12">
        <v>1</v>
      </c>
      <c r="F12">
        <v>1</v>
      </c>
      <c r="G12">
        <v>1</v>
      </c>
      <c r="H12">
        <v>2</v>
      </c>
      <c r="I12" t="s">
        <v>232</v>
      </c>
      <c r="J12" t="s">
        <v>233</v>
      </c>
      <c r="K12" t="s">
        <v>234</v>
      </c>
      <c r="L12">
        <v>1368</v>
      </c>
      <c r="N12">
        <v>1011</v>
      </c>
      <c r="O12" t="s">
        <v>230</v>
      </c>
      <c r="P12" t="s">
        <v>230</v>
      </c>
      <c r="Q12">
        <v>1</v>
      </c>
      <c r="X12">
        <v>0.01</v>
      </c>
      <c r="Y12">
        <v>0</v>
      </c>
      <c r="Z12">
        <v>544.91999999999996</v>
      </c>
      <c r="AA12">
        <v>731.08</v>
      </c>
      <c r="AB12">
        <v>0</v>
      </c>
      <c r="AC12">
        <v>0</v>
      </c>
      <c r="AD12">
        <v>1</v>
      </c>
      <c r="AE12">
        <v>0</v>
      </c>
      <c r="AF12" t="s">
        <v>3</v>
      </c>
      <c r="AG12">
        <v>0.01</v>
      </c>
      <c r="AH12">
        <v>2</v>
      </c>
      <c r="AI12">
        <v>92678511</v>
      </c>
      <c r="AJ12">
        <v>15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 x14ac:dyDescent="0.2">
      <c r="A13">
        <f>ROW(Source!A35)</f>
        <v>35</v>
      </c>
      <c r="B13">
        <v>92678512</v>
      </c>
      <c r="C13">
        <v>92678507</v>
      </c>
      <c r="D13">
        <v>91387978</v>
      </c>
      <c r="E13">
        <v>1</v>
      </c>
      <c r="F13">
        <v>1</v>
      </c>
      <c r="G13">
        <v>1</v>
      </c>
      <c r="H13">
        <v>2</v>
      </c>
      <c r="I13" t="s">
        <v>236</v>
      </c>
      <c r="J13" t="s">
        <v>237</v>
      </c>
      <c r="K13" t="s">
        <v>238</v>
      </c>
      <c r="L13">
        <v>1368</v>
      </c>
      <c r="N13">
        <v>1011</v>
      </c>
      <c r="O13" t="s">
        <v>230</v>
      </c>
      <c r="P13" t="s">
        <v>230</v>
      </c>
      <c r="Q13">
        <v>1</v>
      </c>
      <c r="X13">
        <v>0.1</v>
      </c>
      <c r="Y13">
        <v>0</v>
      </c>
      <c r="Z13">
        <v>32.24</v>
      </c>
      <c r="AA13">
        <v>0</v>
      </c>
      <c r="AB13">
        <v>0</v>
      </c>
      <c r="AC13">
        <v>0</v>
      </c>
      <c r="AD13">
        <v>1</v>
      </c>
      <c r="AE13">
        <v>0</v>
      </c>
      <c r="AF13" t="s">
        <v>3</v>
      </c>
      <c r="AG13">
        <v>0.1</v>
      </c>
      <c r="AH13">
        <v>2</v>
      </c>
      <c r="AI13">
        <v>92678512</v>
      </c>
      <c r="AJ13">
        <v>16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 x14ac:dyDescent="0.2">
      <c r="A14">
        <f>ROW(Source!A35)</f>
        <v>35</v>
      </c>
      <c r="B14">
        <v>92678513</v>
      </c>
      <c r="C14">
        <v>92678507</v>
      </c>
      <c r="D14">
        <v>91334952</v>
      </c>
      <c r="E14">
        <v>1</v>
      </c>
      <c r="F14">
        <v>1</v>
      </c>
      <c r="G14">
        <v>1</v>
      </c>
      <c r="H14">
        <v>3</v>
      </c>
      <c r="I14" t="s">
        <v>239</v>
      </c>
      <c r="J14" t="s">
        <v>240</v>
      </c>
      <c r="K14" t="s">
        <v>241</v>
      </c>
      <c r="L14">
        <v>1346</v>
      </c>
      <c r="N14">
        <v>1009</v>
      </c>
      <c r="O14" t="s">
        <v>242</v>
      </c>
      <c r="P14" t="s">
        <v>242</v>
      </c>
      <c r="Q14">
        <v>1</v>
      </c>
      <c r="X14">
        <v>1.2E-2</v>
      </c>
      <c r="Y14">
        <v>150.04</v>
      </c>
      <c r="Z14">
        <v>0</v>
      </c>
      <c r="AA14">
        <v>0</v>
      </c>
      <c r="AB14">
        <v>0</v>
      </c>
      <c r="AC14">
        <v>0</v>
      </c>
      <c r="AD14">
        <v>1</v>
      </c>
      <c r="AE14">
        <v>0</v>
      </c>
      <c r="AF14" t="s">
        <v>3</v>
      </c>
      <c r="AG14">
        <v>1.2E-2</v>
      </c>
      <c r="AH14">
        <v>2</v>
      </c>
      <c r="AI14">
        <v>92678513</v>
      </c>
      <c r="AJ14">
        <v>17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 x14ac:dyDescent="0.2">
      <c r="A15">
        <f>ROW(Source!A35)</f>
        <v>35</v>
      </c>
      <c r="B15">
        <v>92678514</v>
      </c>
      <c r="C15">
        <v>92678507</v>
      </c>
      <c r="D15">
        <v>91336974</v>
      </c>
      <c r="E15">
        <v>1</v>
      </c>
      <c r="F15">
        <v>1</v>
      </c>
      <c r="G15">
        <v>1</v>
      </c>
      <c r="H15">
        <v>3</v>
      </c>
      <c r="I15" t="s">
        <v>243</v>
      </c>
      <c r="J15" t="s">
        <v>244</v>
      </c>
      <c r="K15" t="s">
        <v>245</v>
      </c>
      <c r="L15">
        <v>1346</v>
      </c>
      <c r="N15">
        <v>1009</v>
      </c>
      <c r="O15" t="s">
        <v>242</v>
      </c>
      <c r="P15" t="s">
        <v>242</v>
      </c>
      <c r="Q15">
        <v>1</v>
      </c>
      <c r="X15">
        <v>2E-3</v>
      </c>
      <c r="Y15">
        <v>187.38</v>
      </c>
      <c r="Z15">
        <v>0</v>
      </c>
      <c r="AA15">
        <v>0</v>
      </c>
      <c r="AB15">
        <v>0</v>
      </c>
      <c r="AC15">
        <v>0</v>
      </c>
      <c r="AD15">
        <v>1</v>
      </c>
      <c r="AE15">
        <v>0</v>
      </c>
      <c r="AF15" t="s">
        <v>3</v>
      </c>
      <c r="AG15">
        <v>2E-3</v>
      </c>
      <c r="AH15">
        <v>2</v>
      </c>
      <c r="AI15">
        <v>92678514</v>
      </c>
      <c r="AJ15">
        <v>18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 x14ac:dyDescent="0.2">
      <c r="A16">
        <f>ROW(Source!A35)</f>
        <v>35</v>
      </c>
      <c r="B16">
        <v>92678515</v>
      </c>
      <c r="C16">
        <v>92678507</v>
      </c>
      <c r="D16">
        <v>91336998</v>
      </c>
      <c r="E16">
        <v>1</v>
      </c>
      <c r="F16">
        <v>1</v>
      </c>
      <c r="G16">
        <v>1</v>
      </c>
      <c r="H16">
        <v>3</v>
      </c>
      <c r="I16" t="s">
        <v>246</v>
      </c>
      <c r="J16" t="s">
        <v>247</v>
      </c>
      <c r="K16" t="s">
        <v>248</v>
      </c>
      <c r="L16">
        <v>1383</v>
      </c>
      <c r="N16">
        <v>1013</v>
      </c>
      <c r="O16" t="s">
        <v>249</v>
      </c>
      <c r="P16" t="s">
        <v>249</v>
      </c>
      <c r="Q16">
        <v>1</v>
      </c>
      <c r="X16">
        <v>6.2399999999999997E-2</v>
      </c>
      <c r="Y16">
        <v>6.92</v>
      </c>
      <c r="Z16">
        <v>0</v>
      </c>
      <c r="AA16">
        <v>0</v>
      </c>
      <c r="AB16">
        <v>0</v>
      </c>
      <c r="AC16">
        <v>0</v>
      </c>
      <c r="AD16">
        <v>1</v>
      </c>
      <c r="AE16">
        <v>0</v>
      </c>
      <c r="AF16" t="s">
        <v>3</v>
      </c>
      <c r="AG16">
        <v>6.2399999999999997E-2</v>
      </c>
      <c r="AH16">
        <v>2</v>
      </c>
      <c r="AI16">
        <v>92678515</v>
      </c>
      <c r="AJ16">
        <v>19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4" x14ac:dyDescent="0.2">
      <c r="A17">
        <f>ROW(Source!A35)</f>
        <v>35</v>
      </c>
      <c r="B17">
        <v>92678516</v>
      </c>
      <c r="C17">
        <v>92678507</v>
      </c>
      <c r="D17">
        <v>91337154</v>
      </c>
      <c r="E17">
        <v>1</v>
      </c>
      <c r="F17">
        <v>1</v>
      </c>
      <c r="G17">
        <v>1</v>
      </c>
      <c r="H17">
        <v>3</v>
      </c>
      <c r="I17" t="s">
        <v>250</v>
      </c>
      <c r="J17" t="s">
        <v>251</v>
      </c>
      <c r="K17" t="s">
        <v>252</v>
      </c>
      <c r="L17">
        <v>1301</v>
      </c>
      <c r="N17">
        <v>1003</v>
      </c>
      <c r="O17" t="s">
        <v>253</v>
      </c>
      <c r="P17" t="s">
        <v>253</v>
      </c>
      <c r="Q17">
        <v>1</v>
      </c>
      <c r="X17">
        <v>2</v>
      </c>
      <c r="Y17">
        <v>5.87</v>
      </c>
      <c r="Z17">
        <v>0</v>
      </c>
      <c r="AA17">
        <v>0</v>
      </c>
      <c r="AB17">
        <v>0</v>
      </c>
      <c r="AC17">
        <v>0</v>
      </c>
      <c r="AD17">
        <v>1</v>
      </c>
      <c r="AE17">
        <v>0</v>
      </c>
      <c r="AF17" t="s">
        <v>3</v>
      </c>
      <c r="AG17">
        <v>2</v>
      </c>
      <c r="AH17">
        <v>2</v>
      </c>
      <c r="AI17">
        <v>92678516</v>
      </c>
      <c r="AJ17">
        <v>20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 x14ac:dyDescent="0.2">
      <c r="A18">
        <f>ROW(Source!A35)</f>
        <v>35</v>
      </c>
      <c r="B18">
        <v>92678517</v>
      </c>
      <c r="C18">
        <v>92678507</v>
      </c>
      <c r="D18">
        <v>91337740</v>
      </c>
      <c r="E18">
        <v>1</v>
      </c>
      <c r="F18">
        <v>1</v>
      </c>
      <c r="G18">
        <v>1</v>
      </c>
      <c r="H18">
        <v>3</v>
      </c>
      <c r="I18" t="s">
        <v>254</v>
      </c>
      <c r="J18" t="s">
        <v>255</v>
      </c>
      <c r="K18" t="s">
        <v>256</v>
      </c>
      <c r="L18">
        <v>1346</v>
      </c>
      <c r="N18">
        <v>1009</v>
      </c>
      <c r="O18" t="s">
        <v>242</v>
      </c>
      <c r="P18" t="s">
        <v>242</v>
      </c>
      <c r="Q18">
        <v>1</v>
      </c>
      <c r="X18">
        <v>0.09</v>
      </c>
      <c r="Y18">
        <v>155.63</v>
      </c>
      <c r="Z18">
        <v>0</v>
      </c>
      <c r="AA18">
        <v>0</v>
      </c>
      <c r="AB18">
        <v>0</v>
      </c>
      <c r="AC18">
        <v>0</v>
      </c>
      <c r="AD18">
        <v>1</v>
      </c>
      <c r="AE18">
        <v>0</v>
      </c>
      <c r="AF18" t="s">
        <v>3</v>
      </c>
      <c r="AG18">
        <v>0.09</v>
      </c>
      <c r="AH18">
        <v>2</v>
      </c>
      <c r="AI18">
        <v>92678517</v>
      </c>
      <c r="AJ18">
        <v>21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 x14ac:dyDescent="0.2">
      <c r="A19">
        <f>ROW(Source!A35)</f>
        <v>35</v>
      </c>
      <c r="B19">
        <v>92678518</v>
      </c>
      <c r="C19">
        <v>92678507</v>
      </c>
      <c r="D19">
        <v>91338493</v>
      </c>
      <c r="E19">
        <v>1</v>
      </c>
      <c r="F19">
        <v>1</v>
      </c>
      <c r="G19">
        <v>1</v>
      </c>
      <c r="H19">
        <v>3</v>
      </c>
      <c r="I19" t="s">
        <v>257</v>
      </c>
      <c r="J19" t="s">
        <v>258</v>
      </c>
      <c r="K19" t="s">
        <v>259</v>
      </c>
      <c r="L19">
        <v>1346</v>
      </c>
      <c r="N19">
        <v>1009</v>
      </c>
      <c r="O19" t="s">
        <v>242</v>
      </c>
      <c r="P19" t="s">
        <v>242</v>
      </c>
      <c r="Q19">
        <v>1</v>
      </c>
      <c r="X19">
        <v>0.373</v>
      </c>
      <c r="Y19">
        <v>174.93</v>
      </c>
      <c r="Z19">
        <v>0</v>
      </c>
      <c r="AA19">
        <v>0</v>
      </c>
      <c r="AB19">
        <v>0</v>
      </c>
      <c r="AC19">
        <v>0</v>
      </c>
      <c r="AD19">
        <v>1</v>
      </c>
      <c r="AE19">
        <v>0</v>
      </c>
      <c r="AF19" t="s">
        <v>3</v>
      </c>
      <c r="AG19">
        <v>0.373</v>
      </c>
      <c r="AH19">
        <v>2</v>
      </c>
      <c r="AI19">
        <v>92678518</v>
      </c>
      <c r="AJ19">
        <v>22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 x14ac:dyDescent="0.2">
      <c r="A20">
        <f>ROW(Source!A35)</f>
        <v>35</v>
      </c>
      <c r="B20">
        <v>92678519</v>
      </c>
      <c r="C20">
        <v>92678507</v>
      </c>
      <c r="D20">
        <v>91338559</v>
      </c>
      <c r="E20">
        <v>1</v>
      </c>
      <c r="F20">
        <v>1</v>
      </c>
      <c r="G20">
        <v>1</v>
      </c>
      <c r="H20">
        <v>3</v>
      </c>
      <c r="I20" t="s">
        <v>260</v>
      </c>
      <c r="J20" t="s">
        <v>261</v>
      </c>
      <c r="K20" t="s">
        <v>262</v>
      </c>
      <c r="L20">
        <v>1425</v>
      </c>
      <c r="N20">
        <v>1013</v>
      </c>
      <c r="O20" t="s">
        <v>263</v>
      </c>
      <c r="P20" t="s">
        <v>263</v>
      </c>
      <c r="Q20">
        <v>1</v>
      </c>
      <c r="X20">
        <v>0.02</v>
      </c>
      <c r="Y20">
        <v>41.71</v>
      </c>
      <c r="Z20">
        <v>0</v>
      </c>
      <c r="AA20">
        <v>0</v>
      </c>
      <c r="AB20">
        <v>0</v>
      </c>
      <c r="AC20">
        <v>0</v>
      </c>
      <c r="AD20">
        <v>1</v>
      </c>
      <c r="AE20">
        <v>0</v>
      </c>
      <c r="AF20" t="s">
        <v>3</v>
      </c>
      <c r="AG20">
        <v>0.02</v>
      </c>
      <c r="AH20">
        <v>2</v>
      </c>
      <c r="AI20">
        <v>92678519</v>
      </c>
      <c r="AJ20">
        <v>23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4" x14ac:dyDescent="0.2">
      <c r="A21">
        <f>ROW(Source!A35)</f>
        <v>35</v>
      </c>
      <c r="B21">
        <v>92678520</v>
      </c>
      <c r="C21">
        <v>92678507</v>
      </c>
      <c r="D21">
        <v>91339610</v>
      </c>
      <c r="E21">
        <v>1</v>
      </c>
      <c r="F21">
        <v>1</v>
      </c>
      <c r="G21">
        <v>1</v>
      </c>
      <c r="H21">
        <v>3</v>
      </c>
      <c r="I21" t="s">
        <v>264</v>
      </c>
      <c r="J21" t="s">
        <v>265</v>
      </c>
      <c r="K21" t="s">
        <v>266</v>
      </c>
      <c r="L21">
        <v>1346</v>
      </c>
      <c r="N21">
        <v>1009</v>
      </c>
      <c r="O21" t="s">
        <v>242</v>
      </c>
      <c r="P21" t="s">
        <v>242</v>
      </c>
      <c r="Q21">
        <v>1</v>
      </c>
      <c r="X21">
        <v>1E-3</v>
      </c>
      <c r="Y21">
        <v>395.65</v>
      </c>
      <c r="Z21">
        <v>0</v>
      </c>
      <c r="AA21">
        <v>0</v>
      </c>
      <c r="AB21">
        <v>0</v>
      </c>
      <c r="AC21">
        <v>0</v>
      </c>
      <c r="AD21">
        <v>1</v>
      </c>
      <c r="AE21">
        <v>0</v>
      </c>
      <c r="AF21" t="s">
        <v>3</v>
      </c>
      <c r="AG21">
        <v>1E-3</v>
      </c>
      <c r="AH21">
        <v>2</v>
      </c>
      <c r="AI21">
        <v>92678520</v>
      </c>
      <c r="AJ21">
        <v>24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 x14ac:dyDescent="0.2">
      <c r="A22">
        <f>ROW(Source!A35)</f>
        <v>35</v>
      </c>
      <c r="B22">
        <v>92678521</v>
      </c>
      <c r="C22">
        <v>92678507</v>
      </c>
      <c r="D22">
        <v>91343631</v>
      </c>
      <c r="E22">
        <v>1</v>
      </c>
      <c r="F22">
        <v>1</v>
      </c>
      <c r="G22">
        <v>1</v>
      </c>
      <c r="H22">
        <v>3</v>
      </c>
      <c r="I22" t="s">
        <v>267</v>
      </c>
      <c r="J22" t="s">
        <v>268</v>
      </c>
      <c r="K22" t="s">
        <v>269</v>
      </c>
      <c r="L22">
        <v>1348</v>
      </c>
      <c r="N22">
        <v>1009</v>
      </c>
      <c r="O22" t="s">
        <v>270</v>
      </c>
      <c r="P22" t="s">
        <v>270</v>
      </c>
      <c r="Q22">
        <v>1000</v>
      </c>
      <c r="X22">
        <v>4.0000000000000001E-3</v>
      </c>
      <c r="Y22">
        <v>105278.81</v>
      </c>
      <c r="Z22">
        <v>0</v>
      </c>
      <c r="AA22">
        <v>0</v>
      </c>
      <c r="AB22">
        <v>0</v>
      </c>
      <c r="AC22">
        <v>0</v>
      </c>
      <c r="AD22">
        <v>1</v>
      </c>
      <c r="AE22">
        <v>0</v>
      </c>
      <c r="AF22" t="s">
        <v>3</v>
      </c>
      <c r="AG22">
        <v>4.0000000000000001E-3</v>
      </c>
      <c r="AH22">
        <v>2</v>
      </c>
      <c r="AI22">
        <v>92678521</v>
      </c>
      <c r="AJ22">
        <v>25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 x14ac:dyDescent="0.2">
      <c r="A23">
        <f>ROW(Source!A35)</f>
        <v>35</v>
      </c>
      <c r="B23">
        <v>92678522</v>
      </c>
      <c r="C23">
        <v>92678507</v>
      </c>
      <c r="D23">
        <v>91356005</v>
      </c>
      <c r="E23">
        <v>1</v>
      </c>
      <c r="F23">
        <v>1</v>
      </c>
      <c r="G23">
        <v>1</v>
      </c>
      <c r="H23">
        <v>3</v>
      </c>
      <c r="I23" t="s">
        <v>271</v>
      </c>
      <c r="J23" t="s">
        <v>272</v>
      </c>
      <c r="K23" t="s">
        <v>273</v>
      </c>
      <c r="L23">
        <v>1346</v>
      </c>
      <c r="N23">
        <v>1009</v>
      </c>
      <c r="O23" t="s">
        <v>242</v>
      </c>
      <c r="P23" t="s">
        <v>242</v>
      </c>
      <c r="Q23">
        <v>1</v>
      </c>
      <c r="X23">
        <v>4.4999999999999998E-2</v>
      </c>
      <c r="Y23">
        <v>79.88</v>
      </c>
      <c r="Z23">
        <v>0</v>
      </c>
      <c r="AA23">
        <v>0</v>
      </c>
      <c r="AB23">
        <v>0</v>
      </c>
      <c r="AC23">
        <v>0</v>
      </c>
      <c r="AD23">
        <v>1</v>
      </c>
      <c r="AE23">
        <v>0</v>
      </c>
      <c r="AF23" t="s">
        <v>3</v>
      </c>
      <c r="AG23">
        <v>4.4999999999999998E-2</v>
      </c>
      <c r="AH23">
        <v>2</v>
      </c>
      <c r="AI23">
        <v>92678522</v>
      </c>
      <c r="AJ23">
        <v>26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 x14ac:dyDescent="0.2">
      <c r="A24">
        <f>ROW(Source!A35)</f>
        <v>35</v>
      </c>
      <c r="B24">
        <v>92678523</v>
      </c>
      <c r="C24">
        <v>92678507</v>
      </c>
      <c r="D24">
        <v>91356051</v>
      </c>
      <c r="E24">
        <v>1</v>
      </c>
      <c r="F24">
        <v>1</v>
      </c>
      <c r="G24">
        <v>1</v>
      </c>
      <c r="H24">
        <v>3</v>
      </c>
      <c r="I24" t="s">
        <v>274</v>
      </c>
      <c r="J24" t="s">
        <v>275</v>
      </c>
      <c r="K24" t="s">
        <v>276</v>
      </c>
      <c r="L24">
        <v>1346</v>
      </c>
      <c r="N24">
        <v>1009</v>
      </c>
      <c r="O24" t="s">
        <v>242</v>
      </c>
      <c r="P24" t="s">
        <v>242</v>
      </c>
      <c r="Q24">
        <v>1</v>
      </c>
      <c r="X24">
        <v>1.2E-2</v>
      </c>
      <c r="Y24">
        <v>157.44</v>
      </c>
      <c r="Z24">
        <v>0</v>
      </c>
      <c r="AA24">
        <v>0</v>
      </c>
      <c r="AB24">
        <v>0</v>
      </c>
      <c r="AC24">
        <v>0</v>
      </c>
      <c r="AD24">
        <v>1</v>
      </c>
      <c r="AE24">
        <v>0</v>
      </c>
      <c r="AF24" t="s">
        <v>3</v>
      </c>
      <c r="AG24">
        <v>1.2E-2</v>
      </c>
      <c r="AH24">
        <v>2</v>
      </c>
      <c r="AI24">
        <v>92678523</v>
      </c>
      <c r="AJ24">
        <v>27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</row>
    <row r="25" spans="1:44" x14ac:dyDescent="0.2">
      <c r="A25">
        <f>ROW(Source!A35)</f>
        <v>35</v>
      </c>
      <c r="B25">
        <v>92678524</v>
      </c>
      <c r="C25">
        <v>92678507</v>
      </c>
      <c r="D25">
        <v>91363879</v>
      </c>
      <c r="E25">
        <v>1</v>
      </c>
      <c r="F25">
        <v>1</v>
      </c>
      <c r="G25">
        <v>1</v>
      </c>
      <c r="H25">
        <v>3</v>
      </c>
      <c r="I25" t="s">
        <v>277</v>
      </c>
      <c r="J25" t="s">
        <v>278</v>
      </c>
      <c r="K25" t="s">
        <v>279</v>
      </c>
      <c r="L25">
        <v>1455</v>
      </c>
      <c r="N25">
        <v>1013</v>
      </c>
      <c r="O25" t="s">
        <v>280</v>
      </c>
      <c r="P25" t="s">
        <v>280</v>
      </c>
      <c r="Q25">
        <v>1</v>
      </c>
      <c r="X25">
        <v>0.1</v>
      </c>
      <c r="Y25">
        <v>944.69</v>
      </c>
      <c r="Z25">
        <v>0</v>
      </c>
      <c r="AA25">
        <v>0</v>
      </c>
      <c r="AB25">
        <v>0</v>
      </c>
      <c r="AC25">
        <v>0</v>
      </c>
      <c r="AD25">
        <v>1</v>
      </c>
      <c r="AE25">
        <v>0</v>
      </c>
      <c r="AF25" t="s">
        <v>3</v>
      </c>
      <c r="AG25">
        <v>0.1</v>
      </c>
      <c r="AH25">
        <v>2</v>
      </c>
      <c r="AI25">
        <v>92678524</v>
      </c>
      <c r="AJ25">
        <v>28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</row>
    <row r="26" spans="1:44" x14ac:dyDescent="0.2">
      <c r="A26">
        <f>ROW(Source!A35)</f>
        <v>35</v>
      </c>
      <c r="B26">
        <v>92678525</v>
      </c>
      <c r="C26">
        <v>92678507</v>
      </c>
      <c r="D26">
        <v>91382355</v>
      </c>
      <c r="E26">
        <v>1</v>
      </c>
      <c r="F26">
        <v>1</v>
      </c>
      <c r="G26">
        <v>1</v>
      </c>
      <c r="H26">
        <v>3</v>
      </c>
      <c r="I26" t="s">
        <v>281</v>
      </c>
      <c r="J26" t="s">
        <v>282</v>
      </c>
      <c r="K26" t="s">
        <v>283</v>
      </c>
      <c r="L26">
        <v>1425</v>
      </c>
      <c r="N26">
        <v>1013</v>
      </c>
      <c r="O26" t="s">
        <v>263</v>
      </c>
      <c r="P26" t="s">
        <v>263</v>
      </c>
      <c r="Q26">
        <v>1</v>
      </c>
      <c r="X26">
        <v>6.0999999999999999E-2</v>
      </c>
      <c r="Y26">
        <v>655.9</v>
      </c>
      <c r="Z26">
        <v>0</v>
      </c>
      <c r="AA26">
        <v>0</v>
      </c>
      <c r="AB26">
        <v>0</v>
      </c>
      <c r="AC26">
        <v>0</v>
      </c>
      <c r="AD26">
        <v>1</v>
      </c>
      <c r="AE26">
        <v>0</v>
      </c>
      <c r="AF26" t="s">
        <v>3</v>
      </c>
      <c r="AG26">
        <v>6.0999999999999999E-2</v>
      </c>
      <c r="AH26">
        <v>2</v>
      </c>
      <c r="AI26">
        <v>92678525</v>
      </c>
      <c r="AJ26">
        <v>29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 spans="1:44" x14ac:dyDescent="0.2">
      <c r="A27">
        <f>ROW(Source!A35)</f>
        <v>35</v>
      </c>
      <c r="B27">
        <v>92678526</v>
      </c>
      <c r="C27">
        <v>92678507</v>
      </c>
      <c r="D27">
        <v>91266476</v>
      </c>
      <c r="E27">
        <v>118</v>
      </c>
      <c r="F27">
        <v>1</v>
      </c>
      <c r="G27">
        <v>1</v>
      </c>
      <c r="H27">
        <v>3</v>
      </c>
      <c r="I27" t="s">
        <v>56</v>
      </c>
      <c r="J27" t="s">
        <v>3</v>
      </c>
      <c r="K27" t="s">
        <v>57</v>
      </c>
      <c r="L27">
        <v>3277935</v>
      </c>
      <c r="N27">
        <v>1013</v>
      </c>
      <c r="O27" t="s">
        <v>27</v>
      </c>
      <c r="P27" t="s">
        <v>27</v>
      </c>
      <c r="Q27">
        <v>1</v>
      </c>
      <c r="X27">
        <v>2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 t="s">
        <v>3</v>
      </c>
      <c r="AG27">
        <v>2</v>
      </c>
      <c r="AH27">
        <v>2</v>
      </c>
      <c r="AI27">
        <v>92678526</v>
      </c>
      <c r="AJ27">
        <v>30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</row>
    <row r="28" spans="1:44" x14ac:dyDescent="0.2">
      <c r="A28">
        <f>ROW(Source!A39)</f>
        <v>39</v>
      </c>
      <c r="B28">
        <v>92678496</v>
      </c>
      <c r="C28">
        <v>92678495</v>
      </c>
      <c r="D28">
        <v>91260231</v>
      </c>
      <c r="E28">
        <v>118</v>
      </c>
      <c r="F28">
        <v>1</v>
      </c>
      <c r="G28">
        <v>1</v>
      </c>
      <c r="H28">
        <v>1</v>
      </c>
      <c r="I28" t="s">
        <v>284</v>
      </c>
      <c r="J28" t="s">
        <v>3</v>
      </c>
      <c r="K28" t="s">
        <v>285</v>
      </c>
      <c r="L28">
        <v>1191</v>
      </c>
      <c r="N28">
        <v>1013</v>
      </c>
      <c r="O28" t="s">
        <v>216</v>
      </c>
      <c r="P28" t="s">
        <v>216</v>
      </c>
      <c r="Q28">
        <v>1</v>
      </c>
      <c r="X28">
        <v>5.55</v>
      </c>
      <c r="Y28">
        <v>0</v>
      </c>
      <c r="Z28">
        <v>0</v>
      </c>
      <c r="AA28">
        <v>0</v>
      </c>
      <c r="AB28">
        <v>665.61</v>
      </c>
      <c r="AC28">
        <v>0</v>
      </c>
      <c r="AD28">
        <v>1</v>
      </c>
      <c r="AE28">
        <v>1</v>
      </c>
      <c r="AF28" t="s">
        <v>3</v>
      </c>
      <c r="AG28">
        <v>5.55</v>
      </c>
      <c r="AH28">
        <v>2</v>
      </c>
      <c r="AI28">
        <v>92678496</v>
      </c>
      <c r="AJ28">
        <v>33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</row>
    <row r="29" spans="1:44" x14ac:dyDescent="0.2">
      <c r="A29">
        <f>ROW(Source!A39)</f>
        <v>39</v>
      </c>
      <c r="B29">
        <v>92678497</v>
      </c>
      <c r="C29">
        <v>92678495</v>
      </c>
      <c r="D29">
        <v>91266477</v>
      </c>
      <c r="E29">
        <v>118</v>
      </c>
      <c r="F29">
        <v>1</v>
      </c>
      <c r="G29">
        <v>1</v>
      </c>
      <c r="H29">
        <v>3</v>
      </c>
      <c r="I29" t="s">
        <v>25</v>
      </c>
      <c r="J29" t="s">
        <v>3</v>
      </c>
      <c r="K29" t="s">
        <v>26</v>
      </c>
      <c r="L29">
        <v>3277935</v>
      </c>
      <c r="N29">
        <v>1013</v>
      </c>
      <c r="O29" t="s">
        <v>27</v>
      </c>
      <c r="P29" t="s">
        <v>27</v>
      </c>
      <c r="Q29">
        <v>1</v>
      </c>
      <c r="X29">
        <v>3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 t="s">
        <v>3</v>
      </c>
      <c r="AG29">
        <v>3</v>
      </c>
      <c r="AH29">
        <v>2</v>
      </c>
      <c r="AI29">
        <v>92678497</v>
      </c>
      <c r="AJ29">
        <v>34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</row>
    <row r="30" spans="1:44" x14ac:dyDescent="0.2">
      <c r="A30">
        <f>ROW(Source!A43)</f>
        <v>43</v>
      </c>
      <c r="B30">
        <v>92678553</v>
      </c>
      <c r="C30">
        <v>92678549</v>
      </c>
      <c r="D30">
        <v>91260231</v>
      </c>
      <c r="E30">
        <v>118</v>
      </c>
      <c r="F30">
        <v>1</v>
      </c>
      <c r="G30">
        <v>1</v>
      </c>
      <c r="H30">
        <v>1</v>
      </c>
      <c r="I30" t="s">
        <v>284</v>
      </c>
      <c r="J30" t="s">
        <v>3</v>
      </c>
      <c r="K30" t="s">
        <v>285</v>
      </c>
      <c r="L30">
        <v>1191</v>
      </c>
      <c r="N30">
        <v>1013</v>
      </c>
      <c r="O30" t="s">
        <v>216</v>
      </c>
      <c r="P30" t="s">
        <v>216</v>
      </c>
      <c r="Q30">
        <v>1</v>
      </c>
      <c r="X30">
        <v>4.87</v>
      </c>
      <c r="Y30">
        <v>0</v>
      </c>
      <c r="Z30">
        <v>0</v>
      </c>
      <c r="AA30">
        <v>0</v>
      </c>
      <c r="AB30">
        <v>665.61</v>
      </c>
      <c r="AC30">
        <v>0</v>
      </c>
      <c r="AD30">
        <v>1</v>
      </c>
      <c r="AE30">
        <v>1</v>
      </c>
      <c r="AF30" t="s">
        <v>3</v>
      </c>
      <c r="AG30">
        <v>4.87</v>
      </c>
      <c r="AH30">
        <v>2</v>
      </c>
      <c r="AI30">
        <v>92678553</v>
      </c>
      <c r="AJ30">
        <v>37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</row>
    <row r="31" spans="1:44" x14ac:dyDescent="0.2">
      <c r="A31">
        <f>ROW(Source!A43)</f>
        <v>43</v>
      </c>
      <c r="B31">
        <v>92678554</v>
      </c>
      <c r="C31">
        <v>92678549</v>
      </c>
      <c r="D31">
        <v>91266477</v>
      </c>
      <c r="E31">
        <v>118</v>
      </c>
      <c r="F31">
        <v>1</v>
      </c>
      <c r="G31">
        <v>1</v>
      </c>
      <c r="H31">
        <v>3</v>
      </c>
      <c r="I31" t="s">
        <v>25</v>
      </c>
      <c r="J31" t="s">
        <v>3</v>
      </c>
      <c r="K31" t="s">
        <v>26</v>
      </c>
      <c r="L31">
        <v>3277935</v>
      </c>
      <c r="N31">
        <v>1013</v>
      </c>
      <c r="O31" t="s">
        <v>27</v>
      </c>
      <c r="P31" t="s">
        <v>27</v>
      </c>
      <c r="Q31">
        <v>1</v>
      </c>
      <c r="X31">
        <v>3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 t="s">
        <v>3</v>
      </c>
      <c r="AG31">
        <v>3</v>
      </c>
      <c r="AH31">
        <v>2</v>
      </c>
      <c r="AI31">
        <v>92678554</v>
      </c>
      <c r="AJ31">
        <v>38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</row>
    <row r="32" spans="1:44" x14ac:dyDescent="0.2">
      <c r="A32">
        <f>ROW(Source!A47)</f>
        <v>47</v>
      </c>
      <c r="B32">
        <v>92678561</v>
      </c>
      <c r="C32">
        <v>92678560</v>
      </c>
      <c r="D32">
        <v>91260233</v>
      </c>
      <c r="E32">
        <v>118</v>
      </c>
      <c r="F32">
        <v>1</v>
      </c>
      <c r="G32">
        <v>1</v>
      </c>
      <c r="H32">
        <v>1</v>
      </c>
      <c r="I32" t="s">
        <v>286</v>
      </c>
      <c r="J32" t="s">
        <v>3</v>
      </c>
      <c r="K32" t="s">
        <v>287</v>
      </c>
      <c r="L32">
        <v>1191</v>
      </c>
      <c r="N32">
        <v>1013</v>
      </c>
      <c r="O32" t="s">
        <v>216</v>
      </c>
      <c r="P32" t="s">
        <v>216</v>
      </c>
      <c r="Q32">
        <v>1</v>
      </c>
      <c r="X32">
        <v>5.86</v>
      </c>
      <c r="Y32">
        <v>0</v>
      </c>
      <c r="Z32">
        <v>0</v>
      </c>
      <c r="AA32">
        <v>0</v>
      </c>
      <c r="AB32">
        <v>673.79</v>
      </c>
      <c r="AC32">
        <v>0</v>
      </c>
      <c r="AD32">
        <v>1</v>
      </c>
      <c r="AE32">
        <v>1</v>
      </c>
      <c r="AF32" t="s">
        <v>3</v>
      </c>
      <c r="AG32">
        <v>5.86</v>
      </c>
      <c r="AH32">
        <v>2</v>
      </c>
      <c r="AI32">
        <v>92678561</v>
      </c>
      <c r="AJ32">
        <v>41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</row>
    <row r="33" spans="1:44" x14ac:dyDescent="0.2">
      <c r="A33">
        <f>ROW(Source!A47)</f>
        <v>47</v>
      </c>
      <c r="B33">
        <v>92678562</v>
      </c>
      <c r="C33">
        <v>92678560</v>
      </c>
      <c r="D33">
        <v>91266477</v>
      </c>
      <c r="E33">
        <v>118</v>
      </c>
      <c r="F33">
        <v>1</v>
      </c>
      <c r="G33">
        <v>1</v>
      </c>
      <c r="H33">
        <v>3</v>
      </c>
      <c r="I33" t="s">
        <v>25</v>
      </c>
      <c r="J33" t="s">
        <v>3</v>
      </c>
      <c r="K33" t="s">
        <v>26</v>
      </c>
      <c r="L33">
        <v>3277935</v>
      </c>
      <c r="N33">
        <v>1013</v>
      </c>
      <c r="O33" t="s">
        <v>27</v>
      </c>
      <c r="P33" t="s">
        <v>27</v>
      </c>
      <c r="Q33">
        <v>1</v>
      </c>
      <c r="X33">
        <v>3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 t="s">
        <v>3</v>
      </c>
      <c r="AG33">
        <v>3</v>
      </c>
      <c r="AH33">
        <v>2</v>
      </c>
      <c r="AI33">
        <v>92678562</v>
      </c>
      <c r="AJ33">
        <v>42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</row>
    <row r="34" spans="1:44" x14ac:dyDescent="0.2">
      <c r="A34">
        <f>ROW(Source!A49)</f>
        <v>49</v>
      </c>
      <c r="B34">
        <v>92678470</v>
      </c>
      <c r="C34">
        <v>92678469</v>
      </c>
      <c r="D34">
        <v>91260233</v>
      </c>
      <c r="E34">
        <v>118</v>
      </c>
      <c r="F34">
        <v>1</v>
      </c>
      <c r="G34">
        <v>1</v>
      </c>
      <c r="H34">
        <v>1</v>
      </c>
      <c r="I34" t="s">
        <v>286</v>
      </c>
      <c r="J34" t="s">
        <v>3</v>
      </c>
      <c r="K34" t="s">
        <v>287</v>
      </c>
      <c r="L34">
        <v>1191</v>
      </c>
      <c r="N34">
        <v>1013</v>
      </c>
      <c r="O34" t="s">
        <v>216</v>
      </c>
      <c r="P34" t="s">
        <v>216</v>
      </c>
      <c r="Q34">
        <v>1</v>
      </c>
      <c r="X34">
        <v>5.21</v>
      </c>
      <c r="Y34">
        <v>0</v>
      </c>
      <c r="Z34">
        <v>0</v>
      </c>
      <c r="AA34">
        <v>0</v>
      </c>
      <c r="AB34">
        <v>673.79</v>
      </c>
      <c r="AC34">
        <v>0</v>
      </c>
      <c r="AD34">
        <v>1</v>
      </c>
      <c r="AE34">
        <v>1</v>
      </c>
      <c r="AF34" t="s">
        <v>3</v>
      </c>
      <c r="AG34">
        <v>5.21</v>
      </c>
      <c r="AH34">
        <v>2</v>
      </c>
      <c r="AI34">
        <v>92678470</v>
      </c>
      <c r="AJ34">
        <v>43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</row>
    <row r="35" spans="1:44" x14ac:dyDescent="0.2">
      <c r="A35">
        <f>ROW(Source!A49)</f>
        <v>49</v>
      </c>
      <c r="B35">
        <v>92678471</v>
      </c>
      <c r="C35">
        <v>92678469</v>
      </c>
      <c r="D35">
        <v>91266477</v>
      </c>
      <c r="E35">
        <v>118</v>
      </c>
      <c r="F35">
        <v>1</v>
      </c>
      <c r="G35">
        <v>1</v>
      </c>
      <c r="H35">
        <v>3</v>
      </c>
      <c r="I35" t="s">
        <v>25</v>
      </c>
      <c r="J35" t="s">
        <v>3</v>
      </c>
      <c r="K35" t="s">
        <v>26</v>
      </c>
      <c r="L35">
        <v>3277935</v>
      </c>
      <c r="N35">
        <v>1013</v>
      </c>
      <c r="O35" t="s">
        <v>27</v>
      </c>
      <c r="P35" t="s">
        <v>27</v>
      </c>
      <c r="Q35">
        <v>1</v>
      </c>
      <c r="X35">
        <v>3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 t="s">
        <v>3</v>
      </c>
      <c r="AG35">
        <v>3</v>
      </c>
      <c r="AH35">
        <v>2</v>
      </c>
      <c r="AI35">
        <v>92678471</v>
      </c>
      <c r="AJ35">
        <v>44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9.140625" defaultRowHeight="12.75" x14ac:dyDescent="0.2"/>
  <cols>
    <col min="1" max="256" width="9.140625" customWidth="1"/>
  </cols>
  <sheetData/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Y12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103" x14ac:dyDescent="0.2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74933</v>
      </c>
      <c r="M1">
        <v>10</v>
      </c>
      <c r="N1">
        <v>12</v>
      </c>
      <c r="O1">
        <v>1</v>
      </c>
      <c r="P1">
        <v>0</v>
      </c>
      <c r="Q1">
        <v>2</v>
      </c>
    </row>
    <row r="12" spans="1:103" x14ac:dyDescent="0.2">
      <c r="F12" t="str">
        <f>Source!F12</f>
        <v>Новый объект</v>
      </c>
      <c r="G12" t="str">
        <f>Source!G12</f>
        <v>Замена оборудования пассажирского лифта № 59327 по адресу: г. Москва, Петроверигский пер., д.10, стр.3</v>
      </c>
      <c r="AB12" t="s">
        <v>3</v>
      </c>
      <c r="AC12" t="s">
        <v>3</v>
      </c>
      <c r="AD12" t="s">
        <v>3</v>
      </c>
      <c r="AE12" t="s">
        <v>3</v>
      </c>
      <c r="AF12" t="s">
        <v>3</v>
      </c>
      <c r="AG12" t="s">
        <v>3</v>
      </c>
      <c r="AH12" t="s">
        <v>3</v>
      </c>
      <c r="AI12" t="s">
        <v>3</v>
      </c>
      <c r="AJ12">
        <v>0</v>
      </c>
      <c r="AK12" t="s">
        <v>3</v>
      </c>
      <c r="AL12" t="s">
        <v>3</v>
      </c>
      <c r="AM12" t="s">
        <v>3</v>
      </c>
      <c r="CY12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4</vt:i4>
      </vt:variant>
    </vt:vector>
  </HeadingPairs>
  <TitlesOfParts>
    <vt:vector size="12" baseType="lpstr">
      <vt:lpstr>Смета по ФСНБ 421+557прРИМ</vt:lpstr>
      <vt:lpstr>Ведомость объемов работ</vt:lpstr>
      <vt:lpstr>Source</vt:lpstr>
      <vt:lpstr>SourceObSm</vt:lpstr>
      <vt:lpstr>SmtRes</vt:lpstr>
      <vt:lpstr>EtalonRes</vt:lpstr>
      <vt:lpstr>SrcPoprs</vt:lpstr>
      <vt:lpstr>SrcKA</vt:lpstr>
      <vt:lpstr>'Ведомость объемов работ'!Заголовки_для_печати</vt:lpstr>
      <vt:lpstr>'Смета по ФСНБ 421+557прРИМ'!Заголовки_для_печати</vt:lpstr>
      <vt:lpstr>'Ведомость объемов работ'!Область_печати</vt:lpstr>
      <vt:lpstr>'Смета по ФСНБ 421+557прРИМ'!Область_печати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Яценко Елена Николаевна</cp:lastModifiedBy>
  <dcterms:created xsi:type="dcterms:W3CDTF">2026-06-09T08:16:25Z</dcterms:created>
  <dcterms:modified xsi:type="dcterms:W3CDTF">2026-06-09T08:22:34Z</dcterms:modified>
</cp:coreProperties>
</file>