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shibaevl\OneDrive - The Academic College of Music the Moscow State Conservatory named after P. Tchaikovsky\Рабочий стол\Потребность МТБ и ПБ 2026\ПБ\"/>
    </mc:Choice>
  </mc:AlternateContent>
  <xr:revisionPtr revIDLastSave="0" documentId="13_ncr:1_{AA7ADB5F-9F6F-4BD1-AF41-E748B03E13D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мета СН-2012 по гл. 1-5" sheetId="7" r:id="rId1"/>
    <sheet name="Дефектная ведомость" sheetId="8" r:id="rId2"/>
    <sheet name="RV_DATA" sheetId="10" state="hidden" r:id="rId3"/>
    <sheet name="Расчет стоимости ресурсов" sheetId="9" r:id="rId4"/>
    <sheet name="Source" sheetId="1" r:id="rId5"/>
    <sheet name="SourceObSm" sheetId="2" r:id="rId6"/>
    <sheet name="SmtRes" sheetId="3" r:id="rId7"/>
    <sheet name="EtalonRes" sheetId="4" r:id="rId8"/>
    <sheet name="SrcPoprs" sheetId="5" r:id="rId9"/>
    <sheet name="SrcKA" sheetId="6" r:id="rId10"/>
  </sheets>
  <definedNames>
    <definedName name="_xlnm.Print_Titles" localSheetId="1">'Дефектная ведомость'!$18:$18</definedName>
    <definedName name="_xlnm.Print_Titles" localSheetId="3">'Расчет стоимости ресурсов'!$4:$7</definedName>
    <definedName name="_xlnm.Print_Titles" localSheetId="0">'Смета СН-2012 по гл. 1-5'!$30:$30</definedName>
    <definedName name="_xlnm.Print_Area" localSheetId="1">'Дефектная ведомость'!$A$1:$E$53</definedName>
    <definedName name="_xlnm.Print_Area" localSheetId="3">'Расчет стоимости ресурсов'!$A$1:$F$43</definedName>
    <definedName name="_xlnm.Print_Area" localSheetId="0">'Смета СН-2012 по гл. 1-5'!$A$1:$K$192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7" i="10" l="1"/>
  <c r="A57" i="10"/>
  <c r="Z56" i="10"/>
  <c r="S56" i="10"/>
  <c r="P56" i="10"/>
  <c r="N56" i="10"/>
  <c r="K56" i="10"/>
  <c r="E18" i="9" s="1"/>
  <c r="J56" i="10"/>
  <c r="H56" i="10"/>
  <c r="G56" i="10"/>
  <c r="F56" i="10"/>
  <c r="E56" i="10"/>
  <c r="Z55" i="10"/>
  <c r="H55" i="10"/>
  <c r="G55" i="10"/>
  <c r="F55" i="10"/>
  <c r="E55" i="10"/>
  <c r="D55" i="10"/>
  <c r="A55" i="10"/>
  <c r="Z54" i="10"/>
  <c r="S54" i="10"/>
  <c r="P54" i="10"/>
  <c r="N54" i="10"/>
  <c r="K54" i="10"/>
  <c r="J54" i="10"/>
  <c r="H54" i="10"/>
  <c r="G54" i="10"/>
  <c r="F54" i="10"/>
  <c r="E54" i="10"/>
  <c r="Z53" i="10"/>
  <c r="S53" i="10"/>
  <c r="P53" i="10"/>
  <c r="N53" i="10"/>
  <c r="K53" i="10"/>
  <c r="E21" i="9" s="1"/>
  <c r="J53" i="10"/>
  <c r="H53" i="10"/>
  <c r="G53" i="10"/>
  <c r="F53" i="10"/>
  <c r="E53" i="10"/>
  <c r="Z52" i="10"/>
  <c r="S52" i="10"/>
  <c r="P52" i="10"/>
  <c r="N52" i="10"/>
  <c r="K52" i="10"/>
  <c r="E24" i="9" s="1"/>
  <c r="J52" i="10"/>
  <c r="H52" i="10"/>
  <c r="G52" i="10"/>
  <c r="F52" i="10"/>
  <c r="E52" i="10"/>
  <c r="Z51" i="10"/>
  <c r="S51" i="10"/>
  <c r="P51" i="10"/>
  <c r="N51" i="10"/>
  <c r="K51" i="10"/>
  <c r="J51" i="10"/>
  <c r="H51" i="10"/>
  <c r="G51" i="10"/>
  <c r="F51" i="10"/>
  <c r="E51" i="10"/>
  <c r="Z50" i="10"/>
  <c r="S50" i="10"/>
  <c r="P50" i="10"/>
  <c r="N50" i="10"/>
  <c r="K50" i="10"/>
  <c r="J50" i="10"/>
  <c r="H50" i="10"/>
  <c r="G50" i="10"/>
  <c r="F50" i="10"/>
  <c r="E50" i="10"/>
  <c r="Z49" i="10"/>
  <c r="S49" i="10"/>
  <c r="P49" i="10"/>
  <c r="N49" i="10"/>
  <c r="K49" i="10"/>
  <c r="E34" i="9" s="1"/>
  <c r="J49" i="10"/>
  <c r="H49" i="10"/>
  <c r="G49" i="10"/>
  <c r="F49" i="10"/>
  <c r="E49" i="10"/>
  <c r="Z48" i="10"/>
  <c r="S48" i="10"/>
  <c r="P48" i="10"/>
  <c r="N48" i="10"/>
  <c r="K48" i="10"/>
  <c r="E37" i="9" s="1"/>
  <c r="J48" i="10"/>
  <c r="H48" i="10"/>
  <c r="G48" i="10"/>
  <c r="F48" i="10"/>
  <c r="E48" i="10"/>
  <c r="Z47" i="10"/>
  <c r="S47" i="10"/>
  <c r="P47" i="10"/>
  <c r="N47" i="10"/>
  <c r="K47" i="10"/>
  <c r="E39" i="9" s="1"/>
  <c r="J47" i="10"/>
  <c r="H47" i="10"/>
  <c r="G47" i="10"/>
  <c r="F47" i="10"/>
  <c r="E47" i="10"/>
  <c r="Z46" i="10"/>
  <c r="H46" i="10"/>
  <c r="G46" i="10"/>
  <c r="F46" i="10"/>
  <c r="E46" i="10"/>
  <c r="D46" i="10"/>
  <c r="A46" i="10"/>
  <c r="Z45" i="10"/>
  <c r="S45" i="10"/>
  <c r="P45" i="10"/>
  <c r="N45" i="10"/>
  <c r="K45" i="10"/>
  <c r="E29" i="9" s="1"/>
  <c r="J45" i="10"/>
  <c r="H45" i="10"/>
  <c r="G45" i="10"/>
  <c r="F45" i="10"/>
  <c r="E45" i="10"/>
  <c r="Z44" i="10"/>
  <c r="S44" i="10"/>
  <c r="P44" i="10"/>
  <c r="N44" i="10"/>
  <c r="K44" i="10"/>
  <c r="E31" i="9" s="1"/>
  <c r="J44" i="10"/>
  <c r="H44" i="10"/>
  <c r="G44" i="10"/>
  <c r="F44" i="10"/>
  <c r="E44" i="10"/>
  <c r="Z43" i="10"/>
  <c r="S43" i="10"/>
  <c r="P43" i="10"/>
  <c r="N43" i="10"/>
  <c r="K43" i="10"/>
  <c r="E32" i="9" s="1"/>
  <c r="J43" i="10"/>
  <c r="H43" i="10"/>
  <c r="G43" i="10"/>
  <c r="F43" i="10"/>
  <c r="E43" i="10"/>
  <c r="Z42" i="10"/>
  <c r="S42" i="10"/>
  <c r="P42" i="10"/>
  <c r="N42" i="10"/>
  <c r="K42" i="10"/>
  <c r="E33" i="9" s="1"/>
  <c r="J42" i="10"/>
  <c r="H42" i="10"/>
  <c r="G42" i="10"/>
  <c r="F42" i="10"/>
  <c r="E42" i="10"/>
  <c r="Z41" i="10"/>
  <c r="S41" i="10"/>
  <c r="P41" i="10"/>
  <c r="N41" i="10"/>
  <c r="K41" i="10"/>
  <c r="E35" i="9" s="1"/>
  <c r="J41" i="10"/>
  <c r="H41" i="10"/>
  <c r="G41" i="10"/>
  <c r="F41" i="10"/>
  <c r="E41" i="10"/>
  <c r="Z40" i="10"/>
  <c r="S40" i="10"/>
  <c r="P40" i="10"/>
  <c r="N40" i="10"/>
  <c r="K40" i="10"/>
  <c r="E36" i="9" s="1"/>
  <c r="J40" i="10"/>
  <c r="H40" i="10"/>
  <c r="G40" i="10"/>
  <c r="F40" i="10"/>
  <c r="E40" i="10"/>
  <c r="Z39" i="10"/>
  <c r="S39" i="10"/>
  <c r="P39" i="10"/>
  <c r="N39" i="10"/>
  <c r="K39" i="10"/>
  <c r="E38" i="9" s="1"/>
  <c r="J39" i="10"/>
  <c r="H39" i="10"/>
  <c r="G39" i="10"/>
  <c r="F39" i="10"/>
  <c r="E39" i="10"/>
  <c r="Z38" i="10"/>
  <c r="H38" i="10"/>
  <c r="G38" i="10"/>
  <c r="F38" i="10"/>
  <c r="E38" i="10"/>
  <c r="D38" i="10"/>
  <c r="A38" i="10"/>
  <c r="Z37" i="10"/>
  <c r="H37" i="10"/>
  <c r="G37" i="10"/>
  <c r="F37" i="10"/>
  <c r="E37" i="10"/>
  <c r="D37" i="10"/>
  <c r="A37" i="10"/>
  <c r="Z36" i="10"/>
  <c r="H36" i="10"/>
  <c r="G36" i="10"/>
  <c r="F36" i="10"/>
  <c r="E36" i="10"/>
  <c r="D36" i="10"/>
  <c r="A36" i="10"/>
  <c r="Z35" i="10"/>
  <c r="H35" i="10"/>
  <c r="G35" i="10"/>
  <c r="F35" i="10"/>
  <c r="E35" i="10"/>
  <c r="D35" i="10"/>
  <c r="A35" i="10"/>
  <c r="Z34" i="10"/>
  <c r="H34" i="10"/>
  <c r="G34" i="10"/>
  <c r="F34" i="10"/>
  <c r="E34" i="10"/>
  <c r="D34" i="10"/>
  <c r="A34" i="10"/>
  <c r="Z33" i="10"/>
  <c r="H33" i="10"/>
  <c r="G33" i="10"/>
  <c r="F33" i="10"/>
  <c r="E33" i="10"/>
  <c r="D33" i="10"/>
  <c r="A33" i="10"/>
  <c r="Z32" i="10"/>
  <c r="H32" i="10"/>
  <c r="G32" i="10"/>
  <c r="F32" i="10"/>
  <c r="E32" i="10"/>
  <c r="D32" i="10"/>
  <c r="A32" i="10"/>
  <c r="Z31" i="10"/>
  <c r="S31" i="10"/>
  <c r="P31" i="10"/>
  <c r="N31" i="10"/>
  <c r="K31" i="10"/>
  <c r="J31" i="10"/>
  <c r="H31" i="10"/>
  <c r="G31" i="10"/>
  <c r="F31" i="10"/>
  <c r="E31" i="10"/>
  <c r="Z30" i="10"/>
  <c r="S30" i="10"/>
  <c r="P30" i="10"/>
  <c r="N30" i="10"/>
  <c r="K30" i="10"/>
  <c r="J30" i="10"/>
  <c r="H30" i="10"/>
  <c r="G30" i="10"/>
  <c r="F30" i="10"/>
  <c r="E30" i="10"/>
  <c r="Z29" i="10"/>
  <c r="S29" i="10"/>
  <c r="P29" i="10"/>
  <c r="N29" i="10"/>
  <c r="K29" i="10"/>
  <c r="E23" i="9" s="1"/>
  <c r="J29" i="10"/>
  <c r="H29" i="10"/>
  <c r="G29" i="10"/>
  <c r="F29" i="10"/>
  <c r="E29" i="10"/>
  <c r="Z28" i="10"/>
  <c r="S28" i="10"/>
  <c r="P28" i="10"/>
  <c r="N28" i="10"/>
  <c r="K28" i="10"/>
  <c r="E26" i="9" s="1"/>
  <c r="J28" i="10"/>
  <c r="H28" i="10"/>
  <c r="G28" i="10"/>
  <c r="F28" i="10"/>
  <c r="E28" i="10"/>
  <c r="Z27" i="10"/>
  <c r="S27" i="10"/>
  <c r="P27" i="10"/>
  <c r="N27" i="10"/>
  <c r="K27" i="10"/>
  <c r="J27" i="10"/>
  <c r="H27" i="10"/>
  <c r="G27" i="10"/>
  <c r="F27" i="10"/>
  <c r="E27" i="10"/>
  <c r="Z26" i="10"/>
  <c r="S26" i="10"/>
  <c r="P26" i="10"/>
  <c r="N26" i="10"/>
  <c r="K26" i="10"/>
  <c r="J26" i="10"/>
  <c r="H26" i="10"/>
  <c r="G26" i="10"/>
  <c r="F26" i="10"/>
  <c r="E26" i="10"/>
  <c r="Z25" i="10"/>
  <c r="S25" i="10"/>
  <c r="P25" i="10"/>
  <c r="N25" i="10"/>
  <c r="K25" i="10"/>
  <c r="J25" i="10"/>
  <c r="H25" i="10"/>
  <c r="G25" i="10"/>
  <c r="F25" i="10"/>
  <c r="E25" i="10"/>
  <c r="Z24" i="10"/>
  <c r="S24" i="10"/>
  <c r="P24" i="10"/>
  <c r="N24" i="10"/>
  <c r="K24" i="10"/>
  <c r="J24" i="10"/>
  <c r="H24" i="10"/>
  <c r="G24" i="10"/>
  <c r="F24" i="10"/>
  <c r="E24" i="10"/>
  <c r="Z23" i="10"/>
  <c r="S23" i="10"/>
  <c r="P23" i="10"/>
  <c r="N23" i="10"/>
  <c r="K23" i="10"/>
  <c r="J23" i="10"/>
  <c r="H23" i="10"/>
  <c r="G23" i="10"/>
  <c r="F23" i="10"/>
  <c r="E23" i="10"/>
  <c r="Z22" i="10"/>
  <c r="S22" i="10"/>
  <c r="P22" i="10"/>
  <c r="N22" i="10"/>
  <c r="K22" i="10"/>
  <c r="J22" i="10"/>
  <c r="H22" i="10"/>
  <c r="G22" i="10"/>
  <c r="F22" i="10"/>
  <c r="E22" i="10"/>
  <c r="Z21" i="10"/>
  <c r="S21" i="10"/>
  <c r="P21" i="10"/>
  <c r="N21" i="10"/>
  <c r="K21" i="10"/>
  <c r="J21" i="10"/>
  <c r="H21" i="10"/>
  <c r="G21" i="10"/>
  <c r="F21" i="10"/>
  <c r="E21" i="10"/>
  <c r="Z20" i="10"/>
  <c r="S20" i="10"/>
  <c r="P20" i="10"/>
  <c r="N20" i="10"/>
  <c r="K20" i="10"/>
  <c r="E40" i="9" s="1"/>
  <c r="J20" i="10"/>
  <c r="H20" i="10"/>
  <c r="G20" i="10"/>
  <c r="F20" i="10"/>
  <c r="E20" i="10"/>
  <c r="Z19" i="10"/>
  <c r="S19" i="10"/>
  <c r="P19" i="10"/>
  <c r="N19" i="10"/>
  <c r="K19" i="10"/>
  <c r="E27" i="9" s="1"/>
  <c r="J19" i="10"/>
  <c r="H19" i="10"/>
  <c r="G19" i="10"/>
  <c r="F19" i="10"/>
  <c r="E19" i="10"/>
  <c r="Z18" i="10"/>
  <c r="S18" i="10"/>
  <c r="P18" i="10"/>
  <c r="N18" i="10"/>
  <c r="K18" i="10"/>
  <c r="E28" i="9" s="1"/>
  <c r="J18" i="10"/>
  <c r="H18" i="10"/>
  <c r="G18" i="10"/>
  <c r="F18" i="10"/>
  <c r="E18" i="10"/>
  <c r="Z17" i="10"/>
  <c r="S17" i="10"/>
  <c r="P17" i="10"/>
  <c r="N17" i="10"/>
  <c r="K17" i="10"/>
  <c r="E30" i="9" s="1"/>
  <c r="J17" i="10"/>
  <c r="H17" i="10"/>
  <c r="G17" i="10"/>
  <c r="F17" i="10"/>
  <c r="E17" i="10"/>
  <c r="Z16" i="10"/>
  <c r="S16" i="10"/>
  <c r="P16" i="10"/>
  <c r="N16" i="10"/>
  <c r="K16" i="10"/>
  <c r="E17" i="9" s="1"/>
  <c r="J16" i="10"/>
  <c r="H16" i="10"/>
  <c r="G16" i="10"/>
  <c r="F16" i="10"/>
  <c r="E16" i="10"/>
  <c r="Z15" i="10"/>
  <c r="S15" i="10"/>
  <c r="P15" i="10"/>
  <c r="N15" i="10"/>
  <c r="K15" i="10"/>
  <c r="E14" i="9" s="1"/>
  <c r="J15" i="10"/>
  <c r="H15" i="10"/>
  <c r="G15" i="10"/>
  <c r="F15" i="10"/>
  <c r="E15" i="10"/>
  <c r="Z14" i="10"/>
  <c r="S14" i="10"/>
  <c r="P14" i="10"/>
  <c r="N14" i="10"/>
  <c r="K14" i="10"/>
  <c r="E16" i="9" s="1"/>
  <c r="J14" i="10"/>
  <c r="H14" i="10"/>
  <c r="G14" i="10"/>
  <c r="F14" i="10"/>
  <c r="E14" i="10"/>
  <c r="Z13" i="10"/>
  <c r="S13" i="10"/>
  <c r="P13" i="10"/>
  <c r="N13" i="10"/>
  <c r="K13" i="10"/>
  <c r="E22" i="9" s="1"/>
  <c r="J13" i="10"/>
  <c r="H13" i="10"/>
  <c r="G13" i="10"/>
  <c r="F13" i="10"/>
  <c r="E13" i="10"/>
  <c r="Z12" i="10"/>
  <c r="S12" i="10"/>
  <c r="P12" i="10"/>
  <c r="N12" i="10"/>
  <c r="K12" i="10"/>
  <c r="E25" i="9" s="1"/>
  <c r="J12" i="10"/>
  <c r="H12" i="10"/>
  <c r="G12" i="10"/>
  <c r="F12" i="10"/>
  <c r="E12" i="10"/>
  <c r="Z11" i="10"/>
  <c r="S11" i="10"/>
  <c r="P11" i="10"/>
  <c r="N11" i="10"/>
  <c r="K11" i="10"/>
  <c r="E13" i="9" s="1"/>
  <c r="J11" i="10"/>
  <c r="H11" i="10"/>
  <c r="G11" i="10"/>
  <c r="F11" i="10"/>
  <c r="E11" i="10"/>
  <c r="Z10" i="10"/>
  <c r="S10" i="10"/>
  <c r="P10" i="10"/>
  <c r="N10" i="10"/>
  <c r="K10" i="10"/>
  <c r="E15" i="9" s="1"/>
  <c r="J10" i="10"/>
  <c r="H10" i="10"/>
  <c r="G10" i="10"/>
  <c r="F10" i="10"/>
  <c r="E10" i="10"/>
  <c r="G9" i="10"/>
  <c r="A9" i="10"/>
  <c r="G8" i="10"/>
  <c r="A8" i="10"/>
  <c r="G7" i="10"/>
  <c r="A7" i="10"/>
  <c r="G6" i="10"/>
  <c r="A6" i="10"/>
  <c r="D48" i="8"/>
  <c r="C48" i="8"/>
  <c r="B48" i="8"/>
  <c r="A47" i="8"/>
  <c r="D46" i="8"/>
  <c r="C46" i="8"/>
  <c r="B46" i="8"/>
  <c r="D45" i="8"/>
  <c r="C45" i="8"/>
  <c r="B45" i="8"/>
  <c r="C44" i="8"/>
  <c r="B44" i="8"/>
  <c r="C43" i="8"/>
  <c r="B43" i="8"/>
  <c r="C42" i="8"/>
  <c r="B42" i="8"/>
  <c r="C41" i="8"/>
  <c r="B41" i="8"/>
  <c r="C40" i="8"/>
  <c r="B40" i="8"/>
  <c r="C39" i="8"/>
  <c r="B39" i="8"/>
  <c r="C38" i="8"/>
  <c r="B38" i="8"/>
  <c r="C37" i="8"/>
  <c r="B37" i="8"/>
  <c r="C36" i="8"/>
  <c r="B36" i="8"/>
  <c r="C35" i="8"/>
  <c r="B35" i="8"/>
  <c r="C34" i="8"/>
  <c r="B34" i="8"/>
  <c r="C33" i="8"/>
  <c r="B33" i="8"/>
  <c r="C32" i="8"/>
  <c r="B32" i="8"/>
  <c r="C31" i="8"/>
  <c r="B31" i="8"/>
  <c r="D30" i="8"/>
  <c r="C30" i="8"/>
  <c r="B30" i="8"/>
  <c r="D29" i="8"/>
  <c r="C29" i="8"/>
  <c r="B29" i="8"/>
  <c r="D28" i="8"/>
  <c r="C28" i="8"/>
  <c r="B28" i="8"/>
  <c r="D27" i="8"/>
  <c r="C27" i="8"/>
  <c r="B27" i="8"/>
  <c r="D26" i="8"/>
  <c r="C26" i="8"/>
  <c r="B26" i="8"/>
  <c r="D25" i="8"/>
  <c r="C25" i="8"/>
  <c r="B25" i="8"/>
  <c r="D24" i="8"/>
  <c r="C24" i="8"/>
  <c r="B24" i="8"/>
  <c r="A23" i="8"/>
  <c r="A22" i="8"/>
  <c r="D21" i="8"/>
  <c r="C21" i="8"/>
  <c r="B21" i="8"/>
  <c r="A20" i="8"/>
  <c r="AD12" i="8"/>
  <c r="A11" i="8"/>
  <c r="A1" i="8"/>
  <c r="H190" i="7"/>
  <c r="C190" i="7"/>
  <c r="H171" i="7"/>
  <c r="G171" i="7"/>
  <c r="E171" i="7"/>
  <c r="E170" i="7"/>
  <c r="E169" i="7"/>
  <c r="I168" i="7"/>
  <c r="H168" i="7"/>
  <c r="G168" i="7"/>
  <c r="F168" i="7"/>
  <c r="E167" i="7"/>
  <c r="D167" i="7"/>
  <c r="C167" i="7"/>
  <c r="B167" i="7"/>
  <c r="A166" i="7"/>
  <c r="H160" i="7"/>
  <c r="G160" i="7"/>
  <c r="E160" i="7"/>
  <c r="E159" i="7"/>
  <c r="E158" i="7"/>
  <c r="I157" i="7"/>
  <c r="H157" i="7"/>
  <c r="G157" i="7"/>
  <c r="F157" i="7"/>
  <c r="E156" i="7"/>
  <c r="D156" i="7"/>
  <c r="C156" i="7"/>
  <c r="B156" i="7"/>
  <c r="H154" i="7"/>
  <c r="G154" i="7"/>
  <c r="E154" i="7"/>
  <c r="E153" i="7"/>
  <c r="E152" i="7"/>
  <c r="E151" i="7"/>
  <c r="I150" i="7"/>
  <c r="H150" i="7"/>
  <c r="G150" i="7"/>
  <c r="F150" i="7"/>
  <c r="I149" i="7"/>
  <c r="H149" i="7"/>
  <c r="G149" i="7"/>
  <c r="F149" i="7"/>
  <c r="I148" i="7"/>
  <c r="H148" i="7"/>
  <c r="G148" i="7"/>
  <c r="F148" i="7"/>
  <c r="E147" i="7"/>
  <c r="D147" i="7"/>
  <c r="C147" i="7"/>
  <c r="B147" i="7"/>
  <c r="H145" i="7"/>
  <c r="G145" i="7"/>
  <c r="E145" i="7"/>
  <c r="E144" i="7"/>
  <c r="E143" i="7"/>
  <c r="I142" i="7"/>
  <c r="H142" i="7"/>
  <c r="G142" i="7"/>
  <c r="F142" i="7"/>
  <c r="D140" i="7"/>
  <c r="C140" i="7"/>
  <c r="B140" i="7"/>
  <c r="H138" i="7"/>
  <c r="G138" i="7"/>
  <c r="E138" i="7"/>
  <c r="E137" i="7"/>
  <c r="E136" i="7"/>
  <c r="I135" i="7"/>
  <c r="H135" i="7"/>
  <c r="G135" i="7"/>
  <c r="F135" i="7"/>
  <c r="D133" i="7"/>
  <c r="C133" i="7"/>
  <c r="B133" i="7"/>
  <c r="H131" i="7"/>
  <c r="G131" i="7"/>
  <c r="E131" i="7"/>
  <c r="E130" i="7"/>
  <c r="E129" i="7"/>
  <c r="E128" i="7"/>
  <c r="I127" i="7"/>
  <c r="H127" i="7"/>
  <c r="F127" i="7"/>
  <c r="D127" i="7"/>
  <c r="C127" i="7"/>
  <c r="B127" i="7"/>
  <c r="I126" i="7"/>
  <c r="H126" i="7"/>
  <c r="G126" i="7"/>
  <c r="F126" i="7"/>
  <c r="I125" i="7"/>
  <c r="H125" i="7"/>
  <c r="G125" i="7"/>
  <c r="F125" i="7"/>
  <c r="I124" i="7"/>
  <c r="H124" i="7"/>
  <c r="G124" i="7"/>
  <c r="F124" i="7"/>
  <c r="I123" i="7"/>
  <c r="H123" i="7"/>
  <c r="G123" i="7"/>
  <c r="F123" i="7"/>
  <c r="D121" i="7"/>
  <c r="C121" i="7"/>
  <c r="B121" i="7"/>
  <c r="H119" i="7"/>
  <c r="G119" i="7"/>
  <c r="E119" i="7"/>
  <c r="E118" i="7"/>
  <c r="E117" i="7"/>
  <c r="I116" i="7"/>
  <c r="H116" i="7"/>
  <c r="F116" i="7"/>
  <c r="D116" i="7"/>
  <c r="C116" i="7"/>
  <c r="B116" i="7"/>
  <c r="I115" i="7"/>
  <c r="H115" i="7"/>
  <c r="G115" i="7"/>
  <c r="F115" i="7"/>
  <c r="I114" i="7"/>
  <c r="H114" i="7"/>
  <c r="G114" i="7"/>
  <c r="F114" i="7"/>
  <c r="D112" i="7"/>
  <c r="C112" i="7"/>
  <c r="B112" i="7"/>
  <c r="H110" i="7"/>
  <c r="G110" i="7"/>
  <c r="E110" i="7"/>
  <c r="E109" i="7"/>
  <c r="E108" i="7"/>
  <c r="E107" i="7"/>
  <c r="I106" i="7"/>
  <c r="H106" i="7"/>
  <c r="F106" i="7"/>
  <c r="D106" i="7"/>
  <c r="C106" i="7"/>
  <c r="B106" i="7"/>
  <c r="I105" i="7"/>
  <c r="H105" i="7"/>
  <c r="F105" i="7"/>
  <c r="D105" i="7"/>
  <c r="C105" i="7"/>
  <c r="B105" i="7"/>
  <c r="I104" i="7"/>
  <c r="H104" i="7"/>
  <c r="F104" i="7"/>
  <c r="D104" i="7"/>
  <c r="C104" i="7"/>
  <c r="B104" i="7"/>
  <c r="I103" i="7"/>
  <c r="H103" i="7"/>
  <c r="F103" i="7"/>
  <c r="D103" i="7"/>
  <c r="C103" i="7"/>
  <c r="B103" i="7"/>
  <c r="I102" i="7"/>
  <c r="H102" i="7"/>
  <c r="F102" i="7"/>
  <c r="D102" i="7"/>
  <c r="C102" i="7"/>
  <c r="B102" i="7"/>
  <c r="I101" i="7"/>
  <c r="H101" i="7"/>
  <c r="F101" i="7"/>
  <c r="D101" i="7"/>
  <c r="C101" i="7"/>
  <c r="B101" i="7"/>
  <c r="I100" i="7"/>
  <c r="H100" i="7"/>
  <c r="F100" i="7"/>
  <c r="D100" i="7"/>
  <c r="C100" i="7"/>
  <c r="B100" i="7"/>
  <c r="I99" i="7"/>
  <c r="H99" i="7"/>
  <c r="G99" i="7"/>
  <c r="F99" i="7"/>
  <c r="I98" i="7"/>
  <c r="H98" i="7"/>
  <c r="G98" i="7"/>
  <c r="F98" i="7"/>
  <c r="I97" i="7"/>
  <c r="H97" i="7"/>
  <c r="G97" i="7"/>
  <c r="F97" i="7"/>
  <c r="I96" i="7"/>
  <c r="H96" i="7"/>
  <c r="G96" i="7"/>
  <c r="F96" i="7"/>
  <c r="D94" i="7"/>
  <c r="C94" i="7"/>
  <c r="B94" i="7"/>
  <c r="H92" i="7"/>
  <c r="G92" i="7"/>
  <c r="E92" i="7"/>
  <c r="E91" i="7"/>
  <c r="E90" i="7"/>
  <c r="I89" i="7"/>
  <c r="H89" i="7"/>
  <c r="G89" i="7"/>
  <c r="F89" i="7"/>
  <c r="E88" i="7"/>
  <c r="D88" i="7"/>
  <c r="C88" i="7"/>
  <c r="B88" i="7"/>
  <c r="H86" i="7"/>
  <c r="G86" i="7"/>
  <c r="E86" i="7"/>
  <c r="E85" i="7"/>
  <c r="E84" i="7"/>
  <c r="I83" i="7"/>
  <c r="H83" i="7"/>
  <c r="G83" i="7"/>
  <c r="F83" i="7"/>
  <c r="I82" i="7"/>
  <c r="H82" i="7"/>
  <c r="G82" i="7"/>
  <c r="F82" i="7"/>
  <c r="E81" i="7"/>
  <c r="D81" i="7"/>
  <c r="C81" i="7"/>
  <c r="B81" i="7"/>
  <c r="H79" i="7"/>
  <c r="G79" i="7"/>
  <c r="E79" i="7"/>
  <c r="E78" i="7"/>
  <c r="E77" i="7"/>
  <c r="E76" i="7"/>
  <c r="I75" i="7"/>
  <c r="H75" i="7"/>
  <c r="G75" i="7"/>
  <c r="F75" i="7"/>
  <c r="I74" i="7"/>
  <c r="H74" i="7"/>
  <c r="G74" i="7"/>
  <c r="F74" i="7"/>
  <c r="I73" i="7"/>
  <c r="H73" i="7"/>
  <c r="G73" i="7"/>
  <c r="F73" i="7"/>
  <c r="E72" i="7"/>
  <c r="D72" i="7"/>
  <c r="C72" i="7"/>
  <c r="B72" i="7"/>
  <c r="H70" i="7"/>
  <c r="G70" i="7"/>
  <c r="E70" i="7"/>
  <c r="E69" i="7"/>
  <c r="E68" i="7"/>
  <c r="I67" i="7"/>
  <c r="H67" i="7"/>
  <c r="G67" i="7"/>
  <c r="F67" i="7"/>
  <c r="I66" i="7"/>
  <c r="H66" i="7"/>
  <c r="G66" i="7"/>
  <c r="F66" i="7"/>
  <c r="I65" i="7"/>
  <c r="H65" i="7"/>
  <c r="G65" i="7"/>
  <c r="F65" i="7"/>
  <c r="E64" i="7"/>
  <c r="D64" i="7"/>
  <c r="C64" i="7"/>
  <c r="B64" i="7"/>
  <c r="H62" i="7"/>
  <c r="G62" i="7"/>
  <c r="E62" i="7"/>
  <c r="E61" i="7"/>
  <c r="E60" i="7"/>
  <c r="E59" i="7"/>
  <c r="I58" i="7"/>
  <c r="H58" i="7"/>
  <c r="G58" i="7"/>
  <c r="F58" i="7"/>
  <c r="I57" i="7"/>
  <c r="H57" i="7"/>
  <c r="G57" i="7"/>
  <c r="F57" i="7"/>
  <c r="I56" i="7"/>
  <c r="H56" i="7"/>
  <c r="G56" i="7"/>
  <c r="F56" i="7"/>
  <c r="E55" i="7"/>
  <c r="D55" i="7"/>
  <c r="C55" i="7"/>
  <c r="B55" i="7"/>
  <c r="H53" i="7"/>
  <c r="G53" i="7"/>
  <c r="E53" i="7"/>
  <c r="E52" i="7"/>
  <c r="E51" i="7"/>
  <c r="I50" i="7"/>
  <c r="H50" i="7"/>
  <c r="G50" i="7"/>
  <c r="F50" i="7"/>
  <c r="E49" i="7"/>
  <c r="D49" i="7"/>
  <c r="C49" i="7"/>
  <c r="B49" i="7"/>
  <c r="H47" i="7"/>
  <c r="G47" i="7"/>
  <c r="E47" i="7"/>
  <c r="E46" i="7"/>
  <c r="E45" i="7"/>
  <c r="I44" i="7"/>
  <c r="H44" i="7"/>
  <c r="G44" i="7"/>
  <c r="F44" i="7"/>
  <c r="E43" i="7"/>
  <c r="D43" i="7"/>
  <c r="C43" i="7"/>
  <c r="B43" i="7"/>
  <c r="A42" i="7"/>
  <c r="A40" i="7"/>
  <c r="I34" i="7"/>
  <c r="H34" i="7"/>
  <c r="G34" i="7"/>
  <c r="F34" i="7"/>
  <c r="E33" i="7"/>
  <c r="D33" i="7"/>
  <c r="C33" i="7"/>
  <c r="B33" i="7"/>
  <c r="A32" i="7"/>
  <c r="A18" i="7"/>
  <c r="AE10" i="7"/>
  <c r="G6" i="7"/>
  <c r="B6" i="7"/>
  <c r="A1" i="7"/>
  <c r="M11" i="10" l="1"/>
  <c r="F13" i="9" s="1"/>
  <c r="A1" i="4"/>
  <c r="A2" i="4"/>
  <c r="A3" i="4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1" i="3"/>
  <c r="Y1" i="3"/>
  <c r="CV1" i="3" s="1"/>
  <c r="CU1" i="3"/>
  <c r="CY1" i="3"/>
  <c r="CZ1" i="3"/>
  <c r="DB1" i="3" s="1"/>
  <c r="DA1" i="3"/>
  <c r="DC1" i="3"/>
  <c r="A2" i="3"/>
  <c r="Y2" i="3"/>
  <c r="CV2" i="3" s="1"/>
  <c r="CU2" i="3"/>
  <c r="CY2" i="3"/>
  <c r="CZ2" i="3"/>
  <c r="DB2" i="3" s="1"/>
  <c r="DA2" i="3"/>
  <c r="DC2" i="3"/>
  <c r="A3" i="3"/>
  <c r="Y3" i="3"/>
  <c r="CU3" i="3"/>
  <c r="CV3" i="3"/>
  <c r="CX3" i="3"/>
  <c r="DI3" i="3" s="1"/>
  <c r="DJ3" i="3" s="1"/>
  <c r="CY3" i="3"/>
  <c r="CZ3" i="3"/>
  <c r="DA3" i="3"/>
  <c r="DB3" i="3"/>
  <c r="DC3" i="3"/>
  <c r="DG3" i="3"/>
  <c r="DH3" i="3"/>
  <c r="A4" i="3"/>
  <c r="Y4" i="3"/>
  <c r="I11" i="10" s="1"/>
  <c r="D13" i="9" s="1"/>
  <c r="CX4" i="3"/>
  <c r="DF4" i="3" s="1"/>
  <c r="CY4" i="3"/>
  <c r="CZ4" i="3"/>
  <c r="DB4" i="3" s="1"/>
  <c r="L11" i="10" s="1"/>
  <c r="DA4" i="3"/>
  <c r="DC4" i="3"/>
  <c r="Q11" i="10" s="1"/>
  <c r="T11" i="10" s="1"/>
  <c r="DH4" i="3"/>
  <c r="DI4" i="3"/>
  <c r="A5" i="3"/>
  <c r="Y5" i="3"/>
  <c r="I10" i="10" s="1"/>
  <c r="CY5" i="3"/>
  <c r="CZ5" i="3"/>
  <c r="DB5" i="3" s="1"/>
  <c r="L10" i="10" s="1"/>
  <c r="DA5" i="3"/>
  <c r="DC5" i="3"/>
  <c r="Q10" i="10" s="1"/>
  <c r="A6" i="3"/>
  <c r="Y6" i="3"/>
  <c r="CV6" i="3" s="1"/>
  <c r="CU6" i="3"/>
  <c r="CY6" i="3"/>
  <c r="CZ6" i="3"/>
  <c r="DA6" i="3"/>
  <c r="DB6" i="3"/>
  <c r="DC6" i="3"/>
  <c r="A7" i="3"/>
  <c r="Y7" i="3"/>
  <c r="CY7" i="3"/>
  <c r="CZ7" i="3"/>
  <c r="DB7" i="3" s="1"/>
  <c r="L15" i="10" s="1"/>
  <c r="DA7" i="3"/>
  <c r="DC7" i="3"/>
  <c r="Q15" i="10" s="1"/>
  <c r="T15" i="10" s="1"/>
  <c r="A8" i="3"/>
  <c r="Y8" i="3"/>
  <c r="I14" i="10" s="1"/>
  <c r="D16" i="9" s="1"/>
  <c r="CW8" i="3"/>
  <c r="CY8" i="3"/>
  <c r="CZ8" i="3"/>
  <c r="DA8" i="3"/>
  <c r="DB8" i="3"/>
  <c r="L14" i="10" s="1"/>
  <c r="DC8" i="3"/>
  <c r="Q14" i="10" s="1"/>
  <c r="T14" i="10" s="1"/>
  <c r="A9" i="3"/>
  <c r="Y9" i="3"/>
  <c r="CY9" i="3"/>
  <c r="CZ9" i="3"/>
  <c r="DA9" i="3"/>
  <c r="DB9" i="3"/>
  <c r="L13" i="10" s="1"/>
  <c r="DC9" i="3"/>
  <c r="Q13" i="10" s="1"/>
  <c r="A10" i="3"/>
  <c r="Y10" i="3"/>
  <c r="CY10" i="3"/>
  <c r="CZ10" i="3"/>
  <c r="DB10" i="3" s="1"/>
  <c r="L12" i="10" s="1"/>
  <c r="O12" i="10" s="1"/>
  <c r="DA10" i="3"/>
  <c r="DC10" i="3"/>
  <c r="Q12" i="10" s="1"/>
  <c r="A11" i="3"/>
  <c r="Y11" i="3"/>
  <c r="CU11" i="3"/>
  <c r="CV11" i="3"/>
  <c r="CX11" i="3"/>
  <c r="DI11" i="3" s="1"/>
  <c r="DJ11" i="3" s="1"/>
  <c r="CY11" i="3"/>
  <c r="CZ11" i="3"/>
  <c r="DA11" i="3"/>
  <c r="DB11" i="3"/>
  <c r="DC11" i="3"/>
  <c r="DH11" i="3"/>
  <c r="A12" i="3"/>
  <c r="Y12" i="3"/>
  <c r="CX12" i="3"/>
  <c r="DF12" i="3" s="1"/>
  <c r="CY12" i="3"/>
  <c r="CZ12" i="3"/>
  <c r="DB12" i="3" s="1"/>
  <c r="L16" i="10" s="1"/>
  <c r="O16" i="10" s="1"/>
  <c r="DA12" i="3"/>
  <c r="DC12" i="3"/>
  <c r="Q16" i="10" s="1"/>
  <c r="T16" i="10" s="1"/>
  <c r="A13" i="3"/>
  <c r="Y13" i="3"/>
  <c r="CX13" i="3"/>
  <c r="DF13" i="3" s="1"/>
  <c r="DJ13" i="3" s="1"/>
  <c r="CY13" i="3"/>
  <c r="CZ13" i="3"/>
  <c r="DB13" i="3" s="1"/>
  <c r="DA13" i="3"/>
  <c r="DC13" i="3"/>
  <c r="DH13" i="3"/>
  <c r="A14" i="3"/>
  <c r="Y14" i="3"/>
  <c r="CV14" i="3" s="1"/>
  <c r="CU14" i="3"/>
  <c r="CY14" i="3"/>
  <c r="CZ14" i="3"/>
  <c r="DA14" i="3"/>
  <c r="DB14" i="3"/>
  <c r="DC14" i="3"/>
  <c r="A15" i="3"/>
  <c r="Y15" i="3"/>
  <c r="CY15" i="3"/>
  <c r="CZ15" i="3"/>
  <c r="DB15" i="3" s="1"/>
  <c r="L19" i="10" s="1"/>
  <c r="DA15" i="3"/>
  <c r="DC15" i="3"/>
  <c r="Q19" i="10" s="1"/>
  <c r="T19" i="10" s="1"/>
  <c r="A16" i="3"/>
  <c r="Y16" i="3"/>
  <c r="CY16" i="3"/>
  <c r="CZ16" i="3"/>
  <c r="DA16" i="3"/>
  <c r="DB16" i="3"/>
  <c r="L18" i="10" s="1"/>
  <c r="DC16" i="3"/>
  <c r="Q18" i="10" s="1"/>
  <c r="A17" i="3"/>
  <c r="Y17" i="3"/>
  <c r="CY17" i="3"/>
  <c r="CZ17" i="3"/>
  <c r="DB17" i="3" s="1"/>
  <c r="L17" i="10" s="1"/>
  <c r="DA17" i="3"/>
  <c r="DC17" i="3"/>
  <c r="Q17" i="10" s="1"/>
  <c r="A18" i="3"/>
  <c r="Y18" i="3"/>
  <c r="CU18" i="3"/>
  <c r="CV18" i="3"/>
  <c r="CX18" i="3"/>
  <c r="DI18" i="3" s="1"/>
  <c r="DJ18" i="3" s="1"/>
  <c r="CY18" i="3"/>
  <c r="CZ18" i="3"/>
  <c r="DA18" i="3"/>
  <c r="DB18" i="3"/>
  <c r="DC18" i="3"/>
  <c r="DH18" i="3"/>
  <c r="A19" i="3"/>
  <c r="Y19" i="3"/>
  <c r="CY19" i="3"/>
  <c r="CZ19" i="3"/>
  <c r="DA19" i="3"/>
  <c r="DB19" i="3"/>
  <c r="DC19" i="3"/>
  <c r="A20" i="3"/>
  <c r="Y20" i="3"/>
  <c r="I31" i="10" s="1"/>
  <c r="CY20" i="3"/>
  <c r="CZ20" i="3"/>
  <c r="DB20" i="3" s="1"/>
  <c r="L31" i="10" s="1"/>
  <c r="DA20" i="3"/>
  <c r="DC20" i="3"/>
  <c r="Q31" i="10" s="1"/>
  <c r="A21" i="3"/>
  <c r="Y21" i="3"/>
  <c r="CY21" i="3"/>
  <c r="CZ21" i="3"/>
  <c r="DB21" i="3" s="1"/>
  <c r="L30" i="10" s="1"/>
  <c r="DA21" i="3"/>
  <c r="DC21" i="3"/>
  <c r="Q30" i="10" s="1"/>
  <c r="A22" i="3"/>
  <c r="Y22" i="3"/>
  <c r="CY22" i="3"/>
  <c r="CZ22" i="3"/>
  <c r="DB22" i="3" s="1"/>
  <c r="L29" i="10" s="1"/>
  <c r="M29" i="10" s="1"/>
  <c r="F23" i="9" s="1"/>
  <c r="DA22" i="3"/>
  <c r="DC22" i="3"/>
  <c r="Q29" i="10" s="1"/>
  <c r="A23" i="3"/>
  <c r="Y23" i="3"/>
  <c r="CY23" i="3"/>
  <c r="CZ23" i="3"/>
  <c r="DB23" i="3" s="1"/>
  <c r="L28" i="10" s="1"/>
  <c r="DA23" i="3"/>
  <c r="DC23" i="3"/>
  <c r="Q28" i="10" s="1"/>
  <c r="A24" i="3"/>
  <c r="Y24" i="3"/>
  <c r="CY24" i="3"/>
  <c r="CZ24" i="3"/>
  <c r="DA24" i="3"/>
  <c r="DB24" i="3"/>
  <c r="L27" i="10" s="1"/>
  <c r="M27" i="10" s="1"/>
  <c r="DC24" i="3"/>
  <c r="Q27" i="10" s="1"/>
  <c r="A25" i="3"/>
  <c r="Y25" i="3"/>
  <c r="CY25" i="3"/>
  <c r="CZ25" i="3"/>
  <c r="DA25" i="3"/>
  <c r="DB25" i="3"/>
  <c r="DC25" i="3"/>
  <c r="A26" i="3"/>
  <c r="Y26" i="3"/>
  <c r="CY26" i="3"/>
  <c r="CZ26" i="3"/>
  <c r="DB26" i="3" s="1"/>
  <c r="L26" i="10" s="1"/>
  <c r="DA26" i="3"/>
  <c r="DC26" i="3"/>
  <c r="Q26" i="10" s="1"/>
  <c r="A27" i="3"/>
  <c r="Y27" i="3"/>
  <c r="CY27" i="3"/>
  <c r="CZ27" i="3"/>
  <c r="DB27" i="3" s="1"/>
  <c r="DA27" i="3"/>
  <c r="DC27" i="3"/>
  <c r="A28" i="3"/>
  <c r="Y28" i="3"/>
  <c r="I25" i="10" s="1"/>
  <c r="CY28" i="3"/>
  <c r="CZ28" i="3"/>
  <c r="DB28" i="3" s="1"/>
  <c r="L25" i="10" s="1"/>
  <c r="DA28" i="3"/>
  <c r="DC28" i="3"/>
  <c r="Q25" i="10" s="1"/>
  <c r="A29" i="3"/>
  <c r="Y29" i="3"/>
  <c r="CY29" i="3"/>
  <c r="CZ29" i="3"/>
  <c r="DB29" i="3" s="1"/>
  <c r="DA29" i="3"/>
  <c r="DC29" i="3"/>
  <c r="A30" i="3"/>
  <c r="Y30" i="3"/>
  <c r="CY30" i="3"/>
  <c r="CZ30" i="3"/>
  <c r="DB30" i="3" s="1"/>
  <c r="L24" i="10" s="1"/>
  <c r="DA30" i="3"/>
  <c r="DC30" i="3"/>
  <c r="Q24" i="10" s="1"/>
  <c r="A31" i="3"/>
  <c r="Y31" i="3"/>
  <c r="CY31" i="3"/>
  <c r="CZ31" i="3"/>
  <c r="DB31" i="3" s="1"/>
  <c r="DA31" i="3"/>
  <c r="DC31" i="3"/>
  <c r="A32" i="3"/>
  <c r="Y32" i="3"/>
  <c r="CY32" i="3"/>
  <c r="CZ32" i="3"/>
  <c r="DB32" i="3" s="1"/>
  <c r="L23" i="10" s="1"/>
  <c r="DA32" i="3"/>
  <c r="DC32" i="3"/>
  <c r="Q23" i="10" s="1"/>
  <c r="A33" i="3"/>
  <c r="Y33" i="3"/>
  <c r="CY33" i="3"/>
  <c r="CZ33" i="3"/>
  <c r="DA33" i="3"/>
  <c r="DB33" i="3"/>
  <c r="DC33" i="3"/>
  <c r="A34" i="3"/>
  <c r="Y34" i="3"/>
  <c r="CY34" i="3"/>
  <c r="CZ34" i="3"/>
  <c r="DA34" i="3"/>
  <c r="DB34" i="3"/>
  <c r="L22" i="10" s="1"/>
  <c r="DC34" i="3"/>
  <c r="Q22" i="10" s="1"/>
  <c r="T22" i="10" s="1"/>
  <c r="A35" i="3"/>
  <c r="Y35" i="3"/>
  <c r="CY35" i="3"/>
  <c r="CZ35" i="3"/>
  <c r="DB35" i="3" s="1"/>
  <c r="DA35" i="3"/>
  <c r="DC35" i="3"/>
  <c r="A36" i="3"/>
  <c r="Y36" i="3"/>
  <c r="I21" i="10" s="1"/>
  <c r="CY36" i="3"/>
  <c r="CZ36" i="3"/>
  <c r="DB36" i="3" s="1"/>
  <c r="L21" i="10" s="1"/>
  <c r="DA36" i="3"/>
  <c r="DC36" i="3"/>
  <c r="Q21" i="10" s="1"/>
  <c r="A37" i="3"/>
  <c r="Y37" i="3"/>
  <c r="CY37" i="3"/>
  <c r="CZ37" i="3"/>
  <c r="DB37" i="3" s="1"/>
  <c r="DA37" i="3"/>
  <c r="DC37" i="3"/>
  <c r="A38" i="3"/>
  <c r="Y38" i="3"/>
  <c r="CY38" i="3"/>
  <c r="CZ38" i="3"/>
  <c r="DB38" i="3" s="1"/>
  <c r="L20" i="10" s="1"/>
  <c r="M20" i="10" s="1"/>
  <c r="F40" i="9" s="1"/>
  <c r="DA38" i="3"/>
  <c r="DC38" i="3"/>
  <c r="Q20" i="10" s="1"/>
  <c r="A39" i="3"/>
  <c r="Y39" i="3"/>
  <c r="CY39" i="3"/>
  <c r="CZ39" i="3"/>
  <c r="DA39" i="3"/>
  <c r="DB39" i="3"/>
  <c r="DC39" i="3"/>
  <c r="A40" i="3"/>
  <c r="Y40" i="3"/>
  <c r="CY40" i="3"/>
  <c r="CZ40" i="3"/>
  <c r="DB40" i="3" s="1"/>
  <c r="L45" i="10" s="1"/>
  <c r="DA40" i="3"/>
  <c r="DC40" i="3"/>
  <c r="Q45" i="10" s="1"/>
  <c r="A41" i="3"/>
  <c r="Y41" i="3"/>
  <c r="CY41" i="3"/>
  <c r="CZ41" i="3"/>
  <c r="DB41" i="3" s="1"/>
  <c r="L44" i="10" s="1"/>
  <c r="DA41" i="3"/>
  <c r="DC41" i="3"/>
  <c r="Q44" i="10" s="1"/>
  <c r="A42" i="3"/>
  <c r="Y42" i="3"/>
  <c r="CY42" i="3"/>
  <c r="CZ42" i="3"/>
  <c r="DB42" i="3" s="1"/>
  <c r="L43" i="10" s="1"/>
  <c r="DA42" i="3"/>
  <c r="DC42" i="3"/>
  <c r="Q43" i="10" s="1"/>
  <c r="A43" i="3"/>
  <c r="Y43" i="3"/>
  <c r="CY43" i="3"/>
  <c r="CZ43" i="3"/>
  <c r="DB43" i="3" s="1"/>
  <c r="L42" i="10" s="1"/>
  <c r="DA43" i="3"/>
  <c r="DC43" i="3"/>
  <c r="Q42" i="10" s="1"/>
  <c r="R42" i="10" s="1"/>
  <c r="A44" i="3"/>
  <c r="Y44" i="3"/>
  <c r="CY44" i="3"/>
  <c r="CZ44" i="3"/>
  <c r="DB44" i="3" s="1"/>
  <c r="L41" i="10" s="1"/>
  <c r="DA44" i="3"/>
  <c r="DC44" i="3"/>
  <c r="Q41" i="10" s="1"/>
  <c r="A45" i="3"/>
  <c r="Y45" i="3"/>
  <c r="CY45" i="3"/>
  <c r="CZ45" i="3"/>
  <c r="DB45" i="3" s="1"/>
  <c r="L40" i="10" s="1"/>
  <c r="DA45" i="3"/>
  <c r="DC45" i="3"/>
  <c r="Q40" i="10" s="1"/>
  <c r="A46" i="3"/>
  <c r="Y46" i="3"/>
  <c r="CY46" i="3"/>
  <c r="CZ46" i="3"/>
  <c r="DA46" i="3"/>
  <c r="DB46" i="3"/>
  <c r="L39" i="10" s="1"/>
  <c r="M39" i="10" s="1"/>
  <c r="DC46" i="3"/>
  <c r="Q39" i="10" s="1"/>
  <c r="A47" i="3"/>
  <c r="Y47" i="3"/>
  <c r="CY47" i="3"/>
  <c r="CZ47" i="3"/>
  <c r="DB47" i="3" s="1"/>
  <c r="DA47" i="3"/>
  <c r="DC47" i="3"/>
  <c r="A48" i="3"/>
  <c r="Y48" i="3"/>
  <c r="CY48" i="3"/>
  <c r="CZ48" i="3"/>
  <c r="DB48" i="3" s="1"/>
  <c r="DA48" i="3"/>
  <c r="DC48" i="3"/>
  <c r="A49" i="3"/>
  <c r="Y49" i="3"/>
  <c r="CY49" i="3"/>
  <c r="CZ49" i="3"/>
  <c r="DB49" i="3" s="1"/>
  <c r="L54" i="10" s="1"/>
  <c r="DA49" i="3"/>
  <c r="DC49" i="3"/>
  <c r="Q54" i="10" s="1"/>
  <c r="A50" i="3"/>
  <c r="Y50" i="3"/>
  <c r="CY50" i="3"/>
  <c r="CZ50" i="3"/>
  <c r="DB50" i="3" s="1"/>
  <c r="L53" i="10" s="1"/>
  <c r="M53" i="10" s="1"/>
  <c r="F21" i="9" s="1"/>
  <c r="DA50" i="3"/>
  <c r="DC50" i="3"/>
  <c r="Q53" i="10" s="1"/>
  <c r="A51" i="3"/>
  <c r="Y51" i="3"/>
  <c r="I52" i="10" s="1"/>
  <c r="D24" i="9" s="1"/>
  <c r="CY51" i="3"/>
  <c r="CZ51" i="3"/>
  <c r="DB51" i="3" s="1"/>
  <c r="L52" i="10" s="1"/>
  <c r="DA51" i="3"/>
  <c r="DC51" i="3"/>
  <c r="Q52" i="10" s="1"/>
  <c r="A52" i="3"/>
  <c r="Y52" i="3"/>
  <c r="CY52" i="3"/>
  <c r="CZ52" i="3"/>
  <c r="DB52" i="3" s="1"/>
  <c r="L51" i="10" s="1"/>
  <c r="DA52" i="3"/>
  <c r="DC52" i="3"/>
  <c r="Q51" i="10" s="1"/>
  <c r="A53" i="3"/>
  <c r="Y53" i="3"/>
  <c r="CY53" i="3"/>
  <c r="CZ53" i="3"/>
  <c r="DB53" i="3" s="1"/>
  <c r="L50" i="10" s="1"/>
  <c r="DA53" i="3"/>
  <c r="DC53" i="3"/>
  <c r="Q50" i="10" s="1"/>
  <c r="A54" i="3"/>
  <c r="Y54" i="3"/>
  <c r="CY54" i="3"/>
  <c r="CZ54" i="3"/>
  <c r="DB54" i="3" s="1"/>
  <c r="DA54" i="3"/>
  <c r="DC54" i="3"/>
  <c r="A55" i="3"/>
  <c r="Y55" i="3"/>
  <c r="CY55" i="3"/>
  <c r="CZ55" i="3"/>
  <c r="DA55" i="3"/>
  <c r="DB55" i="3"/>
  <c r="L49" i="10" s="1"/>
  <c r="DC55" i="3"/>
  <c r="Q49" i="10" s="1"/>
  <c r="A56" i="3"/>
  <c r="Y56" i="3"/>
  <c r="I48" i="10" s="1"/>
  <c r="D37" i="9" s="1"/>
  <c r="CY56" i="3"/>
  <c r="CZ56" i="3"/>
  <c r="DA56" i="3"/>
  <c r="DB56" i="3"/>
  <c r="L48" i="10" s="1"/>
  <c r="O48" i="10" s="1"/>
  <c r="DC56" i="3"/>
  <c r="Q48" i="10" s="1"/>
  <c r="A57" i="3"/>
  <c r="Y57" i="3"/>
  <c r="CY57" i="3"/>
  <c r="CZ57" i="3"/>
  <c r="DB57" i="3" s="1"/>
  <c r="L47" i="10" s="1"/>
  <c r="DA57" i="3"/>
  <c r="DC57" i="3"/>
  <c r="Q47" i="10" s="1"/>
  <c r="A58" i="3"/>
  <c r="Y58" i="3"/>
  <c r="CY58" i="3"/>
  <c r="CZ58" i="3"/>
  <c r="DB58" i="3" s="1"/>
  <c r="DA58" i="3"/>
  <c r="DC58" i="3"/>
  <c r="A59" i="3"/>
  <c r="Y59" i="3"/>
  <c r="CY59" i="3"/>
  <c r="CZ59" i="3"/>
  <c r="DA59" i="3"/>
  <c r="DB59" i="3"/>
  <c r="DC59" i="3"/>
  <c r="A60" i="3"/>
  <c r="Y60" i="3"/>
  <c r="CV60" i="3" s="1"/>
  <c r="CU60" i="3"/>
  <c r="CY60" i="3"/>
  <c r="CZ60" i="3"/>
  <c r="DB60" i="3" s="1"/>
  <c r="DA60" i="3"/>
  <c r="DC60" i="3"/>
  <c r="A61" i="3"/>
  <c r="Y61" i="3"/>
  <c r="I56" i="10" s="1"/>
  <c r="D18" i="9" s="1"/>
  <c r="CX61" i="3"/>
  <c r="DF61" i="3" s="1"/>
  <c r="CY61" i="3"/>
  <c r="CZ61" i="3"/>
  <c r="DA61" i="3"/>
  <c r="DB61" i="3"/>
  <c r="L56" i="10" s="1"/>
  <c r="DC61" i="3"/>
  <c r="Q56" i="10" s="1"/>
  <c r="DI61" i="3"/>
  <c r="A62" i="3"/>
  <c r="Y62" i="3"/>
  <c r="CV62" i="3" s="1"/>
  <c r="CU62" i="3"/>
  <c r="CX62" i="3"/>
  <c r="DF62" i="3" s="1"/>
  <c r="CY62" i="3"/>
  <c r="CZ62" i="3"/>
  <c r="DB62" i="3" s="1"/>
  <c r="DA62" i="3"/>
  <c r="DC62" i="3"/>
  <c r="A63" i="3"/>
  <c r="Y63" i="3"/>
  <c r="CV63" i="3" s="1"/>
  <c r="CU63" i="3"/>
  <c r="CY63" i="3"/>
  <c r="CZ63" i="3"/>
  <c r="DB63" i="3" s="1"/>
  <c r="DA63" i="3"/>
  <c r="DC63" i="3"/>
  <c r="D12" i="1"/>
  <c r="E18" i="1"/>
  <c r="Z18" i="1"/>
  <c r="AA18" i="1"/>
  <c r="AB18" i="1"/>
  <c r="AC18" i="1"/>
  <c r="AD18" i="1"/>
  <c r="AE18" i="1"/>
  <c r="AF18" i="1"/>
  <c r="AG18" i="1"/>
  <c r="AH18" i="1"/>
  <c r="AI18" i="1"/>
  <c r="AJ18" i="1"/>
  <c r="AK18" i="1"/>
  <c r="AL18" i="1"/>
  <c r="AM18" i="1"/>
  <c r="AN18" i="1"/>
  <c r="BE18" i="1"/>
  <c r="BF18" i="1"/>
  <c r="BG18" i="1"/>
  <c r="BH18" i="1"/>
  <c r="BI18" i="1"/>
  <c r="BJ18" i="1"/>
  <c r="BK18" i="1"/>
  <c r="BL18" i="1"/>
  <c r="BM18" i="1"/>
  <c r="BN18" i="1"/>
  <c r="BO18" i="1"/>
  <c r="BP18" i="1"/>
  <c r="BQ18" i="1"/>
  <c r="BR18" i="1"/>
  <c r="BS18" i="1"/>
  <c r="BT18" i="1"/>
  <c r="BU18" i="1"/>
  <c r="BV18" i="1"/>
  <c r="BW18" i="1"/>
  <c r="BX18" i="1"/>
  <c r="BY18" i="1"/>
  <c r="BZ18" i="1"/>
  <c r="CA18" i="1"/>
  <c r="CB18" i="1"/>
  <c r="CC18" i="1"/>
  <c r="CD18" i="1"/>
  <c r="CE18" i="1"/>
  <c r="CF18" i="1"/>
  <c r="CG18" i="1"/>
  <c r="CH18" i="1"/>
  <c r="CI18" i="1"/>
  <c r="CJ18" i="1"/>
  <c r="CK18" i="1"/>
  <c r="CL18" i="1"/>
  <c r="CM18" i="1"/>
  <c r="CN18" i="1"/>
  <c r="CO18" i="1"/>
  <c r="CP18" i="1"/>
  <c r="CQ18" i="1"/>
  <c r="CR18" i="1"/>
  <c r="CS18" i="1"/>
  <c r="CT18" i="1"/>
  <c r="CU18" i="1"/>
  <c r="CV18" i="1"/>
  <c r="CW18" i="1"/>
  <c r="CX18" i="1"/>
  <c r="CY18" i="1"/>
  <c r="CZ18" i="1"/>
  <c r="DA18" i="1"/>
  <c r="DB18" i="1"/>
  <c r="DC18" i="1"/>
  <c r="DD18" i="1"/>
  <c r="DE18" i="1"/>
  <c r="DF18" i="1"/>
  <c r="DG18" i="1"/>
  <c r="DH18" i="1"/>
  <c r="DI18" i="1"/>
  <c r="DJ18" i="1"/>
  <c r="DK18" i="1"/>
  <c r="DL18" i="1"/>
  <c r="DM18" i="1"/>
  <c r="DN18" i="1"/>
  <c r="DO18" i="1"/>
  <c r="DP18" i="1"/>
  <c r="DQ18" i="1"/>
  <c r="DR18" i="1"/>
  <c r="DS18" i="1"/>
  <c r="DT18" i="1"/>
  <c r="DU18" i="1"/>
  <c r="DV18" i="1"/>
  <c r="DW18" i="1"/>
  <c r="DX18" i="1"/>
  <c r="DY18" i="1"/>
  <c r="DZ18" i="1"/>
  <c r="EA18" i="1"/>
  <c r="EB18" i="1"/>
  <c r="EC18" i="1"/>
  <c r="ED18" i="1"/>
  <c r="EE18" i="1"/>
  <c r="EF18" i="1"/>
  <c r="EG18" i="1"/>
  <c r="EH18" i="1"/>
  <c r="EI18" i="1"/>
  <c r="EJ18" i="1"/>
  <c r="EK18" i="1"/>
  <c r="EL18" i="1"/>
  <c r="EM18" i="1"/>
  <c r="EN18" i="1"/>
  <c r="EO18" i="1"/>
  <c r="EP18" i="1"/>
  <c r="EQ18" i="1"/>
  <c r="ER18" i="1"/>
  <c r="ES18" i="1"/>
  <c r="ET18" i="1"/>
  <c r="EU18" i="1"/>
  <c r="EV18" i="1"/>
  <c r="EW18" i="1"/>
  <c r="EX18" i="1"/>
  <c r="EY18" i="1"/>
  <c r="EZ18" i="1"/>
  <c r="FA18" i="1"/>
  <c r="FB18" i="1"/>
  <c r="FC18" i="1"/>
  <c r="FD18" i="1"/>
  <c r="FE18" i="1"/>
  <c r="FF18" i="1"/>
  <c r="FG18" i="1"/>
  <c r="FH18" i="1"/>
  <c r="FI18" i="1"/>
  <c r="FJ18" i="1"/>
  <c r="FK18" i="1"/>
  <c r="FL18" i="1"/>
  <c r="FM18" i="1"/>
  <c r="FN18" i="1"/>
  <c r="FO18" i="1"/>
  <c r="FP18" i="1"/>
  <c r="FQ18" i="1"/>
  <c r="FR18" i="1"/>
  <c r="FS18" i="1"/>
  <c r="FT18" i="1"/>
  <c r="FU18" i="1"/>
  <c r="FV18" i="1"/>
  <c r="FW18" i="1"/>
  <c r="FX18" i="1"/>
  <c r="FY18" i="1"/>
  <c r="FZ18" i="1"/>
  <c r="GA18" i="1"/>
  <c r="GB18" i="1"/>
  <c r="GC18" i="1"/>
  <c r="GD18" i="1"/>
  <c r="GE18" i="1"/>
  <c r="GF18" i="1"/>
  <c r="GG18" i="1"/>
  <c r="GH18" i="1"/>
  <c r="GI18" i="1"/>
  <c r="GJ18" i="1"/>
  <c r="GK18" i="1"/>
  <c r="GL18" i="1"/>
  <c r="GM18" i="1"/>
  <c r="GN18" i="1"/>
  <c r="GO18" i="1"/>
  <c r="GP18" i="1"/>
  <c r="GQ18" i="1"/>
  <c r="GR18" i="1"/>
  <c r="GS18" i="1"/>
  <c r="GT18" i="1"/>
  <c r="GU18" i="1"/>
  <c r="GV18" i="1"/>
  <c r="GW18" i="1"/>
  <c r="GX18" i="1"/>
  <c r="D20" i="1"/>
  <c r="E22" i="1"/>
  <c r="Z22" i="1"/>
  <c r="AA22" i="1"/>
  <c r="AB22" i="1"/>
  <c r="AC22" i="1"/>
  <c r="AD22" i="1"/>
  <c r="AE22" i="1"/>
  <c r="AF22" i="1"/>
  <c r="AG22" i="1"/>
  <c r="AH22" i="1"/>
  <c r="AI22" i="1"/>
  <c r="AJ22" i="1"/>
  <c r="AK22" i="1"/>
  <c r="AL22" i="1"/>
  <c r="AM22" i="1"/>
  <c r="AN22" i="1"/>
  <c r="BE22" i="1"/>
  <c r="BF22" i="1"/>
  <c r="BG22" i="1"/>
  <c r="BH22" i="1"/>
  <c r="BI22" i="1"/>
  <c r="BJ22" i="1"/>
  <c r="BK22" i="1"/>
  <c r="BL22" i="1"/>
  <c r="BM22" i="1"/>
  <c r="BN22" i="1"/>
  <c r="BO22" i="1"/>
  <c r="BP22" i="1"/>
  <c r="BQ22" i="1"/>
  <c r="BR22" i="1"/>
  <c r="BS22" i="1"/>
  <c r="BT22" i="1"/>
  <c r="BU22" i="1"/>
  <c r="BV22" i="1"/>
  <c r="BW22" i="1"/>
  <c r="BX22" i="1"/>
  <c r="BY22" i="1"/>
  <c r="BZ22" i="1"/>
  <c r="CA22" i="1"/>
  <c r="CB22" i="1"/>
  <c r="CC22" i="1"/>
  <c r="CD22" i="1"/>
  <c r="CE22" i="1"/>
  <c r="CF22" i="1"/>
  <c r="CG22" i="1"/>
  <c r="CH22" i="1"/>
  <c r="CI22" i="1"/>
  <c r="CJ22" i="1"/>
  <c r="CK22" i="1"/>
  <c r="CL22" i="1"/>
  <c r="CM22" i="1"/>
  <c r="CN22" i="1"/>
  <c r="CO22" i="1"/>
  <c r="CP22" i="1"/>
  <c r="CQ22" i="1"/>
  <c r="CR22" i="1"/>
  <c r="CS22" i="1"/>
  <c r="CT22" i="1"/>
  <c r="CU22" i="1"/>
  <c r="CV22" i="1"/>
  <c r="CW22" i="1"/>
  <c r="CX22" i="1"/>
  <c r="CY22" i="1"/>
  <c r="CZ22" i="1"/>
  <c r="DA22" i="1"/>
  <c r="DB22" i="1"/>
  <c r="DC22" i="1"/>
  <c r="DD22" i="1"/>
  <c r="DE22" i="1"/>
  <c r="DF22" i="1"/>
  <c r="DG22" i="1"/>
  <c r="DH22" i="1"/>
  <c r="DI22" i="1"/>
  <c r="DJ22" i="1"/>
  <c r="DK22" i="1"/>
  <c r="DL22" i="1"/>
  <c r="DM22" i="1"/>
  <c r="DN22" i="1"/>
  <c r="DO22" i="1"/>
  <c r="DP22" i="1"/>
  <c r="DQ22" i="1"/>
  <c r="DR22" i="1"/>
  <c r="DS22" i="1"/>
  <c r="DT22" i="1"/>
  <c r="DU22" i="1"/>
  <c r="DV22" i="1"/>
  <c r="DW22" i="1"/>
  <c r="DX22" i="1"/>
  <c r="DY22" i="1"/>
  <c r="DZ22" i="1"/>
  <c r="EA22" i="1"/>
  <c r="EB22" i="1"/>
  <c r="EC22" i="1"/>
  <c r="ED22" i="1"/>
  <c r="EE22" i="1"/>
  <c r="EF22" i="1"/>
  <c r="EG22" i="1"/>
  <c r="EH22" i="1"/>
  <c r="EI22" i="1"/>
  <c r="EJ22" i="1"/>
  <c r="EK22" i="1"/>
  <c r="EL22" i="1"/>
  <c r="EM22" i="1"/>
  <c r="EN22" i="1"/>
  <c r="EO22" i="1"/>
  <c r="EP22" i="1"/>
  <c r="EQ22" i="1"/>
  <c r="ER22" i="1"/>
  <c r="ES22" i="1"/>
  <c r="ET22" i="1"/>
  <c r="EU22" i="1"/>
  <c r="EV22" i="1"/>
  <c r="EW22" i="1"/>
  <c r="EX22" i="1"/>
  <c r="EY22" i="1"/>
  <c r="EZ22" i="1"/>
  <c r="FA22" i="1"/>
  <c r="FB22" i="1"/>
  <c r="FC22" i="1"/>
  <c r="FD22" i="1"/>
  <c r="FE22" i="1"/>
  <c r="FF22" i="1"/>
  <c r="FG22" i="1"/>
  <c r="FH22" i="1"/>
  <c r="FI22" i="1"/>
  <c r="FJ22" i="1"/>
  <c r="FK22" i="1"/>
  <c r="FL22" i="1"/>
  <c r="FM22" i="1"/>
  <c r="FN22" i="1"/>
  <c r="FO22" i="1"/>
  <c r="FP22" i="1"/>
  <c r="FQ22" i="1"/>
  <c r="FR22" i="1"/>
  <c r="FS22" i="1"/>
  <c r="FT22" i="1"/>
  <c r="FU22" i="1"/>
  <c r="FV22" i="1"/>
  <c r="FW22" i="1"/>
  <c r="FX22" i="1"/>
  <c r="FY22" i="1"/>
  <c r="FZ22" i="1"/>
  <c r="GA22" i="1"/>
  <c r="GB22" i="1"/>
  <c r="GC22" i="1"/>
  <c r="GD22" i="1"/>
  <c r="GE22" i="1"/>
  <c r="GF22" i="1"/>
  <c r="GG22" i="1"/>
  <c r="GH22" i="1"/>
  <c r="GI22" i="1"/>
  <c r="GJ22" i="1"/>
  <c r="GK22" i="1"/>
  <c r="GL22" i="1"/>
  <c r="GM22" i="1"/>
  <c r="GN22" i="1"/>
  <c r="GO22" i="1"/>
  <c r="GP22" i="1"/>
  <c r="GQ22" i="1"/>
  <c r="GR22" i="1"/>
  <c r="GS22" i="1"/>
  <c r="GT22" i="1"/>
  <c r="GU22" i="1"/>
  <c r="GV22" i="1"/>
  <c r="GW22" i="1"/>
  <c r="GX22" i="1"/>
  <c r="D24" i="1"/>
  <c r="E26" i="1"/>
  <c r="Z26" i="1"/>
  <c r="AA26" i="1"/>
  <c r="AM26" i="1"/>
  <c r="AN26" i="1"/>
  <c r="BE26" i="1"/>
  <c r="BF26" i="1"/>
  <c r="BG26" i="1"/>
  <c r="BH26" i="1"/>
  <c r="BI26" i="1"/>
  <c r="BJ26" i="1"/>
  <c r="BK26" i="1"/>
  <c r="BL26" i="1"/>
  <c r="BM26" i="1"/>
  <c r="BN26" i="1"/>
  <c r="BO26" i="1"/>
  <c r="BP26" i="1"/>
  <c r="BQ26" i="1"/>
  <c r="BR26" i="1"/>
  <c r="BS26" i="1"/>
  <c r="BT26" i="1"/>
  <c r="BU26" i="1"/>
  <c r="BV26" i="1"/>
  <c r="BW26" i="1"/>
  <c r="CN26" i="1"/>
  <c r="CO26" i="1"/>
  <c r="CP26" i="1"/>
  <c r="CQ26" i="1"/>
  <c r="CR26" i="1"/>
  <c r="CS26" i="1"/>
  <c r="CT26" i="1"/>
  <c r="CU26" i="1"/>
  <c r="CV26" i="1"/>
  <c r="CW26" i="1"/>
  <c r="CX26" i="1"/>
  <c r="CY26" i="1"/>
  <c r="CZ26" i="1"/>
  <c r="DA26" i="1"/>
  <c r="DB26" i="1"/>
  <c r="DC26" i="1"/>
  <c r="DD26" i="1"/>
  <c r="DE26" i="1"/>
  <c r="DF26" i="1"/>
  <c r="DG26" i="1"/>
  <c r="DH26" i="1"/>
  <c r="DI26" i="1"/>
  <c r="DJ26" i="1"/>
  <c r="DK26" i="1"/>
  <c r="DL26" i="1"/>
  <c r="DM26" i="1"/>
  <c r="DN26" i="1"/>
  <c r="DO26" i="1"/>
  <c r="DP26" i="1"/>
  <c r="DQ26" i="1"/>
  <c r="DR26" i="1"/>
  <c r="DS26" i="1"/>
  <c r="DT26" i="1"/>
  <c r="DU26" i="1"/>
  <c r="DV26" i="1"/>
  <c r="DW26" i="1"/>
  <c r="DX26" i="1"/>
  <c r="DY26" i="1"/>
  <c r="DZ26" i="1"/>
  <c r="EA26" i="1"/>
  <c r="EB26" i="1"/>
  <c r="EC26" i="1"/>
  <c r="ED26" i="1"/>
  <c r="EE26" i="1"/>
  <c r="EF26" i="1"/>
  <c r="EG26" i="1"/>
  <c r="EH26" i="1"/>
  <c r="EI26" i="1"/>
  <c r="EJ26" i="1"/>
  <c r="EK26" i="1"/>
  <c r="EL26" i="1"/>
  <c r="EM26" i="1"/>
  <c r="EN26" i="1"/>
  <c r="EO26" i="1"/>
  <c r="EP26" i="1"/>
  <c r="EQ26" i="1"/>
  <c r="ER26" i="1"/>
  <c r="ES26" i="1"/>
  <c r="ET26" i="1"/>
  <c r="EU26" i="1"/>
  <c r="EV26" i="1"/>
  <c r="EW26" i="1"/>
  <c r="EX26" i="1"/>
  <c r="EY26" i="1"/>
  <c r="EZ26" i="1"/>
  <c r="FA26" i="1"/>
  <c r="FB26" i="1"/>
  <c r="FC26" i="1"/>
  <c r="FD26" i="1"/>
  <c r="FE26" i="1"/>
  <c r="FF26" i="1"/>
  <c r="FG26" i="1"/>
  <c r="FH26" i="1"/>
  <c r="FI26" i="1"/>
  <c r="FJ26" i="1"/>
  <c r="FK26" i="1"/>
  <c r="FL26" i="1"/>
  <c r="FM26" i="1"/>
  <c r="FN26" i="1"/>
  <c r="FO26" i="1"/>
  <c r="FP26" i="1"/>
  <c r="FQ26" i="1"/>
  <c r="FR26" i="1"/>
  <c r="FS26" i="1"/>
  <c r="FT26" i="1"/>
  <c r="FU26" i="1"/>
  <c r="FV26" i="1"/>
  <c r="FW26" i="1"/>
  <c r="FX26" i="1"/>
  <c r="FY26" i="1"/>
  <c r="FZ26" i="1"/>
  <c r="GA26" i="1"/>
  <c r="GB26" i="1"/>
  <c r="GC26" i="1"/>
  <c r="GD26" i="1"/>
  <c r="GE26" i="1"/>
  <c r="GF26" i="1"/>
  <c r="GG26" i="1"/>
  <c r="GH26" i="1"/>
  <c r="GI26" i="1"/>
  <c r="GJ26" i="1"/>
  <c r="GK26" i="1"/>
  <c r="GL26" i="1"/>
  <c r="GM26" i="1"/>
  <c r="GN26" i="1"/>
  <c r="GO26" i="1"/>
  <c r="GP26" i="1"/>
  <c r="GQ26" i="1"/>
  <c r="GR26" i="1"/>
  <c r="GS26" i="1"/>
  <c r="GT26" i="1"/>
  <c r="GU26" i="1"/>
  <c r="GV26" i="1"/>
  <c r="GW26" i="1"/>
  <c r="GX26" i="1"/>
  <c r="AC28" i="1"/>
  <c r="AE28" i="1"/>
  <c r="AF28" i="1"/>
  <c r="AG28" i="1"/>
  <c r="AH28" i="1"/>
  <c r="CV28" i="1" s="1"/>
  <c r="U28" i="1" s="1"/>
  <c r="AH30" i="1" s="1"/>
  <c r="AH26" i="1" s="1"/>
  <c r="AI28" i="1"/>
  <c r="CW28" i="1" s="1"/>
  <c r="V28" i="1" s="1"/>
  <c r="AI30" i="1" s="1"/>
  <c r="AI26" i="1" s="1"/>
  <c r="AJ28" i="1"/>
  <c r="CX28" i="1" s="1"/>
  <c r="W28" i="1" s="1"/>
  <c r="AJ30" i="1" s="1"/>
  <c r="CQ28" i="1"/>
  <c r="P28" i="1" s="1"/>
  <c r="CU28" i="1"/>
  <c r="T28" i="1" s="1"/>
  <c r="AG30" i="1" s="1"/>
  <c r="GL28" i="1"/>
  <c r="GN28" i="1"/>
  <c r="CB30" i="1" s="1"/>
  <c r="AS30" i="1" s="1"/>
  <c r="AS26" i="1" s="1"/>
  <c r="GO28" i="1"/>
  <c r="CC30" i="1" s="1"/>
  <c r="AT30" i="1" s="1"/>
  <c r="GV28" i="1"/>
  <c r="HC28" i="1" s="1"/>
  <c r="GX28" i="1" s="1"/>
  <c r="CJ30" i="1" s="1"/>
  <c r="B30" i="1"/>
  <c r="B26" i="1" s="1"/>
  <c r="C30" i="1"/>
  <c r="C26" i="1" s="1"/>
  <c r="D30" i="1"/>
  <c r="D26" i="1" s="1"/>
  <c r="F30" i="1"/>
  <c r="F26" i="1" s="1"/>
  <c r="G30" i="1"/>
  <c r="U30" i="1"/>
  <c r="BX30" i="1"/>
  <c r="AO30" i="1" s="1"/>
  <c r="BY30" i="1"/>
  <c r="AP30" i="1" s="1"/>
  <c r="BZ30" i="1"/>
  <c r="AQ30" i="1" s="1"/>
  <c r="AQ26" i="1" s="1"/>
  <c r="CK30" i="1"/>
  <c r="BB30" i="1" s="1"/>
  <c r="CL30" i="1"/>
  <c r="CL26" i="1" s="1"/>
  <c r="CM30" i="1"/>
  <c r="CM26" i="1" s="1"/>
  <c r="F40" i="1"/>
  <c r="D60" i="1"/>
  <c r="E62" i="1"/>
  <c r="Z62" i="1"/>
  <c r="AA62" i="1"/>
  <c r="AB62" i="1"/>
  <c r="AC62" i="1"/>
  <c r="AD62" i="1"/>
  <c r="AE62" i="1"/>
  <c r="AF62" i="1"/>
  <c r="AG62" i="1"/>
  <c r="AH62" i="1"/>
  <c r="AI62" i="1"/>
  <c r="AJ62" i="1"/>
  <c r="AK62" i="1"/>
  <c r="AL62" i="1"/>
  <c r="AM62" i="1"/>
  <c r="AN62" i="1"/>
  <c r="BE62" i="1"/>
  <c r="BF62" i="1"/>
  <c r="BG62" i="1"/>
  <c r="BH62" i="1"/>
  <c r="BI62" i="1"/>
  <c r="BJ62" i="1"/>
  <c r="BK62" i="1"/>
  <c r="BL62" i="1"/>
  <c r="BM62" i="1"/>
  <c r="BN62" i="1"/>
  <c r="BO62" i="1"/>
  <c r="BP62" i="1"/>
  <c r="BQ62" i="1"/>
  <c r="BR62" i="1"/>
  <c r="BS62" i="1"/>
  <c r="BT62" i="1"/>
  <c r="BU62" i="1"/>
  <c r="BV62" i="1"/>
  <c r="BW62" i="1"/>
  <c r="BX62" i="1"/>
  <c r="BY62" i="1"/>
  <c r="BZ62" i="1"/>
  <c r="CA62" i="1"/>
  <c r="CB62" i="1"/>
  <c r="CC62" i="1"/>
  <c r="CD62" i="1"/>
  <c r="CE62" i="1"/>
  <c r="CF62" i="1"/>
  <c r="CG62" i="1"/>
  <c r="CH62" i="1"/>
  <c r="CI62" i="1"/>
  <c r="CJ62" i="1"/>
  <c r="CK62" i="1"/>
  <c r="CL62" i="1"/>
  <c r="CM62" i="1"/>
  <c r="CN62" i="1"/>
  <c r="CO62" i="1"/>
  <c r="CP62" i="1"/>
  <c r="CQ62" i="1"/>
  <c r="CR62" i="1"/>
  <c r="CS62" i="1"/>
  <c r="CT62" i="1"/>
  <c r="CU62" i="1"/>
  <c r="CV62" i="1"/>
  <c r="CW62" i="1"/>
  <c r="CX62" i="1"/>
  <c r="CY62" i="1"/>
  <c r="CZ62" i="1"/>
  <c r="DA62" i="1"/>
  <c r="DB62" i="1"/>
  <c r="DC62" i="1"/>
  <c r="DD62" i="1"/>
  <c r="DE62" i="1"/>
  <c r="DF62" i="1"/>
  <c r="DG62" i="1"/>
  <c r="DH62" i="1"/>
  <c r="DI62" i="1"/>
  <c r="DJ62" i="1"/>
  <c r="DK62" i="1"/>
  <c r="DL62" i="1"/>
  <c r="DM62" i="1"/>
  <c r="DN62" i="1"/>
  <c r="DO62" i="1"/>
  <c r="DP62" i="1"/>
  <c r="DQ62" i="1"/>
  <c r="DR62" i="1"/>
  <c r="DS62" i="1"/>
  <c r="DT62" i="1"/>
  <c r="DU62" i="1"/>
  <c r="DV62" i="1"/>
  <c r="DW62" i="1"/>
  <c r="DX62" i="1"/>
  <c r="DY62" i="1"/>
  <c r="DZ62" i="1"/>
  <c r="EA62" i="1"/>
  <c r="EB62" i="1"/>
  <c r="EC62" i="1"/>
  <c r="ED62" i="1"/>
  <c r="EE62" i="1"/>
  <c r="EF62" i="1"/>
  <c r="EG62" i="1"/>
  <c r="EH62" i="1"/>
  <c r="EI62" i="1"/>
  <c r="EJ62" i="1"/>
  <c r="EK62" i="1"/>
  <c r="EL62" i="1"/>
  <c r="EM62" i="1"/>
  <c r="EN62" i="1"/>
  <c r="EO62" i="1"/>
  <c r="EP62" i="1"/>
  <c r="EQ62" i="1"/>
  <c r="ER62" i="1"/>
  <c r="ES62" i="1"/>
  <c r="ET62" i="1"/>
  <c r="EU62" i="1"/>
  <c r="EV62" i="1"/>
  <c r="EW62" i="1"/>
  <c r="EX62" i="1"/>
  <c r="EY62" i="1"/>
  <c r="EZ62" i="1"/>
  <c r="FA62" i="1"/>
  <c r="FB62" i="1"/>
  <c r="FC62" i="1"/>
  <c r="FD62" i="1"/>
  <c r="FE62" i="1"/>
  <c r="FF62" i="1"/>
  <c r="FG62" i="1"/>
  <c r="FH62" i="1"/>
  <c r="FI62" i="1"/>
  <c r="FJ62" i="1"/>
  <c r="FK62" i="1"/>
  <c r="FL62" i="1"/>
  <c r="FM62" i="1"/>
  <c r="FN62" i="1"/>
  <c r="FO62" i="1"/>
  <c r="FP62" i="1"/>
  <c r="FQ62" i="1"/>
  <c r="FR62" i="1"/>
  <c r="FS62" i="1"/>
  <c r="FT62" i="1"/>
  <c r="FU62" i="1"/>
  <c r="FV62" i="1"/>
  <c r="FW62" i="1"/>
  <c r="FX62" i="1"/>
  <c r="FY62" i="1"/>
  <c r="FZ62" i="1"/>
  <c r="GA62" i="1"/>
  <c r="GB62" i="1"/>
  <c r="GC62" i="1"/>
  <c r="GD62" i="1"/>
  <c r="GE62" i="1"/>
  <c r="GF62" i="1"/>
  <c r="GG62" i="1"/>
  <c r="GH62" i="1"/>
  <c r="GI62" i="1"/>
  <c r="GJ62" i="1"/>
  <c r="GK62" i="1"/>
  <c r="GL62" i="1"/>
  <c r="GM62" i="1"/>
  <c r="GN62" i="1"/>
  <c r="GO62" i="1"/>
  <c r="GP62" i="1"/>
  <c r="GQ62" i="1"/>
  <c r="GR62" i="1"/>
  <c r="GS62" i="1"/>
  <c r="GT62" i="1"/>
  <c r="GU62" i="1"/>
  <c r="GV62" i="1"/>
  <c r="GW62" i="1"/>
  <c r="GX62" i="1"/>
  <c r="D64" i="1"/>
  <c r="E66" i="1"/>
  <c r="Z66" i="1"/>
  <c r="AA66" i="1"/>
  <c r="AM66" i="1"/>
  <c r="AN66" i="1"/>
  <c r="BE66" i="1"/>
  <c r="BF66" i="1"/>
  <c r="BG66" i="1"/>
  <c r="BH66" i="1"/>
  <c r="BI66" i="1"/>
  <c r="BJ66" i="1"/>
  <c r="BK66" i="1"/>
  <c r="BL66" i="1"/>
  <c r="BM66" i="1"/>
  <c r="BN66" i="1"/>
  <c r="BO66" i="1"/>
  <c r="BP66" i="1"/>
  <c r="BQ66" i="1"/>
  <c r="BR66" i="1"/>
  <c r="BS66" i="1"/>
  <c r="BT66" i="1"/>
  <c r="BU66" i="1"/>
  <c r="BV66" i="1"/>
  <c r="BW66" i="1"/>
  <c r="CN66" i="1"/>
  <c r="CO66" i="1"/>
  <c r="CP66" i="1"/>
  <c r="CQ66" i="1"/>
  <c r="CR66" i="1"/>
  <c r="CS66" i="1"/>
  <c r="CT66" i="1"/>
  <c r="CU66" i="1"/>
  <c r="CV66" i="1"/>
  <c r="CW66" i="1"/>
  <c r="CX66" i="1"/>
  <c r="CY66" i="1"/>
  <c r="CZ66" i="1"/>
  <c r="DA66" i="1"/>
  <c r="DB66" i="1"/>
  <c r="DC66" i="1"/>
  <c r="DD66" i="1"/>
  <c r="DE66" i="1"/>
  <c r="DF66" i="1"/>
  <c r="DG66" i="1"/>
  <c r="DH66" i="1"/>
  <c r="DI66" i="1"/>
  <c r="DJ66" i="1"/>
  <c r="DK66" i="1"/>
  <c r="DL66" i="1"/>
  <c r="DM66" i="1"/>
  <c r="DN66" i="1"/>
  <c r="DO66" i="1"/>
  <c r="DP66" i="1"/>
  <c r="DQ66" i="1"/>
  <c r="DR66" i="1"/>
  <c r="DS66" i="1"/>
  <c r="DT66" i="1"/>
  <c r="DU66" i="1"/>
  <c r="DV66" i="1"/>
  <c r="DW66" i="1"/>
  <c r="DX66" i="1"/>
  <c r="DY66" i="1"/>
  <c r="DZ66" i="1"/>
  <c r="EA66" i="1"/>
  <c r="EB66" i="1"/>
  <c r="EC66" i="1"/>
  <c r="ED66" i="1"/>
  <c r="EE66" i="1"/>
  <c r="EF66" i="1"/>
  <c r="EG66" i="1"/>
  <c r="EH66" i="1"/>
  <c r="EI66" i="1"/>
  <c r="EJ66" i="1"/>
  <c r="EK66" i="1"/>
  <c r="EL66" i="1"/>
  <c r="EM66" i="1"/>
  <c r="EN66" i="1"/>
  <c r="EO66" i="1"/>
  <c r="EP66" i="1"/>
  <c r="EQ66" i="1"/>
  <c r="ER66" i="1"/>
  <c r="ES66" i="1"/>
  <c r="ET66" i="1"/>
  <c r="EU66" i="1"/>
  <c r="EV66" i="1"/>
  <c r="EW66" i="1"/>
  <c r="EX66" i="1"/>
  <c r="EY66" i="1"/>
  <c r="EZ66" i="1"/>
  <c r="FA66" i="1"/>
  <c r="FB66" i="1"/>
  <c r="FC66" i="1"/>
  <c r="FD66" i="1"/>
  <c r="FE66" i="1"/>
  <c r="FF66" i="1"/>
  <c r="FG66" i="1"/>
  <c r="FH66" i="1"/>
  <c r="FI66" i="1"/>
  <c r="FJ66" i="1"/>
  <c r="FK66" i="1"/>
  <c r="FL66" i="1"/>
  <c r="FM66" i="1"/>
  <c r="FN66" i="1"/>
  <c r="FO66" i="1"/>
  <c r="FP66" i="1"/>
  <c r="FQ66" i="1"/>
  <c r="FR66" i="1"/>
  <c r="FS66" i="1"/>
  <c r="FT66" i="1"/>
  <c r="FU66" i="1"/>
  <c r="FV66" i="1"/>
  <c r="FW66" i="1"/>
  <c r="FX66" i="1"/>
  <c r="FY66" i="1"/>
  <c r="FZ66" i="1"/>
  <c r="GA66" i="1"/>
  <c r="GB66" i="1"/>
  <c r="GC66" i="1"/>
  <c r="GD66" i="1"/>
  <c r="GE66" i="1"/>
  <c r="GF66" i="1"/>
  <c r="GG66" i="1"/>
  <c r="GH66" i="1"/>
  <c r="GI66" i="1"/>
  <c r="GJ66" i="1"/>
  <c r="GK66" i="1"/>
  <c r="GL66" i="1"/>
  <c r="GM66" i="1"/>
  <c r="GN66" i="1"/>
  <c r="GO66" i="1"/>
  <c r="GP66" i="1"/>
  <c r="GQ66" i="1"/>
  <c r="GR66" i="1"/>
  <c r="GS66" i="1"/>
  <c r="GT66" i="1"/>
  <c r="GU66" i="1"/>
  <c r="GV66" i="1"/>
  <c r="GW66" i="1"/>
  <c r="GX66" i="1"/>
  <c r="C68" i="1"/>
  <c r="D68" i="1"/>
  <c r="AC68" i="1"/>
  <c r="CQ68" i="1" s="1"/>
  <c r="P68" i="1" s="1"/>
  <c r="AE68" i="1"/>
  <c r="U43" i="7" s="1"/>
  <c r="AF68" i="1"/>
  <c r="AG68" i="1"/>
  <c r="CU68" i="1" s="1"/>
  <c r="T68" i="1" s="1"/>
  <c r="AH68" i="1"/>
  <c r="AI68" i="1"/>
  <c r="CW68" i="1" s="1"/>
  <c r="V68" i="1" s="1"/>
  <c r="AJ68" i="1"/>
  <c r="CX68" i="1" s="1"/>
  <c r="W68" i="1" s="1"/>
  <c r="CV68" i="1"/>
  <c r="U68" i="1" s="1"/>
  <c r="K47" i="7" s="1"/>
  <c r="GL68" i="1"/>
  <c r="GN68" i="1"/>
  <c r="GO68" i="1"/>
  <c r="GV68" i="1"/>
  <c r="HC68" i="1" s="1"/>
  <c r="GX68" i="1" s="1"/>
  <c r="C69" i="1"/>
  <c r="D69" i="1"/>
  <c r="AC69" i="1"/>
  <c r="AE69" i="1"/>
  <c r="U49" i="7" s="1"/>
  <c r="AF69" i="1"/>
  <c r="AG69" i="1"/>
  <c r="CU69" i="1" s="1"/>
  <c r="T69" i="1" s="1"/>
  <c r="AH69" i="1"/>
  <c r="CV69" i="1" s="1"/>
  <c r="U69" i="1" s="1"/>
  <c r="K53" i="7" s="1"/>
  <c r="AI69" i="1"/>
  <c r="CW69" i="1" s="1"/>
  <c r="V69" i="1" s="1"/>
  <c r="AJ69" i="1"/>
  <c r="CT69" i="1"/>
  <c r="S69" i="1" s="1"/>
  <c r="J50" i="7" s="1"/>
  <c r="CX69" i="1"/>
  <c r="W69" i="1" s="1"/>
  <c r="GL69" i="1"/>
  <c r="GN69" i="1"/>
  <c r="GO69" i="1"/>
  <c r="GV69" i="1"/>
  <c r="HC69" i="1" s="1"/>
  <c r="GX69" i="1" s="1"/>
  <c r="C70" i="1"/>
  <c r="D70" i="1"/>
  <c r="AC70" i="1"/>
  <c r="CQ70" i="1" s="1"/>
  <c r="P70" i="1" s="1"/>
  <c r="AE70" i="1"/>
  <c r="U55" i="7" s="1"/>
  <c r="AF70" i="1"/>
  <c r="AG70" i="1"/>
  <c r="CU70" i="1" s="1"/>
  <c r="T70" i="1" s="1"/>
  <c r="AH70" i="1"/>
  <c r="CV70" i="1" s="1"/>
  <c r="U70" i="1" s="1"/>
  <c r="K62" i="7" s="1"/>
  <c r="AI70" i="1"/>
  <c r="CW70" i="1" s="1"/>
  <c r="V70" i="1" s="1"/>
  <c r="AJ70" i="1"/>
  <c r="CX70" i="1" s="1"/>
  <c r="W70" i="1" s="1"/>
  <c r="GL70" i="1"/>
  <c r="GN70" i="1"/>
  <c r="GO70" i="1"/>
  <c r="GV70" i="1"/>
  <c r="HC70" i="1"/>
  <c r="GX70" i="1" s="1"/>
  <c r="C71" i="1"/>
  <c r="D71" i="1"/>
  <c r="AC71" i="1"/>
  <c r="AE71" i="1"/>
  <c r="AF71" i="1"/>
  <c r="CT71" i="1" s="1"/>
  <c r="S71" i="1" s="1"/>
  <c r="J65" i="7" s="1"/>
  <c r="AG71" i="1"/>
  <c r="CU71" i="1" s="1"/>
  <c r="T71" i="1" s="1"/>
  <c r="AH71" i="1"/>
  <c r="CV71" i="1" s="1"/>
  <c r="U71" i="1" s="1"/>
  <c r="K70" i="7" s="1"/>
  <c r="AI71" i="1"/>
  <c r="CW71" i="1" s="1"/>
  <c r="V71" i="1" s="1"/>
  <c r="AJ71" i="1"/>
  <c r="CR71" i="1"/>
  <c r="Q71" i="1" s="1"/>
  <c r="J66" i="7" s="1"/>
  <c r="CX71" i="1"/>
  <c r="W71" i="1" s="1"/>
  <c r="GL71" i="1"/>
  <c r="GN71" i="1"/>
  <c r="GO71" i="1"/>
  <c r="GV71" i="1"/>
  <c r="HC71" i="1" s="1"/>
  <c r="GX71" i="1" s="1"/>
  <c r="C72" i="1"/>
  <c r="D72" i="1"/>
  <c r="AC72" i="1"/>
  <c r="CQ72" i="1" s="1"/>
  <c r="P72" i="1" s="1"/>
  <c r="AE72" i="1"/>
  <c r="U72" i="7" s="1"/>
  <c r="AF72" i="1"/>
  <c r="AG72" i="1"/>
  <c r="AH72" i="1"/>
  <c r="CV72" i="1" s="1"/>
  <c r="U72" i="1" s="1"/>
  <c r="K79" i="7" s="1"/>
  <c r="AI72" i="1"/>
  <c r="CW72" i="1" s="1"/>
  <c r="V72" i="1" s="1"/>
  <c r="AJ72" i="1"/>
  <c r="CX72" i="1" s="1"/>
  <c r="W72" i="1" s="1"/>
  <c r="CU72" i="1"/>
  <c r="T72" i="1" s="1"/>
  <c r="GL72" i="1"/>
  <c r="GN72" i="1"/>
  <c r="GO72" i="1"/>
  <c r="GV72" i="1"/>
  <c r="HC72" i="1"/>
  <c r="GX72" i="1" s="1"/>
  <c r="C73" i="1"/>
  <c r="D73" i="1"/>
  <c r="V73" i="1"/>
  <c r="AC73" i="1"/>
  <c r="AE73" i="1"/>
  <c r="U81" i="7" s="1"/>
  <c r="AF73" i="1"/>
  <c r="CT73" i="1" s="1"/>
  <c r="S73" i="1" s="1"/>
  <c r="J82" i="7" s="1"/>
  <c r="AG73" i="1"/>
  <c r="CU73" i="1" s="1"/>
  <c r="T73" i="1" s="1"/>
  <c r="AH73" i="1"/>
  <c r="CV73" i="1" s="1"/>
  <c r="U73" i="1" s="1"/>
  <c r="K86" i="7" s="1"/>
  <c r="AI73" i="1"/>
  <c r="AJ73" i="1"/>
  <c r="CX73" i="1" s="1"/>
  <c r="W73" i="1" s="1"/>
  <c r="CW73" i="1"/>
  <c r="GL73" i="1"/>
  <c r="GN73" i="1"/>
  <c r="GO73" i="1"/>
  <c r="GV73" i="1"/>
  <c r="HC73" i="1" s="1"/>
  <c r="GX73" i="1" s="1"/>
  <c r="C74" i="1"/>
  <c r="D74" i="1"/>
  <c r="AC74" i="1"/>
  <c r="AE74" i="1"/>
  <c r="U88" i="7" s="1"/>
  <c r="AF74" i="1"/>
  <c r="AG74" i="1"/>
  <c r="AH74" i="1"/>
  <c r="CV74" i="1" s="1"/>
  <c r="U74" i="1" s="1"/>
  <c r="K92" i="7" s="1"/>
  <c r="AI74" i="1"/>
  <c r="CW74" i="1" s="1"/>
  <c r="V74" i="1" s="1"/>
  <c r="AJ74" i="1"/>
  <c r="CX74" i="1" s="1"/>
  <c r="W74" i="1" s="1"/>
  <c r="CQ74" i="1"/>
  <c r="P74" i="1" s="1"/>
  <c r="CU74" i="1"/>
  <c r="T74" i="1" s="1"/>
  <c r="GL74" i="1"/>
  <c r="GN74" i="1"/>
  <c r="GO74" i="1"/>
  <c r="GV74" i="1"/>
  <c r="HC74" i="1"/>
  <c r="GX74" i="1" s="1"/>
  <c r="C75" i="1"/>
  <c r="D75" i="1"/>
  <c r="I75" i="1"/>
  <c r="R23" i="10" s="1"/>
  <c r="K75" i="1"/>
  <c r="AC75" i="1"/>
  <c r="AE75" i="1"/>
  <c r="AF75" i="1"/>
  <c r="AG75" i="1"/>
  <c r="AH75" i="1"/>
  <c r="AI75" i="1"/>
  <c r="CW75" i="1" s="1"/>
  <c r="V75" i="1" s="1"/>
  <c r="AJ75" i="1"/>
  <c r="CX75" i="1" s="1"/>
  <c r="W75" i="1" s="1"/>
  <c r="CQ75" i="1"/>
  <c r="CS75" i="1"/>
  <c r="CU75" i="1"/>
  <c r="CV75" i="1"/>
  <c r="U75" i="1" s="1"/>
  <c r="K110" i="7" s="1"/>
  <c r="GL75" i="1"/>
  <c r="GN75" i="1"/>
  <c r="GO75" i="1"/>
  <c r="GV75" i="1"/>
  <c r="HC75" i="1" s="1"/>
  <c r="GX75" i="1" s="1"/>
  <c r="AC76" i="1"/>
  <c r="AD76" i="1"/>
  <c r="AE76" i="1"/>
  <c r="AF76" i="1"/>
  <c r="AG76" i="1"/>
  <c r="CU76" i="1" s="1"/>
  <c r="AH76" i="1"/>
  <c r="CV76" i="1" s="1"/>
  <c r="AI76" i="1"/>
  <c r="CW76" i="1" s="1"/>
  <c r="AJ76" i="1"/>
  <c r="CQ76" i="1"/>
  <c r="CR76" i="1"/>
  <c r="CX76" i="1"/>
  <c r="GL76" i="1"/>
  <c r="GN76" i="1"/>
  <c r="GO76" i="1"/>
  <c r="GV76" i="1"/>
  <c r="HC76" i="1" s="1"/>
  <c r="AC77" i="1"/>
  <c r="AE77" i="1"/>
  <c r="AF77" i="1"/>
  <c r="AG77" i="1"/>
  <c r="CU77" i="1" s="1"/>
  <c r="AH77" i="1"/>
  <c r="CV77" i="1" s="1"/>
  <c r="AI77" i="1"/>
  <c r="AJ77" i="1"/>
  <c r="CX77" i="1" s="1"/>
  <c r="CW77" i="1"/>
  <c r="GL77" i="1"/>
  <c r="GN77" i="1"/>
  <c r="GO77" i="1"/>
  <c r="GV77" i="1"/>
  <c r="HC77" i="1" s="1"/>
  <c r="AC78" i="1"/>
  <c r="AE78" i="1"/>
  <c r="AF78" i="1"/>
  <c r="AG78" i="1"/>
  <c r="CU78" i="1" s="1"/>
  <c r="AH78" i="1"/>
  <c r="CV78" i="1" s="1"/>
  <c r="AI78" i="1"/>
  <c r="AJ78" i="1"/>
  <c r="CS78" i="1"/>
  <c r="CT78" i="1"/>
  <c r="CW78" i="1"/>
  <c r="CX78" i="1"/>
  <c r="GL78" i="1"/>
  <c r="GN78" i="1"/>
  <c r="GO78" i="1"/>
  <c r="GV78" i="1"/>
  <c r="HC78" i="1" s="1"/>
  <c r="I79" i="1"/>
  <c r="AC79" i="1"/>
  <c r="AE79" i="1"/>
  <c r="CS79" i="1" s="1"/>
  <c r="AF79" i="1"/>
  <c r="AG79" i="1"/>
  <c r="AH79" i="1"/>
  <c r="CV79" i="1" s="1"/>
  <c r="U79" i="1" s="1"/>
  <c r="AI79" i="1"/>
  <c r="CW79" i="1" s="1"/>
  <c r="V79" i="1" s="1"/>
  <c r="AJ79" i="1"/>
  <c r="CX79" i="1" s="1"/>
  <c r="CQ79" i="1"/>
  <c r="CU79" i="1"/>
  <c r="GL79" i="1"/>
  <c r="GN79" i="1"/>
  <c r="GO79" i="1"/>
  <c r="GV79" i="1"/>
  <c r="HC79" i="1" s="1"/>
  <c r="GX79" i="1" s="1"/>
  <c r="AC80" i="1"/>
  <c r="AE80" i="1"/>
  <c r="AF80" i="1"/>
  <c r="AG80" i="1"/>
  <c r="CU80" i="1" s="1"/>
  <c r="AH80" i="1"/>
  <c r="AI80" i="1"/>
  <c r="CW80" i="1" s="1"/>
  <c r="AJ80" i="1"/>
  <c r="CX80" i="1" s="1"/>
  <c r="CQ80" i="1"/>
  <c r="CV80" i="1"/>
  <c r="GL80" i="1"/>
  <c r="GN80" i="1"/>
  <c r="GO80" i="1"/>
  <c r="GV80" i="1"/>
  <c r="HC80" i="1" s="1"/>
  <c r="AC81" i="1"/>
  <c r="AE81" i="1"/>
  <c r="CR81" i="1" s="1"/>
  <c r="AF81" i="1"/>
  <c r="AG81" i="1"/>
  <c r="CU81" i="1" s="1"/>
  <c r="AH81" i="1"/>
  <c r="CV81" i="1" s="1"/>
  <c r="AI81" i="1"/>
  <c r="CW81" i="1" s="1"/>
  <c r="AJ81" i="1"/>
  <c r="CX81" i="1" s="1"/>
  <c r="CT81" i="1"/>
  <c r="GL81" i="1"/>
  <c r="GN81" i="1"/>
  <c r="GO81" i="1"/>
  <c r="GV81" i="1"/>
  <c r="HC81" i="1" s="1"/>
  <c r="AC82" i="1"/>
  <c r="AE82" i="1"/>
  <c r="AF82" i="1"/>
  <c r="CT82" i="1" s="1"/>
  <c r="AG82" i="1"/>
  <c r="CU82" i="1" s="1"/>
  <c r="AH82" i="1"/>
  <c r="CV82" i="1" s="1"/>
  <c r="AI82" i="1"/>
  <c r="AJ82" i="1"/>
  <c r="CR82" i="1"/>
  <c r="CW82" i="1"/>
  <c r="CX82" i="1"/>
  <c r="GL82" i="1"/>
  <c r="GN82" i="1"/>
  <c r="GO82" i="1"/>
  <c r="GV82" i="1"/>
  <c r="HC82" i="1"/>
  <c r="C83" i="1"/>
  <c r="D83" i="1"/>
  <c r="I83" i="1"/>
  <c r="K83" i="1"/>
  <c r="V83" i="1"/>
  <c r="AC83" i="1"/>
  <c r="CQ83" i="1" s="1"/>
  <c r="AE83" i="1"/>
  <c r="AF83" i="1"/>
  <c r="AG83" i="1"/>
  <c r="CU83" i="1" s="1"/>
  <c r="T83" i="1" s="1"/>
  <c r="AH83" i="1"/>
  <c r="CV83" i="1" s="1"/>
  <c r="U83" i="1" s="1"/>
  <c r="K119" i="7" s="1"/>
  <c r="AI83" i="1"/>
  <c r="AJ83" i="1"/>
  <c r="CR83" i="1"/>
  <c r="Q83" i="1" s="1"/>
  <c r="CW83" i="1"/>
  <c r="CX83" i="1"/>
  <c r="W83" i="1" s="1"/>
  <c r="GL83" i="1"/>
  <c r="GN83" i="1"/>
  <c r="GO83" i="1"/>
  <c r="GV83" i="1"/>
  <c r="HC83" i="1"/>
  <c r="AC84" i="1"/>
  <c r="AE84" i="1"/>
  <c r="AF84" i="1"/>
  <c r="AG84" i="1"/>
  <c r="AH84" i="1"/>
  <c r="CV84" i="1" s="1"/>
  <c r="AI84" i="1"/>
  <c r="CW84" i="1" s="1"/>
  <c r="AJ84" i="1"/>
  <c r="CU84" i="1"/>
  <c r="CX84" i="1"/>
  <c r="GL84" i="1"/>
  <c r="GN84" i="1"/>
  <c r="GO84" i="1"/>
  <c r="GV84" i="1"/>
  <c r="HC84" i="1"/>
  <c r="C85" i="1"/>
  <c r="D85" i="1"/>
  <c r="I85" i="1"/>
  <c r="K85" i="1"/>
  <c r="AC85" i="1"/>
  <c r="CQ85" i="1" s="1"/>
  <c r="AE85" i="1"/>
  <c r="AF85" i="1"/>
  <c r="AG85" i="1"/>
  <c r="CU85" i="1" s="1"/>
  <c r="AH85" i="1"/>
  <c r="CV85" i="1" s="1"/>
  <c r="AI85" i="1"/>
  <c r="AJ85" i="1"/>
  <c r="CX85" i="1" s="1"/>
  <c r="W85" i="1" s="1"/>
  <c r="CW85" i="1"/>
  <c r="V85" i="1" s="1"/>
  <c r="GL85" i="1"/>
  <c r="GN85" i="1"/>
  <c r="GO85" i="1"/>
  <c r="GV85" i="1"/>
  <c r="HC85" i="1" s="1"/>
  <c r="GX85" i="1" s="1"/>
  <c r="AC86" i="1"/>
  <c r="AE86" i="1"/>
  <c r="AF86" i="1"/>
  <c r="AG86" i="1"/>
  <c r="CU86" i="1" s="1"/>
  <c r="AH86" i="1"/>
  <c r="AI86" i="1"/>
  <c r="CW86" i="1" s="1"/>
  <c r="AJ86" i="1"/>
  <c r="CX86" i="1" s="1"/>
  <c r="CQ86" i="1"/>
  <c r="CV86" i="1"/>
  <c r="GL86" i="1"/>
  <c r="GN86" i="1"/>
  <c r="GO86" i="1"/>
  <c r="GV86" i="1"/>
  <c r="HC86" i="1" s="1"/>
  <c r="C87" i="1"/>
  <c r="D87" i="1"/>
  <c r="I87" i="1"/>
  <c r="K87" i="1"/>
  <c r="AC87" i="1"/>
  <c r="CQ87" i="1" s="1"/>
  <c r="P87" i="1" s="1"/>
  <c r="AE87" i="1"/>
  <c r="CR87" i="1" s="1"/>
  <c r="Q87" i="1" s="1"/>
  <c r="AF87" i="1"/>
  <c r="AG87" i="1"/>
  <c r="CU87" i="1" s="1"/>
  <c r="AH87" i="1"/>
  <c r="AI87" i="1"/>
  <c r="CW87" i="1" s="1"/>
  <c r="AJ87" i="1"/>
  <c r="CX87" i="1" s="1"/>
  <c r="CV87" i="1"/>
  <c r="GL87" i="1"/>
  <c r="GN87" i="1"/>
  <c r="GO87" i="1"/>
  <c r="GV87" i="1"/>
  <c r="HC87" i="1" s="1"/>
  <c r="GX87" i="1" s="1"/>
  <c r="C88" i="1"/>
  <c r="D88" i="1"/>
  <c r="I88" i="1"/>
  <c r="K88" i="1"/>
  <c r="AC88" i="1"/>
  <c r="AE88" i="1"/>
  <c r="U140" i="7" s="1"/>
  <c r="AF88" i="1"/>
  <c r="AG88" i="1"/>
  <c r="CU88" i="1" s="1"/>
  <c r="T88" i="1" s="1"/>
  <c r="AH88" i="1"/>
  <c r="AI88" i="1"/>
  <c r="CW88" i="1" s="1"/>
  <c r="V88" i="1" s="1"/>
  <c r="AJ88" i="1"/>
  <c r="CX88" i="1" s="1"/>
  <c r="CQ88" i="1"/>
  <c r="CV88" i="1"/>
  <c r="U88" i="1" s="1"/>
  <c r="K145" i="7" s="1"/>
  <c r="GL88" i="1"/>
  <c r="GN88" i="1"/>
  <c r="GO88" i="1"/>
  <c r="GV88" i="1"/>
  <c r="HC88" i="1" s="1"/>
  <c r="C89" i="1"/>
  <c r="D89" i="1"/>
  <c r="S89" i="1"/>
  <c r="J148" i="7" s="1"/>
  <c r="AC89" i="1"/>
  <c r="AE89" i="1"/>
  <c r="U147" i="7" s="1"/>
  <c r="AF89" i="1"/>
  <c r="AG89" i="1"/>
  <c r="CU89" i="1" s="1"/>
  <c r="T89" i="1" s="1"/>
  <c r="AH89" i="1"/>
  <c r="CV89" i="1" s="1"/>
  <c r="U89" i="1" s="1"/>
  <c r="K154" i="7" s="1"/>
  <c r="AI89" i="1"/>
  <c r="CW89" i="1" s="1"/>
  <c r="V89" i="1" s="1"/>
  <c r="AJ89" i="1"/>
  <c r="CT89" i="1"/>
  <c r="CX89" i="1"/>
  <c r="W89" i="1" s="1"/>
  <c r="GL89" i="1"/>
  <c r="GN89" i="1"/>
  <c r="GO89" i="1"/>
  <c r="GV89" i="1"/>
  <c r="HC89" i="1" s="1"/>
  <c r="GX89" i="1" s="1"/>
  <c r="C90" i="1"/>
  <c r="D90" i="1"/>
  <c r="T90" i="1"/>
  <c r="AC90" i="1"/>
  <c r="AE90" i="1"/>
  <c r="U156" i="7" s="1"/>
  <c r="AF90" i="1"/>
  <c r="AG90" i="1"/>
  <c r="AH90" i="1"/>
  <c r="AI90" i="1"/>
  <c r="CW90" i="1" s="1"/>
  <c r="V90" i="1" s="1"/>
  <c r="AJ90" i="1"/>
  <c r="CX90" i="1" s="1"/>
  <c r="W90" i="1" s="1"/>
  <c r="CQ90" i="1"/>
  <c r="P90" i="1" s="1"/>
  <c r="CR90" i="1"/>
  <c r="Q90" i="1" s="1"/>
  <c r="CU90" i="1"/>
  <c r="CV90" i="1"/>
  <c r="U90" i="1" s="1"/>
  <c r="K160" i="7" s="1"/>
  <c r="GL90" i="1"/>
  <c r="GN90" i="1"/>
  <c r="GO90" i="1"/>
  <c r="GV90" i="1"/>
  <c r="HC90" i="1" s="1"/>
  <c r="GX90" i="1" s="1"/>
  <c r="B92" i="1"/>
  <c r="B66" i="1" s="1"/>
  <c r="C92" i="1"/>
  <c r="C66" i="1" s="1"/>
  <c r="D92" i="1"/>
  <c r="D66" i="1" s="1"/>
  <c r="F92" i="1"/>
  <c r="F66" i="1" s="1"/>
  <c r="G92" i="1"/>
  <c r="BD92" i="1"/>
  <c r="BX92" i="1"/>
  <c r="BY92" i="1"/>
  <c r="BY66" i="1" s="1"/>
  <c r="CK92" i="1"/>
  <c r="CK66" i="1" s="1"/>
  <c r="CL92" i="1"/>
  <c r="CL66" i="1" s="1"/>
  <c r="CM92" i="1"/>
  <c r="CM66" i="1" s="1"/>
  <c r="D122" i="1"/>
  <c r="E124" i="1"/>
  <c r="F124" i="1"/>
  <c r="Z124" i="1"/>
  <c r="AA124" i="1"/>
  <c r="AM124" i="1"/>
  <c r="AN124" i="1"/>
  <c r="BE124" i="1"/>
  <c r="BF124" i="1"/>
  <c r="BG124" i="1"/>
  <c r="BH124" i="1"/>
  <c r="BI124" i="1"/>
  <c r="BJ124" i="1"/>
  <c r="BK124" i="1"/>
  <c r="BL124" i="1"/>
  <c r="BM124" i="1"/>
  <c r="BN124" i="1"/>
  <c r="BO124" i="1"/>
  <c r="BP124" i="1"/>
  <c r="BQ124" i="1"/>
  <c r="BR124" i="1"/>
  <c r="BS124" i="1"/>
  <c r="BT124" i="1"/>
  <c r="BU124" i="1"/>
  <c r="BV124" i="1"/>
  <c r="BW124" i="1"/>
  <c r="CN124" i="1"/>
  <c r="CO124" i="1"/>
  <c r="CP124" i="1"/>
  <c r="CQ124" i="1"/>
  <c r="CR124" i="1"/>
  <c r="CS124" i="1"/>
  <c r="CT124" i="1"/>
  <c r="CU124" i="1"/>
  <c r="CV124" i="1"/>
  <c r="CW124" i="1"/>
  <c r="CX124" i="1"/>
  <c r="CY124" i="1"/>
  <c r="CZ124" i="1"/>
  <c r="DA124" i="1"/>
  <c r="DB124" i="1"/>
  <c r="DC124" i="1"/>
  <c r="DD124" i="1"/>
  <c r="DE124" i="1"/>
  <c r="DF124" i="1"/>
  <c r="DG124" i="1"/>
  <c r="DH124" i="1"/>
  <c r="DI124" i="1"/>
  <c r="DJ124" i="1"/>
  <c r="DK124" i="1"/>
  <c r="DL124" i="1"/>
  <c r="DM124" i="1"/>
  <c r="DN124" i="1"/>
  <c r="DO124" i="1"/>
  <c r="DP124" i="1"/>
  <c r="DQ124" i="1"/>
  <c r="DR124" i="1"/>
  <c r="DS124" i="1"/>
  <c r="DT124" i="1"/>
  <c r="DU124" i="1"/>
  <c r="DV124" i="1"/>
  <c r="DW124" i="1"/>
  <c r="DX124" i="1"/>
  <c r="DY124" i="1"/>
  <c r="DZ124" i="1"/>
  <c r="EA124" i="1"/>
  <c r="EB124" i="1"/>
  <c r="EC124" i="1"/>
  <c r="ED124" i="1"/>
  <c r="EE124" i="1"/>
  <c r="EF124" i="1"/>
  <c r="EG124" i="1"/>
  <c r="EH124" i="1"/>
  <c r="EI124" i="1"/>
  <c r="EJ124" i="1"/>
  <c r="EK124" i="1"/>
  <c r="EL124" i="1"/>
  <c r="EM124" i="1"/>
  <c r="EN124" i="1"/>
  <c r="EO124" i="1"/>
  <c r="EP124" i="1"/>
  <c r="EQ124" i="1"/>
  <c r="ER124" i="1"/>
  <c r="ES124" i="1"/>
  <c r="ET124" i="1"/>
  <c r="EU124" i="1"/>
  <c r="EV124" i="1"/>
  <c r="EW124" i="1"/>
  <c r="EX124" i="1"/>
  <c r="EY124" i="1"/>
  <c r="EZ124" i="1"/>
  <c r="FA124" i="1"/>
  <c r="FB124" i="1"/>
  <c r="FC124" i="1"/>
  <c r="FD124" i="1"/>
  <c r="FE124" i="1"/>
  <c r="FF124" i="1"/>
  <c r="FG124" i="1"/>
  <c r="FH124" i="1"/>
  <c r="FI124" i="1"/>
  <c r="FJ124" i="1"/>
  <c r="FK124" i="1"/>
  <c r="FL124" i="1"/>
  <c r="FM124" i="1"/>
  <c r="FN124" i="1"/>
  <c r="FO124" i="1"/>
  <c r="FP124" i="1"/>
  <c r="FQ124" i="1"/>
  <c r="FR124" i="1"/>
  <c r="FS124" i="1"/>
  <c r="FT124" i="1"/>
  <c r="FU124" i="1"/>
  <c r="FV124" i="1"/>
  <c r="FW124" i="1"/>
  <c r="FX124" i="1"/>
  <c r="FY124" i="1"/>
  <c r="FZ124" i="1"/>
  <c r="GA124" i="1"/>
  <c r="GB124" i="1"/>
  <c r="GC124" i="1"/>
  <c r="GD124" i="1"/>
  <c r="GE124" i="1"/>
  <c r="GF124" i="1"/>
  <c r="GG124" i="1"/>
  <c r="GH124" i="1"/>
  <c r="GI124" i="1"/>
  <c r="GJ124" i="1"/>
  <c r="GK124" i="1"/>
  <c r="GL124" i="1"/>
  <c r="GM124" i="1"/>
  <c r="GN124" i="1"/>
  <c r="GO124" i="1"/>
  <c r="GP124" i="1"/>
  <c r="GQ124" i="1"/>
  <c r="GR124" i="1"/>
  <c r="GS124" i="1"/>
  <c r="GT124" i="1"/>
  <c r="GU124" i="1"/>
  <c r="GV124" i="1"/>
  <c r="GW124" i="1"/>
  <c r="GX124" i="1"/>
  <c r="C126" i="1"/>
  <c r="D126" i="1"/>
  <c r="AC126" i="1"/>
  <c r="CQ126" i="1" s="1"/>
  <c r="P126" i="1" s="1"/>
  <c r="AC128" i="1" s="1"/>
  <c r="AC124" i="1" s="1"/>
  <c r="AD126" i="1"/>
  <c r="AE126" i="1"/>
  <c r="U167" i="7" s="1"/>
  <c r="AF126" i="1"/>
  <c r="AG126" i="1"/>
  <c r="CU126" i="1" s="1"/>
  <c r="T126" i="1" s="1"/>
  <c r="AG128" i="1" s="1"/>
  <c r="T128" i="1" s="1"/>
  <c r="F149" i="1" s="1"/>
  <c r="AH126" i="1"/>
  <c r="AI126" i="1"/>
  <c r="CW126" i="1" s="1"/>
  <c r="V126" i="1" s="1"/>
  <c r="AI128" i="1" s="1"/>
  <c r="AJ126" i="1"/>
  <c r="CX126" i="1" s="1"/>
  <c r="W126" i="1" s="1"/>
  <c r="AJ128" i="1" s="1"/>
  <c r="CR126" i="1"/>
  <c r="Q126" i="1" s="1"/>
  <c r="AD128" i="1" s="1"/>
  <c r="AD124" i="1" s="1"/>
  <c r="CS126" i="1"/>
  <c r="CV126" i="1"/>
  <c r="U126" i="1" s="1"/>
  <c r="GL126" i="1"/>
  <c r="BZ128" i="1" s="1"/>
  <c r="GN126" i="1"/>
  <c r="CB128" i="1" s="1"/>
  <c r="AS128" i="1" s="1"/>
  <c r="GO126" i="1"/>
  <c r="CC128" i="1" s="1"/>
  <c r="GV126" i="1"/>
  <c r="HC126" i="1" s="1"/>
  <c r="GX126" i="1" s="1"/>
  <c r="CJ128" i="1" s="1"/>
  <c r="B128" i="1"/>
  <c r="B124" i="1" s="1"/>
  <c r="C128" i="1"/>
  <c r="C124" i="1" s="1"/>
  <c r="D128" i="1"/>
  <c r="D124" i="1" s="1"/>
  <c r="F128" i="1"/>
  <c r="G128" i="1"/>
  <c r="Q128" i="1"/>
  <c r="F140" i="1" s="1"/>
  <c r="BX128" i="1"/>
  <c r="CG128" i="1" s="1"/>
  <c r="BY128" i="1"/>
  <c r="CK128" i="1"/>
  <c r="CK124" i="1" s="1"/>
  <c r="CL128" i="1"/>
  <c r="CL124" i="1" s="1"/>
  <c r="CM128" i="1"/>
  <c r="CM124" i="1" s="1"/>
  <c r="B158" i="1"/>
  <c r="B62" i="1" s="1"/>
  <c r="C158" i="1"/>
  <c r="C62" i="1" s="1"/>
  <c r="D158" i="1"/>
  <c r="D62" i="1" s="1"/>
  <c r="F158" i="1"/>
  <c r="F62" i="1" s="1"/>
  <c r="G158" i="1"/>
  <c r="B188" i="1"/>
  <c r="B22" i="1" s="1"/>
  <c r="C188" i="1"/>
  <c r="C22" i="1" s="1"/>
  <c r="D188" i="1"/>
  <c r="D22" i="1" s="1"/>
  <c r="F188" i="1"/>
  <c r="F22" i="1" s="1"/>
  <c r="G188" i="1"/>
  <c r="G22" i="1" s="1"/>
  <c r="B218" i="1"/>
  <c r="B18" i="1" s="1"/>
  <c r="C218" i="1"/>
  <c r="C18" i="1" s="1"/>
  <c r="D218" i="1"/>
  <c r="D18" i="1" s="1"/>
  <c r="F218" i="1"/>
  <c r="F18" i="1" s="1"/>
  <c r="G218" i="1"/>
  <c r="G18" i="1" s="1"/>
  <c r="F12" i="6"/>
  <c r="G12" i="6"/>
  <c r="BA128" i="1" l="1"/>
  <c r="CJ124" i="1"/>
  <c r="O10" i="10"/>
  <c r="M10" i="10"/>
  <c r="F15" i="9" s="1"/>
  <c r="M42" i="10"/>
  <c r="F33" i="9" s="1"/>
  <c r="O42" i="10"/>
  <c r="J34" i="7"/>
  <c r="I35" i="7" s="1"/>
  <c r="AC30" i="1"/>
  <c r="AC26" i="1" s="1"/>
  <c r="M51" i="10"/>
  <c r="O51" i="10"/>
  <c r="O26" i="10"/>
  <c r="M26" i="10"/>
  <c r="O30" i="10"/>
  <c r="M30" i="10"/>
  <c r="K171" i="7"/>
  <c r="AH128" i="1"/>
  <c r="O45" i="10"/>
  <c r="M45" i="10"/>
  <c r="F29" i="9" s="1"/>
  <c r="O23" i="10"/>
  <c r="M23" i="10"/>
  <c r="AT26" i="1"/>
  <c r="F48" i="1"/>
  <c r="R79" i="1"/>
  <c r="GK79" i="1" s="1"/>
  <c r="V103" i="7"/>
  <c r="O19" i="10"/>
  <c r="M19" i="10"/>
  <c r="F27" i="9" s="1"/>
  <c r="G124" i="1"/>
  <c r="A42" i="9" s="1"/>
  <c r="A174" i="7"/>
  <c r="CS89" i="1"/>
  <c r="CS69" i="1"/>
  <c r="G26" i="1"/>
  <c r="A9" i="9" s="1"/>
  <c r="A37" i="7"/>
  <c r="R49" i="10"/>
  <c r="T49" i="10"/>
  <c r="I51" i="10"/>
  <c r="T53" i="10"/>
  <c r="R53" i="10"/>
  <c r="O54" i="10"/>
  <c r="M54" i="10"/>
  <c r="T40" i="10"/>
  <c r="R40" i="10"/>
  <c r="O41" i="10"/>
  <c r="M41" i="10"/>
  <c r="F35" i="9" s="1"/>
  <c r="O25" i="10"/>
  <c r="M25" i="10"/>
  <c r="T27" i="10"/>
  <c r="I30" i="10"/>
  <c r="D15" i="9" s="1"/>
  <c r="T18" i="10"/>
  <c r="R18" i="10"/>
  <c r="T13" i="10"/>
  <c r="R13" i="10"/>
  <c r="CX5" i="3"/>
  <c r="O11" i="10"/>
  <c r="R16" i="10"/>
  <c r="M48" i="10"/>
  <c r="F37" i="9" s="1"/>
  <c r="G66" i="1"/>
  <c r="A11" i="9" s="1"/>
  <c r="A163" i="7"/>
  <c r="AD89" i="1"/>
  <c r="Q112" i="7"/>
  <c r="S112" i="7"/>
  <c r="CC92" i="1"/>
  <c r="S33" i="10"/>
  <c r="P33" i="10"/>
  <c r="CR72" i="1"/>
  <c r="Q72" i="1" s="1"/>
  <c r="J74" i="7" s="1"/>
  <c r="AD69" i="1"/>
  <c r="CR89" i="1"/>
  <c r="Q89" i="1" s="1"/>
  <c r="J149" i="7" s="1"/>
  <c r="CB92" i="1"/>
  <c r="GX83" i="1"/>
  <c r="CT83" i="1"/>
  <c r="S83" i="1" s="1"/>
  <c r="J114" i="7" s="1"/>
  <c r="AD83" i="1"/>
  <c r="U112" i="7"/>
  <c r="AD82" i="1"/>
  <c r="S38" i="10"/>
  <c r="P38" i="10"/>
  <c r="I78" i="1"/>
  <c r="CS77" i="1"/>
  <c r="AD77" i="1"/>
  <c r="CS73" i="1"/>
  <c r="AD73" i="1"/>
  <c r="CS71" i="1"/>
  <c r="U64" i="7"/>
  <c r="CR69" i="1"/>
  <c r="Q69" i="1" s="1"/>
  <c r="CT88" i="1"/>
  <c r="S140" i="7"/>
  <c r="Q140" i="7"/>
  <c r="CT86" i="1"/>
  <c r="S121" i="7"/>
  <c r="Q121" i="7"/>
  <c r="CS83" i="1"/>
  <c r="P83" i="1"/>
  <c r="CS82" i="1"/>
  <c r="CQ82" i="1"/>
  <c r="K38" i="10"/>
  <c r="N38" i="10"/>
  <c r="CT80" i="1"/>
  <c r="CT79" i="1"/>
  <c r="Q103" i="7"/>
  <c r="S103" i="7"/>
  <c r="CR77" i="1"/>
  <c r="AB77" i="1"/>
  <c r="N33" i="10"/>
  <c r="K33" i="10"/>
  <c r="CT76" i="1"/>
  <c r="CS76" i="1"/>
  <c r="P32" i="10"/>
  <c r="S32" i="10"/>
  <c r="CT74" i="1"/>
  <c r="S74" i="1" s="1"/>
  <c r="S88" i="7"/>
  <c r="Q88" i="7"/>
  <c r="CR73" i="1"/>
  <c r="Q73" i="1" s="1"/>
  <c r="AD71" i="1"/>
  <c r="CT68" i="1"/>
  <c r="S68" i="1" s="1"/>
  <c r="Q43" i="7"/>
  <c r="S43" i="7"/>
  <c r="CT28" i="1"/>
  <c r="S28" i="1" s="1"/>
  <c r="S33" i="7"/>
  <c r="Q33" i="7"/>
  <c r="DH62" i="3"/>
  <c r="T48" i="10"/>
  <c r="O49" i="10"/>
  <c r="M49" i="10"/>
  <c r="F34" i="9" s="1"/>
  <c r="I50" i="10"/>
  <c r="T39" i="10"/>
  <c r="I42" i="10"/>
  <c r="D33" i="9" s="1"/>
  <c r="T44" i="10"/>
  <c r="R44" i="10"/>
  <c r="I20" i="10"/>
  <c r="D40" i="9" s="1"/>
  <c r="I23" i="10"/>
  <c r="T24" i="10"/>
  <c r="O27" i="10"/>
  <c r="O28" i="10"/>
  <c r="M28" i="10"/>
  <c r="F26" i="9" s="1"/>
  <c r="I29" i="10"/>
  <c r="D23" i="9" s="1"/>
  <c r="O18" i="10"/>
  <c r="M18" i="10"/>
  <c r="F28" i="9" s="1"/>
  <c r="O13" i="10"/>
  <c r="O14" i="10"/>
  <c r="M14" i="10"/>
  <c r="F16" i="9" s="1"/>
  <c r="CW5" i="3"/>
  <c r="M13" i="10"/>
  <c r="F22" i="9" s="1"/>
  <c r="R22" i="10"/>
  <c r="CS28" i="1"/>
  <c r="U33" i="7"/>
  <c r="T52" i="10"/>
  <c r="R52" i="10"/>
  <c r="I54" i="10"/>
  <c r="O40" i="10"/>
  <c r="M40" i="10"/>
  <c r="F36" i="9" s="1"/>
  <c r="T21" i="10"/>
  <c r="R21" i="10"/>
  <c r="T26" i="10"/>
  <c r="R26" i="10"/>
  <c r="T31" i="10"/>
  <c r="R31" i="10"/>
  <c r="T17" i="10"/>
  <c r="R17" i="10"/>
  <c r="T12" i="10"/>
  <c r="R12" i="10"/>
  <c r="R48" i="10"/>
  <c r="Q167" i="7"/>
  <c r="S167" i="7"/>
  <c r="D43" i="8"/>
  <c r="E133" i="7"/>
  <c r="C134" i="7"/>
  <c r="AD85" i="1"/>
  <c r="U121" i="7"/>
  <c r="CS80" i="1"/>
  <c r="P36" i="10"/>
  <c r="S36" i="10"/>
  <c r="CT75" i="1"/>
  <c r="S75" i="1" s="1"/>
  <c r="Q94" i="7"/>
  <c r="S94" i="7"/>
  <c r="O53" i="10"/>
  <c r="O39" i="10"/>
  <c r="I41" i="10"/>
  <c r="D35" i="9" s="1"/>
  <c r="CT126" i="1"/>
  <c r="S126" i="1" s="1"/>
  <c r="J168" i="7" s="1"/>
  <c r="N55" i="10"/>
  <c r="K55" i="10"/>
  <c r="I82" i="1"/>
  <c r="T82" i="1" s="1"/>
  <c r="CS81" i="1"/>
  <c r="AD81" i="1"/>
  <c r="N36" i="10"/>
  <c r="K36" i="10"/>
  <c r="N35" i="10"/>
  <c r="K35" i="10"/>
  <c r="AB76" i="1"/>
  <c r="N32" i="10"/>
  <c r="K32" i="10"/>
  <c r="T75" i="1"/>
  <c r="AD75" i="1"/>
  <c r="AB75" i="1" s="1"/>
  <c r="U94" i="7"/>
  <c r="CR74" i="1"/>
  <c r="Q74" i="1" s="1"/>
  <c r="CR28" i="1"/>
  <c r="Q28" i="1" s="1"/>
  <c r="AD30" i="1" s="1"/>
  <c r="AD26" i="1" s="1"/>
  <c r="AD28" i="1"/>
  <c r="AB28" i="1" s="1"/>
  <c r="DH61" i="3"/>
  <c r="CW61" i="3"/>
  <c r="T47" i="10"/>
  <c r="R47" i="10"/>
  <c r="T51" i="10"/>
  <c r="R43" i="10"/>
  <c r="T43" i="10"/>
  <c r="O44" i="10"/>
  <c r="I22" i="10"/>
  <c r="O24" i="10"/>
  <c r="I28" i="10"/>
  <c r="D26" i="9" s="1"/>
  <c r="R30" i="10"/>
  <c r="T30" i="10"/>
  <c r="O15" i="10"/>
  <c r="M15" i="10"/>
  <c r="T10" i="10"/>
  <c r="R10" i="10"/>
  <c r="CW4" i="3"/>
  <c r="M44" i="10"/>
  <c r="F31" i="9" s="1"/>
  <c r="R15" i="10"/>
  <c r="R14" i="10"/>
  <c r="R27" i="10"/>
  <c r="R126" i="1"/>
  <c r="V167" i="7"/>
  <c r="CR85" i="1"/>
  <c r="Q85" i="1" s="1"/>
  <c r="J124" i="7" s="1"/>
  <c r="CT84" i="1"/>
  <c r="Q116" i="7"/>
  <c r="AB81" i="1"/>
  <c r="N37" i="10"/>
  <c r="K37" i="10"/>
  <c r="T79" i="1"/>
  <c r="D35" i="8"/>
  <c r="I35" i="10"/>
  <c r="E103" i="7"/>
  <c r="S102" i="7"/>
  <c r="R75" i="1"/>
  <c r="V94" i="7"/>
  <c r="CT72" i="1"/>
  <c r="S72" i="1" s="1"/>
  <c r="Q72" i="7"/>
  <c r="S72" i="7"/>
  <c r="CT70" i="1"/>
  <c r="S70" i="1" s="1"/>
  <c r="S55" i="7"/>
  <c r="Q55" i="7"/>
  <c r="CR68" i="1"/>
  <c r="Q68" i="1" s="1"/>
  <c r="DG61" i="3"/>
  <c r="DJ61" i="3" s="1"/>
  <c r="O52" i="10"/>
  <c r="M52" i="10"/>
  <c r="F24" i="9" s="1"/>
  <c r="I53" i="10"/>
  <c r="D21" i="9" s="1"/>
  <c r="I40" i="10"/>
  <c r="D36" i="9" s="1"/>
  <c r="T42" i="10"/>
  <c r="I45" i="10"/>
  <c r="D29" i="9" s="1"/>
  <c r="O21" i="10"/>
  <c r="T23" i="10"/>
  <c r="O31" i="10"/>
  <c r="M31" i="10"/>
  <c r="O17" i="10"/>
  <c r="M17" i="10"/>
  <c r="F30" i="9" s="1"/>
  <c r="CX15" i="3"/>
  <c r="I19" i="10"/>
  <c r="D27" i="9" s="1"/>
  <c r="R39" i="10"/>
  <c r="M24" i="10"/>
  <c r="CT90" i="1"/>
  <c r="S90" i="1" s="1"/>
  <c r="S156" i="7"/>
  <c r="Q156" i="7"/>
  <c r="W87" i="1"/>
  <c r="S55" i="10"/>
  <c r="P55" i="10"/>
  <c r="S37" i="10"/>
  <c r="P37" i="10"/>
  <c r="AD79" i="1"/>
  <c r="AB79" i="1" s="1"/>
  <c r="S35" i="10"/>
  <c r="T35" i="10" s="1"/>
  <c r="P35" i="10"/>
  <c r="R35" i="10" s="1"/>
  <c r="U103" i="7"/>
  <c r="G62" i="1"/>
  <c r="A10" i="9" s="1"/>
  <c r="AF177" i="7"/>
  <c r="A177" i="7"/>
  <c r="Q124" i="1"/>
  <c r="S147" i="7"/>
  <c r="Q147" i="7"/>
  <c r="GX88" i="1"/>
  <c r="D44" i="8"/>
  <c r="C141" i="7"/>
  <c r="E140" i="7"/>
  <c r="C122" i="7"/>
  <c r="D41" i="8"/>
  <c r="E121" i="7"/>
  <c r="S46" i="10"/>
  <c r="P46" i="10"/>
  <c r="E112" i="7"/>
  <c r="C113" i="7"/>
  <c r="D39" i="8"/>
  <c r="W82" i="1"/>
  <c r="AD78" i="1"/>
  <c r="S34" i="10"/>
  <c r="P34" i="10"/>
  <c r="U102" i="7"/>
  <c r="S49" i="7"/>
  <c r="Q49" i="7"/>
  <c r="T56" i="10"/>
  <c r="R56" i="10"/>
  <c r="O47" i="10"/>
  <c r="M47" i="10"/>
  <c r="F39" i="9" s="1"/>
  <c r="I49" i="10"/>
  <c r="D34" i="9" s="1"/>
  <c r="T50" i="10"/>
  <c r="R50" i="10"/>
  <c r="O43" i="10"/>
  <c r="M43" i="10"/>
  <c r="F32" i="9" s="1"/>
  <c r="I44" i="10"/>
  <c r="D31" i="9" s="1"/>
  <c r="T20" i="10"/>
  <c r="R20" i="10"/>
  <c r="I24" i="10"/>
  <c r="I27" i="10"/>
  <c r="T29" i="10"/>
  <c r="R29" i="10"/>
  <c r="CX16" i="3"/>
  <c r="DH16" i="3" s="1"/>
  <c r="I18" i="10"/>
  <c r="D28" i="9" s="1"/>
  <c r="CW12" i="3"/>
  <c r="I16" i="10"/>
  <c r="D17" i="9" s="1"/>
  <c r="CX9" i="3"/>
  <c r="I13" i="10"/>
  <c r="D22" i="9" s="1"/>
  <c r="CX8" i="3"/>
  <c r="CW7" i="3"/>
  <c r="I15" i="10"/>
  <c r="D14" i="9" s="1"/>
  <c r="CX6" i="3"/>
  <c r="R19" i="10"/>
  <c r="CT87" i="1"/>
  <c r="S87" i="1" s="1"/>
  <c r="S133" i="7"/>
  <c r="Q133" i="7"/>
  <c r="CQ84" i="1"/>
  <c r="P84" i="1" s="1"/>
  <c r="CP84" i="1" s="1"/>
  <c r="O84" i="1" s="1"/>
  <c r="J116" i="7" s="1"/>
  <c r="N46" i="10"/>
  <c r="K46" i="10"/>
  <c r="S81" i="7"/>
  <c r="Q81" i="7"/>
  <c r="R54" i="10"/>
  <c r="T54" i="10"/>
  <c r="I39" i="10"/>
  <c r="T41" i="10"/>
  <c r="R41" i="10"/>
  <c r="T25" i="10"/>
  <c r="R25" i="10"/>
  <c r="CX17" i="3"/>
  <c r="I17" i="10"/>
  <c r="D30" i="9" s="1"/>
  <c r="CX10" i="3"/>
  <c r="I12" i="10"/>
  <c r="D25" i="9" s="1"/>
  <c r="R24" i="10"/>
  <c r="M16" i="10"/>
  <c r="F17" i="9" s="1"/>
  <c r="U87" i="1"/>
  <c r="K138" i="7" s="1"/>
  <c r="CQ78" i="1"/>
  <c r="K34" i="10"/>
  <c r="N34" i="10"/>
  <c r="O56" i="10"/>
  <c r="M56" i="10"/>
  <c r="F18" i="9" s="1"/>
  <c r="CF128" i="1"/>
  <c r="AW128" i="1" s="1"/>
  <c r="F134" i="1" s="1"/>
  <c r="U133" i="7"/>
  <c r="I84" i="1"/>
  <c r="S116" i="7" s="1"/>
  <c r="CR78" i="1"/>
  <c r="CT77" i="1"/>
  <c r="E94" i="7"/>
  <c r="D31" i="8"/>
  <c r="C95" i="7"/>
  <c r="S64" i="7"/>
  <c r="Q64" i="7"/>
  <c r="I47" i="10"/>
  <c r="D39" i="9" s="1"/>
  <c r="O50" i="10"/>
  <c r="M50" i="10"/>
  <c r="I43" i="10"/>
  <c r="D32" i="9" s="1"/>
  <c r="R45" i="10"/>
  <c r="T45" i="10"/>
  <c r="O20" i="10"/>
  <c r="M22" i="10"/>
  <c r="O22" i="10"/>
  <c r="I26" i="10"/>
  <c r="T28" i="10"/>
  <c r="R28" i="10"/>
  <c r="O29" i="10"/>
  <c r="DH12" i="3"/>
  <c r="M21" i="10"/>
  <c r="M12" i="10"/>
  <c r="F25" i="9" s="1"/>
  <c r="R51" i="10"/>
  <c r="R11" i="10"/>
  <c r="CB66" i="1"/>
  <c r="AS92" i="1"/>
  <c r="AI124" i="1"/>
  <c r="V128" i="1"/>
  <c r="CG124" i="1"/>
  <c r="AX128" i="1"/>
  <c r="CY126" i="1"/>
  <c r="X126" i="1" s="1"/>
  <c r="CZ126" i="1"/>
  <c r="Y126" i="1" s="1"/>
  <c r="AF128" i="1"/>
  <c r="F145" i="1"/>
  <c r="AS124" i="1"/>
  <c r="AT128" i="1"/>
  <c r="CC124" i="1"/>
  <c r="F148" i="1"/>
  <c r="BA124" i="1"/>
  <c r="W128" i="1"/>
  <c r="AJ124" i="1"/>
  <c r="AE128" i="1"/>
  <c r="GK126" i="1"/>
  <c r="BZ124" i="1"/>
  <c r="AQ128" i="1"/>
  <c r="CP126" i="1"/>
  <c r="O126" i="1" s="1"/>
  <c r="CI128" i="1"/>
  <c r="AP128" i="1"/>
  <c r="AB126" i="1"/>
  <c r="AD90" i="1"/>
  <c r="AB90" i="1" s="1"/>
  <c r="CS90" i="1"/>
  <c r="S88" i="1"/>
  <c r="J142" i="7" s="1"/>
  <c r="CU58" i="3"/>
  <c r="T87" i="1"/>
  <c r="CY83" i="1"/>
  <c r="X83" i="1" s="1"/>
  <c r="CZ83" i="1"/>
  <c r="Y83" i="1" s="1"/>
  <c r="T112" i="7" s="1"/>
  <c r="CZ71" i="1"/>
  <c r="Y71" i="1" s="1"/>
  <c r="T64" i="7" s="1"/>
  <c r="J69" i="7" s="1"/>
  <c r="CY71" i="1"/>
  <c r="X71" i="1" s="1"/>
  <c r="R64" i="7" s="1"/>
  <c r="J68" i="7" s="1"/>
  <c r="AO128" i="1"/>
  <c r="CB124" i="1"/>
  <c r="AD88" i="1"/>
  <c r="AB88" i="1" s="1"/>
  <c r="CS88" i="1"/>
  <c r="BB128" i="1"/>
  <c r="BY124" i="1"/>
  <c r="BX66" i="1"/>
  <c r="AO92" i="1"/>
  <c r="CP90" i="1"/>
  <c r="O90" i="1" s="1"/>
  <c r="AB89" i="1"/>
  <c r="CQ89" i="1"/>
  <c r="P89" i="1" s="1"/>
  <c r="CP89" i="1" s="1"/>
  <c r="O89" i="1" s="1"/>
  <c r="CR88" i="1"/>
  <c r="Q88" i="1" s="1"/>
  <c r="AD87" i="1"/>
  <c r="AB87" i="1" s="1"/>
  <c r="CS87" i="1"/>
  <c r="CX53" i="3"/>
  <c r="CX55" i="3"/>
  <c r="CU48" i="3"/>
  <c r="CX48" i="3"/>
  <c r="CX51" i="3"/>
  <c r="I86" i="1"/>
  <c r="BX124" i="1"/>
  <c r="AG124" i="1"/>
  <c r="BD66" i="1"/>
  <c r="AD86" i="1"/>
  <c r="CS86" i="1"/>
  <c r="W84" i="1"/>
  <c r="P76" i="1"/>
  <c r="T124" i="1"/>
  <c r="F117" i="1"/>
  <c r="W88" i="1"/>
  <c r="CR86" i="1"/>
  <c r="BZ92" i="1"/>
  <c r="CG92" i="1" s="1"/>
  <c r="AB85" i="1"/>
  <c r="CT85" i="1"/>
  <c r="S85" i="1" s="1"/>
  <c r="J123" i="7" s="1"/>
  <c r="AD84" i="1"/>
  <c r="AB84" i="1" s="1"/>
  <c r="CR84" i="1"/>
  <c r="Q84" i="1" s="1"/>
  <c r="CY89" i="1"/>
  <c r="X89" i="1" s="1"/>
  <c r="R147" i="7" s="1"/>
  <c r="J151" i="7" s="1"/>
  <c r="CZ89" i="1"/>
  <c r="Y89" i="1" s="1"/>
  <c r="T147" i="7" s="1"/>
  <c r="J152" i="7" s="1"/>
  <c r="CZ90" i="1"/>
  <c r="Y90" i="1" s="1"/>
  <c r="T156" i="7" s="1"/>
  <c r="J159" i="7" s="1"/>
  <c r="V87" i="1"/>
  <c r="U85" i="1"/>
  <c r="K131" i="7" s="1"/>
  <c r="CS84" i="1"/>
  <c r="CY69" i="1"/>
  <c r="X69" i="1" s="1"/>
  <c r="R49" i="7" s="1"/>
  <c r="J51" i="7" s="1"/>
  <c r="I54" i="7" s="1"/>
  <c r="CZ69" i="1"/>
  <c r="Y69" i="1" s="1"/>
  <c r="T49" i="7" s="1"/>
  <c r="J52" i="7" s="1"/>
  <c r="CE128" i="1"/>
  <c r="CH128" i="1"/>
  <c r="P128" i="1"/>
  <c r="CU59" i="3"/>
  <c r="P88" i="1"/>
  <c r="T84" i="1"/>
  <c r="U84" i="1"/>
  <c r="CC66" i="1"/>
  <c r="AT92" i="1"/>
  <c r="U76" i="1"/>
  <c r="T85" i="1"/>
  <c r="W79" i="1"/>
  <c r="CP72" i="1"/>
  <c r="O72" i="1" s="1"/>
  <c r="CP74" i="1"/>
  <c r="O74" i="1" s="1"/>
  <c r="AB73" i="1"/>
  <c r="CQ73" i="1"/>
  <c r="P73" i="1" s="1"/>
  <c r="CR80" i="1"/>
  <c r="AD80" i="1"/>
  <c r="AB80" i="1" s="1"/>
  <c r="Q78" i="1"/>
  <c r="P78" i="1"/>
  <c r="CZ75" i="1"/>
  <c r="Y75" i="1" s="1"/>
  <c r="T94" i="7" s="1"/>
  <c r="AD68" i="1"/>
  <c r="AB68" i="1" s="1"/>
  <c r="CS68" i="1"/>
  <c r="AP26" i="1"/>
  <c r="F39" i="1"/>
  <c r="AP92" i="1"/>
  <c r="CS85" i="1"/>
  <c r="P85" i="1"/>
  <c r="AB83" i="1"/>
  <c r="AB82" i="1"/>
  <c r="AB78" i="1"/>
  <c r="CP68" i="1"/>
  <c r="O68" i="1" s="1"/>
  <c r="F34" i="1"/>
  <c r="AO26" i="1"/>
  <c r="S84" i="1"/>
  <c r="S79" i="1"/>
  <c r="CX22" i="3"/>
  <c r="CX30" i="3"/>
  <c r="CX38" i="3"/>
  <c r="CW21" i="3"/>
  <c r="CX24" i="3"/>
  <c r="CX32" i="3"/>
  <c r="CX21" i="3"/>
  <c r="CU19" i="3"/>
  <c r="CV19" i="3"/>
  <c r="CX28" i="3"/>
  <c r="CX36" i="3"/>
  <c r="CX19" i="3"/>
  <c r="I80" i="1"/>
  <c r="U104" i="7" s="1"/>
  <c r="I81" i="1"/>
  <c r="Q81" i="1" s="1"/>
  <c r="I76" i="1"/>
  <c r="P75" i="1"/>
  <c r="I77" i="1"/>
  <c r="CY73" i="1"/>
  <c r="X73" i="1" s="1"/>
  <c r="R81" i="7" s="1"/>
  <c r="J84" i="7" s="1"/>
  <c r="CZ73" i="1"/>
  <c r="Y73" i="1" s="1"/>
  <c r="T81" i="7" s="1"/>
  <c r="J85" i="7" s="1"/>
  <c r="AD70" i="1"/>
  <c r="AB70" i="1" s="1"/>
  <c r="CS70" i="1"/>
  <c r="AB69" i="1"/>
  <c r="CQ69" i="1"/>
  <c r="P69" i="1" s="1"/>
  <c r="BD128" i="1"/>
  <c r="BC92" i="1"/>
  <c r="CR79" i="1"/>
  <c r="Q79" i="1" s="1"/>
  <c r="GX78" i="1"/>
  <c r="V76" i="1"/>
  <c r="CR75" i="1"/>
  <c r="Q75" i="1" s="1"/>
  <c r="J97" i="7" s="1"/>
  <c r="CR70" i="1"/>
  <c r="Q70" i="1" s="1"/>
  <c r="J57" i="7" s="1"/>
  <c r="BC128" i="1"/>
  <c r="BB92" i="1"/>
  <c r="AB86" i="1"/>
  <c r="U82" i="1"/>
  <c r="CQ81" i="1"/>
  <c r="P79" i="1"/>
  <c r="T78" i="1"/>
  <c r="CQ77" i="1"/>
  <c r="AD74" i="1"/>
  <c r="AB74" i="1" s="1"/>
  <c r="CS74" i="1"/>
  <c r="AD72" i="1"/>
  <c r="AB72" i="1" s="1"/>
  <c r="CS72" i="1"/>
  <c r="AB71" i="1"/>
  <c r="CQ71" i="1"/>
  <c r="P71" i="1" s="1"/>
  <c r="CP70" i="1"/>
  <c r="O70" i="1" s="1"/>
  <c r="CF30" i="1"/>
  <c r="CX52" i="3"/>
  <c r="CV48" i="3"/>
  <c r="CX37" i="3"/>
  <c r="CX27" i="3"/>
  <c r="CY28" i="1"/>
  <c r="X28" i="1" s="1"/>
  <c r="CZ28" i="1"/>
  <c r="Y28" i="1" s="1"/>
  <c r="CV58" i="3"/>
  <c r="CX43" i="3"/>
  <c r="CX44" i="3"/>
  <c r="CX46" i="3"/>
  <c r="CU39" i="3"/>
  <c r="CV39" i="3"/>
  <c r="CX42" i="3"/>
  <c r="CX39" i="3"/>
  <c r="AF30" i="1"/>
  <c r="AG26" i="1"/>
  <c r="T30" i="1"/>
  <c r="CV59" i="3"/>
  <c r="CW49" i="3"/>
  <c r="CX33" i="3"/>
  <c r="CX54" i="3"/>
  <c r="CX34" i="3"/>
  <c r="CX23" i="3"/>
  <c r="BY26" i="1"/>
  <c r="CI30" i="1"/>
  <c r="CX50" i="3"/>
  <c r="CX45" i="3"/>
  <c r="CX40" i="3"/>
  <c r="CX35" i="3"/>
  <c r="CX29" i="3"/>
  <c r="DI15" i="3"/>
  <c r="DF15" i="3"/>
  <c r="DJ15" i="3" s="1"/>
  <c r="DG15" i="3"/>
  <c r="DH15" i="3"/>
  <c r="BX26" i="1"/>
  <c r="CH30" i="1"/>
  <c r="CE30" i="1"/>
  <c r="BA30" i="1"/>
  <c r="CJ26" i="1"/>
  <c r="AJ26" i="1"/>
  <c r="W30" i="1"/>
  <c r="CX41" i="3"/>
  <c r="DF9" i="3"/>
  <c r="DJ9" i="3" s="1"/>
  <c r="DG9" i="3"/>
  <c r="DH9" i="3"/>
  <c r="DI9" i="3"/>
  <c r="F47" i="1"/>
  <c r="F43" i="1"/>
  <c r="BB26" i="1"/>
  <c r="V30" i="1"/>
  <c r="CX56" i="3"/>
  <c r="CX25" i="3"/>
  <c r="CW20" i="3"/>
  <c r="DG17" i="3"/>
  <c r="DH17" i="3"/>
  <c r="DI17" i="3"/>
  <c r="DF17" i="3"/>
  <c r="DJ17" i="3" s="1"/>
  <c r="DG10" i="3"/>
  <c r="DH10" i="3"/>
  <c r="DI10" i="3"/>
  <c r="DF10" i="3"/>
  <c r="DJ10" i="3" s="1"/>
  <c r="CG30" i="1"/>
  <c r="U26" i="1"/>
  <c r="F52" i="1"/>
  <c r="CP28" i="1"/>
  <c r="O28" i="1" s="1"/>
  <c r="CX57" i="3"/>
  <c r="CX47" i="3"/>
  <c r="CX31" i="3"/>
  <c r="CX26" i="3"/>
  <c r="BD30" i="1"/>
  <c r="CK26" i="1"/>
  <c r="CC26" i="1"/>
  <c r="DI62" i="3"/>
  <c r="DJ62" i="3" s="1"/>
  <c r="DG18" i="3"/>
  <c r="DI12" i="3"/>
  <c r="DG11" i="3"/>
  <c r="BC30" i="1"/>
  <c r="CB26" i="1"/>
  <c r="DF18" i="3"/>
  <c r="DF11" i="3"/>
  <c r="DF3" i="3"/>
  <c r="CX63" i="3"/>
  <c r="DG62" i="3"/>
  <c r="CX20" i="3"/>
  <c r="DG12" i="3"/>
  <c r="DJ12" i="3" s="1"/>
  <c r="DI5" i="3"/>
  <c r="DG4" i="3"/>
  <c r="DJ4" i="3" s="1"/>
  <c r="Q30" i="1"/>
  <c r="BZ26" i="1"/>
  <c r="CX49" i="3"/>
  <c r="DI13" i="3"/>
  <c r="DI6" i="3"/>
  <c r="DJ6" i="3" s="1"/>
  <c r="P30" i="1"/>
  <c r="CX58" i="3"/>
  <c r="CX59" i="3"/>
  <c r="CX14" i="3"/>
  <c r="DG13" i="3"/>
  <c r="DG6" i="3"/>
  <c r="CX1" i="3"/>
  <c r="CX60" i="3"/>
  <c r="CX7" i="3"/>
  <c r="CX2" i="3"/>
  <c r="K54" i="7" l="1"/>
  <c r="P54" i="7"/>
  <c r="CP88" i="1"/>
  <c r="O88" i="1" s="1"/>
  <c r="GX82" i="1"/>
  <c r="CP71" i="1"/>
  <c r="O71" i="1" s="1"/>
  <c r="J67" i="7"/>
  <c r="I71" i="7" s="1"/>
  <c r="P82" i="1"/>
  <c r="CY87" i="1"/>
  <c r="X87" i="1" s="1"/>
  <c r="R133" i="7" s="1"/>
  <c r="J136" i="7" s="1"/>
  <c r="J135" i="7"/>
  <c r="T46" i="10"/>
  <c r="V104" i="7"/>
  <c r="U78" i="1"/>
  <c r="I34" i="10"/>
  <c r="M34" i="10" s="1"/>
  <c r="D34" i="8"/>
  <c r="E102" i="7"/>
  <c r="V78" i="1"/>
  <c r="R87" i="1"/>
  <c r="GK87" i="1" s="1"/>
  <c r="V133" i="7"/>
  <c r="R74" i="1"/>
  <c r="GK74" i="1" s="1"/>
  <c r="V88" i="7"/>
  <c r="R70" i="1"/>
  <c r="V55" i="7"/>
  <c r="J61" i="7" s="1"/>
  <c r="R90" i="1"/>
  <c r="GK90" i="1" s="1"/>
  <c r="V156" i="7"/>
  <c r="U86" i="1"/>
  <c r="E127" i="7"/>
  <c r="I55" i="10"/>
  <c r="M55" i="10" s="1"/>
  <c r="D42" i="8"/>
  <c r="AW124" i="1"/>
  <c r="DI8" i="3"/>
  <c r="DH8" i="3"/>
  <c r="DG16" i="3"/>
  <c r="DF16" i="3"/>
  <c r="DJ16" i="3" s="1"/>
  <c r="AK30" i="1"/>
  <c r="R33" i="7"/>
  <c r="P81" i="1"/>
  <c r="CP75" i="1"/>
  <c r="O75" i="1" s="1"/>
  <c r="J99" i="7"/>
  <c r="Q82" i="1"/>
  <c r="CF124" i="1"/>
  <c r="S106" i="7"/>
  <c r="U116" i="7"/>
  <c r="CY70" i="1"/>
  <c r="X70" i="1" s="1"/>
  <c r="R55" i="7" s="1"/>
  <c r="J59" i="7" s="1"/>
  <c r="J56" i="7"/>
  <c r="CZ70" i="1"/>
  <c r="Y70" i="1" s="1"/>
  <c r="T55" i="7" s="1"/>
  <c r="J60" i="7" s="1"/>
  <c r="CY68" i="1"/>
  <c r="X68" i="1" s="1"/>
  <c r="R43" i="7" s="1"/>
  <c r="J45" i="7" s="1"/>
  <c r="J44" i="7"/>
  <c r="CZ68" i="1"/>
  <c r="Y68" i="1" s="1"/>
  <c r="T43" i="7" s="1"/>
  <c r="J46" i="7" s="1"/>
  <c r="R32" i="10"/>
  <c r="S127" i="7"/>
  <c r="R71" i="1"/>
  <c r="GK71" i="1" s="1"/>
  <c r="V64" i="7"/>
  <c r="U106" i="7"/>
  <c r="R69" i="1"/>
  <c r="GK69" i="1" s="1"/>
  <c r="V49" i="7"/>
  <c r="R84" i="1"/>
  <c r="GK84" i="1" s="1"/>
  <c r="V116" i="7"/>
  <c r="R88" i="1"/>
  <c r="GK88" i="1" s="1"/>
  <c r="V140" i="7"/>
  <c r="AL30" i="1"/>
  <c r="T33" i="7"/>
  <c r="CP79" i="1"/>
  <c r="O79" i="1" s="1"/>
  <c r="J103" i="7" s="1"/>
  <c r="V77" i="1"/>
  <c r="D33" i="8"/>
  <c r="I33" i="10"/>
  <c r="E101" i="7"/>
  <c r="V127" i="7"/>
  <c r="Q106" i="7"/>
  <c r="DF8" i="3"/>
  <c r="R72" i="1"/>
  <c r="V72" i="7"/>
  <c r="J78" i="7" s="1"/>
  <c r="Q77" i="1"/>
  <c r="GX76" i="1"/>
  <c r="D32" i="8"/>
  <c r="E100" i="7"/>
  <c r="I32" i="10"/>
  <c r="T32" i="10" s="1"/>
  <c r="CP85" i="1"/>
  <c r="O85" i="1" s="1"/>
  <c r="J126" i="7"/>
  <c r="R76" i="1"/>
  <c r="GK76" i="1" s="1"/>
  <c r="CP73" i="1"/>
  <c r="O73" i="1" s="1"/>
  <c r="J83" i="7"/>
  <c r="I87" i="7" s="1"/>
  <c r="CP87" i="1"/>
  <c r="O87" i="1" s="1"/>
  <c r="GM87" i="1" s="1"/>
  <c r="GP87" i="1" s="1"/>
  <c r="CZ87" i="1"/>
  <c r="Y87" i="1" s="1"/>
  <c r="T133" i="7" s="1"/>
  <c r="J137" i="7" s="1"/>
  <c r="AL128" i="1"/>
  <c r="T167" i="7"/>
  <c r="J170" i="7" s="1"/>
  <c r="GX84" i="1"/>
  <c r="I46" i="10"/>
  <c r="M46" i="10" s="1"/>
  <c r="F38" i="9" s="1"/>
  <c r="E41" i="9" s="1"/>
  <c r="D40" i="8"/>
  <c r="E116" i="7"/>
  <c r="DF6" i="3"/>
  <c r="DH6" i="3"/>
  <c r="S78" i="1"/>
  <c r="M32" i="10"/>
  <c r="V105" i="7"/>
  <c r="R28" i="1"/>
  <c r="V33" i="7"/>
  <c r="V100" i="7"/>
  <c r="Q127" i="7"/>
  <c r="R89" i="1"/>
  <c r="V147" i="7"/>
  <c r="J153" i="7" s="1"/>
  <c r="I155" i="7" s="1"/>
  <c r="CP78" i="1"/>
  <c r="O78" i="1" s="1"/>
  <c r="W78" i="1"/>
  <c r="S104" i="7"/>
  <c r="R82" i="1"/>
  <c r="GK82" i="1" s="1"/>
  <c r="V106" i="7"/>
  <c r="R73" i="1"/>
  <c r="GK73" i="1" s="1"/>
  <c r="V81" i="7"/>
  <c r="DF5" i="3"/>
  <c r="DG5" i="3"/>
  <c r="DJ5" i="3" s="1"/>
  <c r="DH5" i="3"/>
  <c r="V102" i="7"/>
  <c r="T37" i="10"/>
  <c r="CY90" i="1"/>
  <c r="X90" i="1" s="1"/>
  <c r="R156" i="7" s="1"/>
  <c r="J158" i="7" s="1"/>
  <c r="J157" i="7"/>
  <c r="CY72" i="1"/>
  <c r="X72" i="1" s="1"/>
  <c r="R72" i="7" s="1"/>
  <c r="J76" i="7" s="1"/>
  <c r="J73" i="7"/>
  <c r="CZ72" i="1"/>
  <c r="Y72" i="1" s="1"/>
  <c r="T72" i="7" s="1"/>
  <c r="J77" i="7" s="1"/>
  <c r="CY75" i="1"/>
  <c r="X75" i="1" s="1"/>
  <c r="R94" i="7" s="1"/>
  <c r="J96" i="7"/>
  <c r="M33" i="10"/>
  <c r="Q104" i="7"/>
  <c r="CP83" i="1"/>
  <c r="O83" i="1" s="1"/>
  <c r="J115" i="7"/>
  <c r="S100" i="7"/>
  <c r="R78" i="1"/>
  <c r="GK78" i="1" s="1"/>
  <c r="AH124" i="1"/>
  <c r="U128" i="1"/>
  <c r="R81" i="1"/>
  <c r="GK81" i="1" s="1"/>
  <c r="D37" i="8"/>
  <c r="I37" i="10"/>
  <c r="E105" i="7"/>
  <c r="R85" i="1"/>
  <c r="V121" i="7"/>
  <c r="J130" i="7" s="1"/>
  <c r="AK128" i="1"/>
  <c r="X128" i="1" s="1"/>
  <c r="R167" i="7"/>
  <c r="J169" i="7" s="1"/>
  <c r="U105" i="7"/>
  <c r="M37" i="10"/>
  <c r="F14" i="9"/>
  <c r="E19" i="9" s="1"/>
  <c r="M35" i="10"/>
  <c r="O55" i="10"/>
  <c r="O33" i="10"/>
  <c r="R83" i="1"/>
  <c r="GK83" i="1" s="1"/>
  <c r="V112" i="7"/>
  <c r="Q100" i="7"/>
  <c r="R33" i="10"/>
  <c r="U127" i="7"/>
  <c r="GK75" i="1"/>
  <c r="J98" i="7"/>
  <c r="O37" i="10"/>
  <c r="O35" i="10"/>
  <c r="I172" i="7"/>
  <c r="T36" i="10"/>
  <c r="CY74" i="1"/>
  <c r="X74" i="1" s="1"/>
  <c r="R88" i="7" s="1"/>
  <c r="J90" i="7" s="1"/>
  <c r="J89" i="7"/>
  <c r="CZ74" i="1"/>
  <c r="Y74" i="1" s="1"/>
  <c r="T88" i="7" s="1"/>
  <c r="J91" i="7" s="1"/>
  <c r="Q105" i="7"/>
  <c r="V84" i="1"/>
  <c r="T33" i="10"/>
  <c r="Q101" i="7"/>
  <c r="P35" i="7"/>
  <c r="I37" i="7" s="1"/>
  <c r="K35" i="7"/>
  <c r="R37" i="10"/>
  <c r="I38" i="10"/>
  <c r="R38" i="10" s="1"/>
  <c r="D38" i="8"/>
  <c r="E106" i="7"/>
  <c r="V82" i="1"/>
  <c r="P80" i="1"/>
  <c r="E104" i="7"/>
  <c r="I36" i="10"/>
  <c r="O36" i="10" s="1"/>
  <c r="D36" i="8"/>
  <c r="DI16" i="3"/>
  <c r="DG8" i="3"/>
  <c r="DJ8" i="3" s="1"/>
  <c r="R68" i="1"/>
  <c r="V43" i="7"/>
  <c r="GX81" i="1"/>
  <c r="GM83" i="1"/>
  <c r="GP83" i="1" s="1"/>
  <c r="R112" i="7"/>
  <c r="O34" i="10"/>
  <c r="R34" i="10"/>
  <c r="R46" i="10"/>
  <c r="R55" i="10"/>
  <c r="Q102" i="7"/>
  <c r="M36" i="10"/>
  <c r="R36" i="10"/>
  <c r="U100" i="7"/>
  <c r="S105" i="7"/>
  <c r="V101" i="7"/>
  <c r="J109" i="7" s="1"/>
  <c r="U101" i="7"/>
  <c r="S101" i="7"/>
  <c r="S82" i="1"/>
  <c r="GM73" i="1"/>
  <c r="GP73" i="1" s="1"/>
  <c r="T81" i="1"/>
  <c r="GM126" i="1"/>
  <c r="AB128" i="1"/>
  <c r="F152" i="1"/>
  <c r="W124" i="1"/>
  <c r="AL124" i="1"/>
  <c r="Y128" i="1"/>
  <c r="DH30" i="3"/>
  <c r="DI30" i="3"/>
  <c r="DF30" i="3"/>
  <c r="DJ30" i="3" s="1"/>
  <c r="DG30" i="3"/>
  <c r="BC26" i="1"/>
  <c r="F46" i="1"/>
  <c r="CP69" i="1"/>
  <c r="O69" i="1" s="1"/>
  <c r="GM69" i="1" s="1"/>
  <c r="GP69" i="1" s="1"/>
  <c r="CY85" i="1"/>
  <c r="X85" i="1" s="1"/>
  <c r="R121" i="7" s="1"/>
  <c r="CZ85" i="1"/>
  <c r="Y85" i="1" s="1"/>
  <c r="T121" i="7" s="1"/>
  <c r="DF55" i="3"/>
  <c r="DJ55" i="3" s="1"/>
  <c r="DG55" i="3"/>
  <c r="DH55" i="3"/>
  <c r="DI55" i="3"/>
  <c r="W81" i="1"/>
  <c r="CY88" i="1"/>
  <c r="X88" i="1" s="1"/>
  <c r="CZ88" i="1"/>
  <c r="Y88" i="1" s="1"/>
  <c r="T140" i="7" s="1"/>
  <c r="J144" i="7" s="1"/>
  <c r="AQ124" i="1"/>
  <c r="F138" i="1"/>
  <c r="DF20" i="3"/>
  <c r="DG20" i="3"/>
  <c r="DJ20" i="3" s="1"/>
  <c r="DH20" i="3"/>
  <c r="DI20" i="3"/>
  <c r="DF26" i="3"/>
  <c r="DJ26" i="3" s="1"/>
  <c r="DG26" i="3"/>
  <c r="DH26" i="3"/>
  <c r="DI26" i="3"/>
  <c r="W26" i="1"/>
  <c r="F54" i="1"/>
  <c r="AZ30" i="1"/>
  <c r="CI26" i="1"/>
  <c r="DH22" i="3"/>
  <c r="DI22" i="3"/>
  <c r="DF22" i="3"/>
  <c r="DJ22" i="3" s="1"/>
  <c r="DG22" i="3"/>
  <c r="DF49" i="3"/>
  <c r="DG49" i="3"/>
  <c r="DJ49" i="3" s="1"/>
  <c r="DH49" i="3"/>
  <c r="DI49" i="3"/>
  <c r="DF31" i="3"/>
  <c r="DJ31" i="3" s="1"/>
  <c r="DG31" i="3"/>
  <c r="DH31" i="3"/>
  <c r="DI31" i="3"/>
  <c r="DI25" i="3"/>
  <c r="DF25" i="3"/>
  <c r="DJ25" i="3" s="1"/>
  <c r="DG25" i="3"/>
  <c r="DH25" i="3"/>
  <c r="DF46" i="3"/>
  <c r="DJ46" i="3" s="1"/>
  <c r="DG46" i="3"/>
  <c r="DH46" i="3"/>
  <c r="DI46" i="3"/>
  <c r="CY79" i="1"/>
  <c r="X79" i="1" s="1"/>
  <c r="R103" i="7" s="1"/>
  <c r="CZ79" i="1"/>
  <c r="Y79" i="1" s="1"/>
  <c r="T103" i="7" s="1"/>
  <c r="U81" i="1"/>
  <c r="GK68" i="1"/>
  <c r="S77" i="1"/>
  <c r="P124" i="1"/>
  <c r="F131" i="1"/>
  <c r="W86" i="1"/>
  <c r="T77" i="1"/>
  <c r="T80" i="1"/>
  <c r="DH53" i="3"/>
  <c r="DI53" i="3"/>
  <c r="DF53" i="3"/>
  <c r="DJ53" i="3" s="1"/>
  <c r="DG53" i="3"/>
  <c r="GM90" i="1"/>
  <c r="GP90" i="1" s="1"/>
  <c r="AX124" i="1"/>
  <c r="F135" i="1"/>
  <c r="DG41" i="3"/>
  <c r="DH41" i="3"/>
  <c r="DI41" i="3"/>
  <c r="DF41" i="3"/>
  <c r="DJ41" i="3" s="1"/>
  <c r="DF1" i="3"/>
  <c r="DG1" i="3"/>
  <c r="DH1" i="3"/>
  <c r="DI1" i="3"/>
  <c r="DJ1" i="3" s="1"/>
  <c r="DF37" i="3"/>
  <c r="DJ37" i="3" s="1"/>
  <c r="DG37" i="3"/>
  <c r="DH37" i="3"/>
  <c r="DI37" i="3"/>
  <c r="DF63" i="3"/>
  <c r="DG63" i="3"/>
  <c r="DH63" i="3"/>
  <c r="DI63" i="3"/>
  <c r="DJ63" i="3" s="1"/>
  <c r="DI47" i="3"/>
  <c r="DF47" i="3"/>
  <c r="DJ47" i="3" s="1"/>
  <c r="DG47" i="3"/>
  <c r="DH47" i="3"/>
  <c r="DI56" i="3"/>
  <c r="DF56" i="3"/>
  <c r="DJ56" i="3" s="1"/>
  <c r="DG56" i="3"/>
  <c r="DH56" i="3"/>
  <c r="DF23" i="3"/>
  <c r="DJ23" i="3" s="1"/>
  <c r="DG23" i="3"/>
  <c r="DH23" i="3"/>
  <c r="DI23" i="3"/>
  <c r="T26" i="1"/>
  <c r="F51" i="1"/>
  <c r="DH44" i="3"/>
  <c r="DI44" i="3"/>
  <c r="DF44" i="3"/>
  <c r="DJ44" i="3" s="1"/>
  <c r="DG44" i="3"/>
  <c r="DF52" i="3"/>
  <c r="DJ52" i="3" s="1"/>
  <c r="DG52" i="3"/>
  <c r="DH52" i="3"/>
  <c r="DI52" i="3"/>
  <c r="W76" i="1"/>
  <c r="Q76" i="1"/>
  <c r="CP76" i="1" s="1"/>
  <c r="O76" i="1" s="1"/>
  <c r="J100" i="7" s="1"/>
  <c r="DF21" i="3"/>
  <c r="DG21" i="3"/>
  <c r="DJ21" i="3" s="1"/>
  <c r="DH21" i="3"/>
  <c r="DI21" i="3"/>
  <c r="CY84" i="1"/>
  <c r="X84" i="1" s="1"/>
  <c r="CZ84" i="1"/>
  <c r="Y84" i="1" s="1"/>
  <c r="T116" i="7" s="1"/>
  <c r="J118" i="7" s="1"/>
  <c r="Q80" i="1"/>
  <c r="R80" i="1"/>
  <c r="GK80" i="1" s="1"/>
  <c r="AT66" i="1"/>
  <c r="AT158" i="1"/>
  <c r="F110" i="1"/>
  <c r="CH124" i="1"/>
  <c r="AY128" i="1"/>
  <c r="BZ66" i="1"/>
  <c r="AQ92" i="1"/>
  <c r="CI92" i="1"/>
  <c r="U80" i="1"/>
  <c r="S86" i="1"/>
  <c r="AO66" i="1"/>
  <c r="F96" i="1"/>
  <c r="AO158" i="1"/>
  <c r="F132" i="1"/>
  <c r="AO124" i="1"/>
  <c r="DG50" i="3"/>
  <c r="DH50" i="3"/>
  <c r="DI50" i="3"/>
  <c r="DF50" i="3"/>
  <c r="DJ50" i="3" s="1"/>
  <c r="F42" i="1"/>
  <c r="Q26" i="1"/>
  <c r="BA26" i="1"/>
  <c r="F50" i="1"/>
  <c r="DF29" i="3"/>
  <c r="DJ29" i="3" s="1"/>
  <c r="DG29" i="3"/>
  <c r="DH29" i="3"/>
  <c r="DI29" i="3"/>
  <c r="DF34" i="3"/>
  <c r="DJ34" i="3" s="1"/>
  <c r="DG34" i="3"/>
  <c r="DH34" i="3"/>
  <c r="DI34" i="3"/>
  <c r="DF43" i="3"/>
  <c r="DJ43" i="3" s="1"/>
  <c r="DG43" i="3"/>
  <c r="DH43" i="3"/>
  <c r="DI43" i="3"/>
  <c r="CF26" i="1"/>
  <c r="AW30" i="1"/>
  <c r="P77" i="1"/>
  <c r="CP77" i="1" s="1"/>
  <c r="O77" i="1" s="1"/>
  <c r="J101" i="7" s="1"/>
  <c r="BB66" i="1"/>
  <c r="F105" i="1"/>
  <c r="BB158" i="1"/>
  <c r="DF32" i="3"/>
  <c r="DJ32" i="3" s="1"/>
  <c r="DG32" i="3"/>
  <c r="DH32" i="3"/>
  <c r="DI32" i="3"/>
  <c r="V81" i="1"/>
  <c r="CE124" i="1"/>
  <c r="AV128" i="1"/>
  <c r="Q86" i="1"/>
  <c r="R86" i="1"/>
  <c r="GK86" i="1" s="1"/>
  <c r="S81" i="1"/>
  <c r="CG66" i="1"/>
  <c r="AX92" i="1"/>
  <c r="AT124" i="1"/>
  <c r="F146" i="1"/>
  <c r="V124" i="1"/>
  <c r="F151" i="1"/>
  <c r="DG60" i="3"/>
  <c r="DH60" i="3"/>
  <c r="DI60" i="3"/>
  <c r="DJ60" i="3" s="1"/>
  <c r="DF60" i="3"/>
  <c r="DI33" i="3"/>
  <c r="DF33" i="3"/>
  <c r="DJ33" i="3" s="1"/>
  <c r="DG33" i="3"/>
  <c r="DH33" i="3"/>
  <c r="DF28" i="3"/>
  <c r="DJ28" i="3" s="1"/>
  <c r="DG28" i="3"/>
  <c r="DH28" i="3"/>
  <c r="DI28" i="3"/>
  <c r="AF26" i="1"/>
  <c r="S30" i="1"/>
  <c r="W77" i="1"/>
  <c r="GX80" i="1"/>
  <c r="T86" i="1"/>
  <c r="GX86" i="1"/>
  <c r="AP124" i="1"/>
  <c r="F137" i="1"/>
  <c r="BD26" i="1"/>
  <c r="F55" i="1"/>
  <c r="BD188" i="1"/>
  <c r="F153" i="1"/>
  <c r="BD124" i="1"/>
  <c r="DF14" i="3"/>
  <c r="DG14" i="3"/>
  <c r="DH14" i="3"/>
  <c r="DI14" i="3"/>
  <c r="DJ14" i="3" s="1"/>
  <c r="DF59" i="3"/>
  <c r="DG59" i="3"/>
  <c r="DH59" i="3"/>
  <c r="DI59" i="3"/>
  <c r="DJ59" i="3" s="1"/>
  <c r="AB30" i="1"/>
  <c r="CE26" i="1"/>
  <c r="AV30" i="1"/>
  <c r="F144" i="1"/>
  <c r="BC124" i="1"/>
  <c r="R77" i="1"/>
  <c r="GK77" i="1" s="1"/>
  <c r="DF24" i="3"/>
  <c r="DJ24" i="3" s="1"/>
  <c r="DG24" i="3"/>
  <c r="DH24" i="3"/>
  <c r="DI24" i="3"/>
  <c r="DF58" i="3"/>
  <c r="DG58" i="3"/>
  <c r="DH58" i="3"/>
  <c r="DI58" i="3"/>
  <c r="DJ58" i="3" s="1"/>
  <c r="AY30" i="1"/>
  <c r="CH26" i="1"/>
  <c r="DI39" i="3"/>
  <c r="DJ39" i="3" s="1"/>
  <c r="DF39" i="3"/>
  <c r="DG39" i="3"/>
  <c r="DH39" i="3"/>
  <c r="GM79" i="1"/>
  <c r="GP79" i="1" s="1"/>
  <c r="V80" i="1"/>
  <c r="AI92" i="1" s="1"/>
  <c r="DI19" i="3"/>
  <c r="DJ19" i="3" s="1"/>
  <c r="DF19" i="3"/>
  <c r="DG19" i="3"/>
  <c r="DH19" i="3"/>
  <c r="GM68" i="1"/>
  <c r="S76" i="1"/>
  <c r="S80" i="1"/>
  <c r="P86" i="1"/>
  <c r="BD158" i="1"/>
  <c r="DF51" i="3"/>
  <c r="DJ51" i="3" s="1"/>
  <c r="DG51" i="3"/>
  <c r="DH51" i="3"/>
  <c r="DI51" i="3"/>
  <c r="CI124" i="1"/>
  <c r="AZ128" i="1"/>
  <c r="AE124" i="1"/>
  <c r="R128" i="1"/>
  <c r="AS66" i="1"/>
  <c r="AS158" i="1"/>
  <c r="F109" i="1"/>
  <c r="CG26" i="1"/>
  <c r="AX30" i="1"/>
  <c r="DG27" i="3"/>
  <c r="DH27" i="3"/>
  <c r="DI27" i="3"/>
  <c r="DF27" i="3"/>
  <c r="DJ27" i="3" s="1"/>
  <c r="DF57" i="3"/>
  <c r="DJ57" i="3" s="1"/>
  <c r="DG57" i="3"/>
  <c r="DH57" i="3"/>
  <c r="DI57" i="3"/>
  <c r="V26" i="1"/>
  <c r="F53" i="1"/>
  <c r="DG35" i="3"/>
  <c r="DH35" i="3"/>
  <c r="DI35" i="3"/>
  <c r="DF35" i="3"/>
  <c r="DJ35" i="3" s="1"/>
  <c r="DF54" i="3"/>
  <c r="DJ54" i="3" s="1"/>
  <c r="DG54" i="3"/>
  <c r="DH54" i="3"/>
  <c r="DI54" i="3"/>
  <c r="DG2" i="3"/>
  <c r="DH2" i="3"/>
  <c r="DI2" i="3"/>
  <c r="DJ2" i="3" s="1"/>
  <c r="DF2" i="3"/>
  <c r="DF40" i="3"/>
  <c r="DJ40" i="3" s="1"/>
  <c r="DG40" i="3"/>
  <c r="DH40" i="3"/>
  <c r="DI40" i="3"/>
  <c r="AL26" i="1"/>
  <c r="Y30" i="1"/>
  <c r="DG7" i="3"/>
  <c r="DJ7" i="3" s="1"/>
  <c r="DH7" i="3"/>
  <c r="DI7" i="3"/>
  <c r="DF7" i="3"/>
  <c r="P26" i="1"/>
  <c r="F33" i="1"/>
  <c r="DF45" i="3"/>
  <c r="DJ45" i="3" s="1"/>
  <c r="DG45" i="3"/>
  <c r="DH45" i="3"/>
  <c r="DI45" i="3"/>
  <c r="DF42" i="3"/>
  <c r="DJ42" i="3" s="1"/>
  <c r="DG42" i="3"/>
  <c r="DH42" i="3"/>
  <c r="DI42" i="3"/>
  <c r="AK26" i="1"/>
  <c r="X30" i="1"/>
  <c r="W80" i="1"/>
  <c r="BC66" i="1"/>
  <c r="F108" i="1"/>
  <c r="BC158" i="1"/>
  <c r="DF36" i="3"/>
  <c r="DJ36" i="3" s="1"/>
  <c r="DG36" i="3"/>
  <c r="DH36" i="3"/>
  <c r="DI36" i="3"/>
  <c r="DH38" i="3"/>
  <c r="DI38" i="3"/>
  <c r="DF38" i="3"/>
  <c r="DJ38" i="3" s="1"/>
  <c r="DG38" i="3"/>
  <c r="U77" i="1"/>
  <c r="AH92" i="1" s="1"/>
  <c r="AP66" i="1"/>
  <c r="AP158" i="1"/>
  <c r="F101" i="1"/>
  <c r="GX77" i="1"/>
  <c r="CJ92" i="1" s="1"/>
  <c r="V86" i="1"/>
  <c r="DF48" i="3"/>
  <c r="DG48" i="3"/>
  <c r="DH48" i="3"/>
  <c r="DI48" i="3"/>
  <c r="DJ48" i="3" s="1"/>
  <c r="BB124" i="1"/>
  <c r="F141" i="1"/>
  <c r="T76" i="1"/>
  <c r="S128" i="1"/>
  <c r="AF124" i="1"/>
  <c r="P155" i="7" l="1"/>
  <c r="K155" i="7"/>
  <c r="AG92" i="1"/>
  <c r="AG66" i="1" s="1"/>
  <c r="GK28" i="1"/>
  <c r="GM28" i="1" s="1"/>
  <c r="AE30" i="1"/>
  <c r="O32" i="10"/>
  <c r="M38" i="10"/>
  <c r="GK70" i="1"/>
  <c r="J58" i="7"/>
  <c r="T34" i="10"/>
  <c r="GM88" i="1"/>
  <c r="GP88" i="1" s="1"/>
  <c r="R140" i="7"/>
  <c r="J143" i="7" s="1"/>
  <c r="I146" i="7" s="1"/>
  <c r="GK85" i="1"/>
  <c r="GM85" i="1" s="1"/>
  <c r="GP85" i="1" s="1"/>
  <c r="J125" i="7"/>
  <c r="I80" i="7"/>
  <c r="J102" i="7"/>
  <c r="GK72" i="1"/>
  <c r="GM72" i="1" s="1"/>
  <c r="GP72" i="1" s="1"/>
  <c r="J75" i="7"/>
  <c r="I139" i="7"/>
  <c r="O46" i="10"/>
  <c r="I93" i="7"/>
  <c r="T38" i="10"/>
  <c r="O38" i="10"/>
  <c r="GM75" i="1"/>
  <c r="GP75" i="1" s="1"/>
  <c r="I161" i="7"/>
  <c r="GK89" i="1"/>
  <c r="GM89" i="1" s="1"/>
  <c r="GP89" i="1" s="1"/>
  <c r="J150" i="7"/>
  <c r="CZ78" i="1"/>
  <c r="Y78" i="1" s="1"/>
  <c r="T102" i="7" s="1"/>
  <c r="CY78" i="1"/>
  <c r="X78" i="1" s="1"/>
  <c r="R102" i="7" s="1"/>
  <c r="I48" i="7"/>
  <c r="GM84" i="1"/>
  <c r="GP84" i="1" s="1"/>
  <c r="R116" i="7"/>
  <c r="J117" i="7" s="1"/>
  <c r="I120" i="7" s="1"/>
  <c r="AK124" i="1"/>
  <c r="CZ82" i="1"/>
  <c r="Y82" i="1" s="1"/>
  <c r="T106" i="7" s="1"/>
  <c r="CY82" i="1"/>
  <c r="X82" i="1" s="1"/>
  <c r="R106" i="7" s="1"/>
  <c r="D38" i="9"/>
  <c r="CP82" i="1"/>
  <c r="O82" i="1" s="1"/>
  <c r="CP86" i="1"/>
  <c r="O86" i="1" s="1"/>
  <c r="J127" i="7" s="1"/>
  <c r="K172" i="7"/>
  <c r="P172" i="7"/>
  <c r="I174" i="7" s="1"/>
  <c r="P71" i="7"/>
  <c r="K71" i="7"/>
  <c r="CP80" i="1"/>
  <c r="O80" i="1" s="1"/>
  <c r="J104" i="7" s="1"/>
  <c r="GM74" i="1"/>
  <c r="GP74" i="1" s="1"/>
  <c r="GM70" i="1"/>
  <c r="GP70" i="1" s="1"/>
  <c r="U124" i="1"/>
  <c r="F150" i="1"/>
  <c r="P87" i="7"/>
  <c r="K87" i="7"/>
  <c r="I63" i="7"/>
  <c r="T55" i="10"/>
  <c r="GM71" i="1"/>
  <c r="GP71" i="1" s="1"/>
  <c r="AH66" i="1"/>
  <c r="U92" i="1"/>
  <c r="CJ66" i="1"/>
  <c r="BA92" i="1"/>
  <c r="AS62" i="1"/>
  <c r="F175" i="1"/>
  <c r="AS188" i="1"/>
  <c r="AD92" i="1"/>
  <c r="CZ81" i="1"/>
  <c r="Y81" i="1" s="1"/>
  <c r="T105" i="7" s="1"/>
  <c r="CY81" i="1"/>
  <c r="X81" i="1" s="1"/>
  <c r="R105" i="7" s="1"/>
  <c r="S124" i="1"/>
  <c r="F143" i="1"/>
  <c r="GP68" i="1"/>
  <c r="BD22" i="1"/>
  <c r="BD218" i="1"/>
  <c r="F213" i="1"/>
  <c r="AO62" i="1"/>
  <c r="AO188" i="1"/>
  <c r="F162" i="1"/>
  <c r="F136" i="1"/>
  <c r="AY124" i="1"/>
  <c r="AZ26" i="1"/>
  <c r="F41" i="1"/>
  <c r="O128" i="1"/>
  <c r="AB124" i="1"/>
  <c r="X26" i="1"/>
  <c r="F56" i="1"/>
  <c r="R124" i="1"/>
  <c r="F142" i="1"/>
  <c r="BD62" i="1"/>
  <c r="F183" i="1"/>
  <c r="CA128" i="1"/>
  <c r="GP126" i="1"/>
  <c r="CD128" i="1" s="1"/>
  <c r="AB26" i="1"/>
  <c r="O30" i="1"/>
  <c r="AX66" i="1"/>
  <c r="F99" i="1"/>
  <c r="AX158" i="1"/>
  <c r="BC62" i="1"/>
  <c r="F174" i="1"/>
  <c r="T92" i="1"/>
  <c r="F35" i="1"/>
  <c r="AV26" i="1"/>
  <c r="F133" i="1"/>
  <c r="AV124" i="1"/>
  <c r="BB62" i="1"/>
  <c r="F171" i="1"/>
  <c r="BB188" i="1"/>
  <c r="CP81" i="1"/>
  <c r="O81" i="1" s="1"/>
  <c r="F139" i="1"/>
  <c r="AZ124" i="1"/>
  <c r="S26" i="1"/>
  <c r="F45" i="1"/>
  <c r="CY86" i="1"/>
  <c r="X86" i="1" s="1"/>
  <c r="CZ86" i="1"/>
  <c r="Y86" i="1" s="1"/>
  <c r="T127" i="7" s="1"/>
  <c r="J129" i="7" s="1"/>
  <c r="AT62" i="1"/>
  <c r="F176" i="1"/>
  <c r="AT188" i="1"/>
  <c r="CZ77" i="1"/>
  <c r="Y77" i="1" s="1"/>
  <c r="T101" i="7" s="1"/>
  <c r="CY77" i="1"/>
  <c r="X77" i="1" s="1"/>
  <c r="R101" i="7" s="1"/>
  <c r="Y26" i="1"/>
  <c r="F57" i="1"/>
  <c r="AX26" i="1"/>
  <c r="F37" i="1"/>
  <c r="AX188" i="1"/>
  <c r="CY80" i="1"/>
  <c r="X80" i="1" s="1"/>
  <c r="CZ80" i="1"/>
  <c r="Y80" i="1" s="1"/>
  <c r="T104" i="7" s="1"/>
  <c r="GP28" i="1"/>
  <c r="CD30" i="1" s="1"/>
  <c r="CA30" i="1"/>
  <c r="AC92" i="1"/>
  <c r="F155" i="1"/>
  <c r="Y124" i="1"/>
  <c r="AI66" i="1"/>
  <c r="V92" i="1"/>
  <c r="AP62" i="1"/>
  <c r="AP188" i="1"/>
  <c r="F167" i="1"/>
  <c r="GM77" i="1"/>
  <c r="GP77" i="1" s="1"/>
  <c r="CI66" i="1"/>
  <c r="AZ92" i="1"/>
  <c r="AE92" i="1"/>
  <c r="F154" i="1"/>
  <c r="X124" i="1"/>
  <c r="BC188" i="1"/>
  <c r="CY76" i="1"/>
  <c r="X76" i="1" s="1"/>
  <c r="CZ76" i="1"/>
  <c r="Y76" i="1" s="1"/>
  <c r="AF92" i="1"/>
  <c r="AY26" i="1"/>
  <c r="F38" i="1"/>
  <c r="F36" i="1"/>
  <c r="AW26" i="1"/>
  <c r="AQ66" i="1"/>
  <c r="AQ158" i="1"/>
  <c r="F102" i="1"/>
  <c r="AJ92" i="1"/>
  <c r="K120" i="7" l="1"/>
  <c r="P120" i="7"/>
  <c r="P161" i="7"/>
  <c r="K161" i="7"/>
  <c r="GM80" i="1"/>
  <c r="GP80" i="1" s="1"/>
  <c r="R104" i="7"/>
  <c r="GM78" i="1"/>
  <c r="GP78" i="1" s="1"/>
  <c r="P48" i="7"/>
  <c r="K48" i="7"/>
  <c r="P80" i="7"/>
  <c r="K80" i="7"/>
  <c r="K93" i="7"/>
  <c r="P93" i="7"/>
  <c r="GM81" i="1"/>
  <c r="GP81" i="1" s="1"/>
  <c r="J105" i="7"/>
  <c r="J106" i="7"/>
  <c r="GM82" i="1"/>
  <c r="GP82" i="1" s="1"/>
  <c r="AL92" i="1"/>
  <c r="T100" i="7"/>
  <c r="J108" i="7" s="1"/>
  <c r="AK92" i="1"/>
  <c r="X92" i="1" s="1"/>
  <c r="R100" i="7"/>
  <c r="J107" i="7" s="1"/>
  <c r="P63" i="7"/>
  <c r="K63" i="7"/>
  <c r="P139" i="7"/>
  <c r="K139" i="7"/>
  <c r="AE26" i="1"/>
  <c r="R30" i="1"/>
  <c r="GM86" i="1"/>
  <c r="GP86" i="1" s="1"/>
  <c r="R127" i="7"/>
  <c r="J128" i="7" s="1"/>
  <c r="I132" i="7" s="1"/>
  <c r="K146" i="7"/>
  <c r="P146" i="7"/>
  <c r="AK66" i="1"/>
  <c r="AR30" i="1"/>
  <c r="CA26" i="1"/>
  <c r="T66" i="1"/>
  <c r="F113" i="1"/>
  <c r="T158" i="1"/>
  <c r="CD124" i="1"/>
  <c r="AU128" i="1"/>
  <c r="BA66" i="1"/>
  <c r="BA158" i="1"/>
  <c r="F112" i="1"/>
  <c r="AL66" i="1"/>
  <c r="Y92" i="1"/>
  <c r="CD26" i="1"/>
  <c r="AU30" i="1"/>
  <c r="CA124" i="1"/>
  <c r="AR128" i="1"/>
  <c r="AO22" i="1"/>
  <c r="AO218" i="1"/>
  <c r="F192" i="1"/>
  <c r="BC22" i="1"/>
  <c r="BC218" i="1"/>
  <c r="F204" i="1"/>
  <c r="V66" i="1"/>
  <c r="F115" i="1"/>
  <c r="V158" i="1"/>
  <c r="O124" i="1"/>
  <c r="F130" i="1"/>
  <c r="U66" i="1"/>
  <c r="U158" i="1"/>
  <c r="F114" i="1"/>
  <c r="AP22" i="1"/>
  <c r="F197" i="1"/>
  <c r="G16" i="2" s="1"/>
  <c r="AP218" i="1"/>
  <c r="AJ66" i="1"/>
  <c r="W92" i="1"/>
  <c r="AE66" i="1"/>
  <c r="R92" i="1"/>
  <c r="AX22" i="1"/>
  <c r="F195" i="1"/>
  <c r="AX218" i="1"/>
  <c r="AT22" i="1"/>
  <c r="F206" i="1"/>
  <c r="F16" i="2" s="1"/>
  <c r="AT218" i="1"/>
  <c r="AX62" i="1"/>
  <c r="F165" i="1"/>
  <c r="AD66" i="1"/>
  <c r="Q92" i="1"/>
  <c r="AZ66" i="1"/>
  <c r="AZ158" i="1"/>
  <c r="F103" i="1"/>
  <c r="BD18" i="1"/>
  <c r="F243" i="1"/>
  <c r="AQ62" i="1"/>
  <c r="F168" i="1"/>
  <c r="AQ188" i="1"/>
  <c r="AF66" i="1"/>
  <c r="S92" i="1"/>
  <c r="AS22" i="1"/>
  <c r="F205" i="1"/>
  <c r="E16" i="2" s="1"/>
  <c r="AS218" i="1"/>
  <c r="AB92" i="1"/>
  <c r="AC66" i="1"/>
  <c r="CH92" i="1"/>
  <c r="CE92" i="1"/>
  <c r="CF92" i="1"/>
  <c r="P92" i="1"/>
  <c r="BB22" i="1"/>
  <c r="BB218" i="1"/>
  <c r="F201" i="1"/>
  <c r="O26" i="1"/>
  <c r="F32" i="1"/>
  <c r="GM76" i="1"/>
  <c r="K132" i="7" l="1"/>
  <c r="P132" i="7"/>
  <c r="I111" i="7"/>
  <c r="R26" i="1"/>
  <c r="F44" i="1"/>
  <c r="R66" i="1"/>
  <c r="R158" i="1"/>
  <c r="F106" i="1"/>
  <c r="AS18" i="1"/>
  <c r="F235" i="1"/>
  <c r="I21" i="7" s="1"/>
  <c r="BC18" i="1"/>
  <c r="F234" i="1"/>
  <c r="Y66" i="1"/>
  <c r="F119" i="1"/>
  <c r="Y158" i="1"/>
  <c r="P66" i="1"/>
  <c r="F95" i="1"/>
  <c r="P158" i="1"/>
  <c r="AO18" i="1"/>
  <c r="F222" i="1"/>
  <c r="AB66" i="1"/>
  <c r="O92" i="1"/>
  <c r="S66" i="1"/>
  <c r="F107" i="1"/>
  <c r="S158" i="1"/>
  <c r="AP18" i="1"/>
  <c r="F227" i="1"/>
  <c r="I23" i="7" s="1"/>
  <c r="BA62" i="1"/>
  <c r="F178" i="1"/>
  <c r="BA188" i="1"/>
  <c r="BB18" i="1"/>
  <c r="F231" i="1"/>
  <c r="AT18" i="1"/>
  <c r="F236" i="1"/>
  <c r="I22" i="7" s="1"/>
  <c r="F156" i="1"/>
  <c r="AR124" i="1"/>
  <c r="AR26" i="1"/>
  <c r="F58" i="1"/>
  <c r="W66" i="1"/>
  <c r="F116" i="1"/>
  <c r="W158" i="1"/>
  <c r="CF66" i="1"/>
  <c r="AW92" i="1"/>
  <c r="V62" i="1"/>
  <c r="F181" i="1"/>
  <c r="V188" i="1"/>
  <c r="CE66" i="1"/>
  <c r="AV92" i="1"/>
  <c r="AX18" i="1"/>
  <c r="F225" i="1"/>
  <c r="Q66" i="1"/>
  <c r="Q158" i="1"/>
  <c r="F104" i="1"/>
  <c r="AU124" i="1"/>
  <c r="F147" i="1"/>
  <c r="X66" i="1"/>
  <c r="F118" i="1"/>
  <c r="X158" i="1"/>
  <c r="U62" i="1"/>
  <c r="F180" i="1"/>
  <c r="U188" i="1"/>
  <c r="T62" i="1"/>
  <c r="F179" i="1"/>
  <c r="T188" i="1"/>
  <c r="GP76" i="1"/>
  <c r="CD92" i="1" s="1"/>
  <c r="CA92" i="1"/>
  <c r="AZ62" i="1"/>
  <c r="F169" i="1"/>
  <c r="AZ188" i="1"/>
  <c r="CH66" i="1"/>
  <c r="AY92" i="1"/>
  <c r="AQ22" i="1"/>
  <c r="F198" i="1"/>
  <c r="AQ218" i="1"/>
  <c r="AU26" i="1"/>
  <c r="F49" i="1"/>
  <c r="K111" i="7" l="1"/>
  <c r="P111" i="7"/>
  <c r="AW66" i="1"/>
  <c r="AW158" i="1"/>
  <c r="F98" i="1"/>
  <c r="W62" i="1"/>
  <c r="F182" i="1"/>
  <c r="W188" i="1"/>
  <c r="CA66" i="1"/>
  <c r="AR92" i="1"/>
  <c r="T22" i="1"/>
  <c r="T218" i="1"/>
  <c r="F209" i="1"/>
  <c r="AV66" i="1"/>
  <c r="AV158" i="1"/>
  <c r="F97" i="1"/>
  <c r="P62" i="1"/>
  <c r="F161" i="1"/>
  <c r="P188" i="1"/>
  <c r="AQ18" i="1"/>
  <c r="F228" i="1"/>
  <c r="S62" i="1"/>
  <c r="F173" i="1"/>
  <c r="S188" i="1"/>
  <c r="V22" i="1"/>
  <c r="F211" i="1"/>
  <c r="V218" i="1"/>
  <c r="X62" i="1"/>
  <c r="F184" i="1"/>
  <c r="X188" i="1"/>
  <c r="Y62" i="1"/>
  <c r="F185" i="1"/>
  <c r="Y188" i="1"/>
  <c r="R62" i="1"/>
  <c r="F172" i="1"/>
  <c r="R188" i="1"/>
  <c r="CD66" i="1"/>
  <c r="AU92" i="1"/>
  <c r="AY66" i="1"/>
  <c r="F100" i="1"/>
  <c r="AY158" i="1"/>
  <c r="AZ22" i="1"/>
  <c r="F199" i="1"/>
  <c r="AZ218" i="1"/>
  <c r="U22" i="1"/>
  <c r="U218" i="1"/>
  <c r="F210" i="1"/>
  <c r="Q62" i="1"/>
  <c r="F170" i="1"/>
  <c r="Q188" i="1"/>
  <c r="BA22" i="1"/>
  <c r="F208" i="1"/>
  <c r="BA218" i="1"/>
  <c r="O66" i="1"/>
  <c r="O158" i="1"/>
  <c r="F94" i="1"/>
  <c r="I179" i="7" l="1"/>
  <c r="I177" i="7"/>
  <c r="I163" i="7"/>
  <c r="AR66" i="1"/>
  <c r="AR158" i="1"/>
  <c r="F120" i="1"/>
  <c r="W22" i="1"/>
  <c r="W218" i="1"/>
  <c r="F212" i="1"/>
  <c r="AV62" i="1"/>
  <c r="F163" i="1"/>
  <c r="AV188" i="1"/>
  <c r="U18" i="1"/>
  <c r="F240" i="1"/>
  <c r="S22" i="1"/>
  <c r="F203" i="1"/>
  <c r="S218" i="1"/>
  <c r="Y22" i="1"/>
  <c r="F215" i="1"/>
  <c r="Y218" i="1"/>
  <c r="AU66" i="1"/>
  <c r="F111" i="1"/>
  <c r="AU158" i="1"/>
  <c r="R22" i="1"/>
  <c r="F202" i="1"/>
  <c r="R218" i="1"/>
  <c r="T18" i="1"/>
  <c r="F239" i="1"/>
  <c r="AW62" i="1"/>
  <c r="F164" i="1"/>
  <c r="AW188" i="1"/>
  <c r="Q22" i="1"/>
  <c r="F200" i="1"/>
  <c r="Q218" i="1"/>
  <c r="AY62" i="1"/>
  <c r="F166" i="1"/>
  <c r="AY188" i="1"/>
  <c r="O62" i="1"/>
  <c r="F160" i="1"/>
  <c r="O188" i="1"/>
  <c r="X22" i="1"/>
  <c r="F214" i="1"/>
  <c r="X218" i="1"/>
  <c r="BA18" i="1"/>
  <c r="F238" i="1"/>
  <c r="AZ18" i="1"/>
  <c r="F229" i="1"/>
  <c r="V18" i="1"/>
  <c r="F241" i="1"/>
  <c r="P22" i="1"/>
  <c r="F191" i="1"/>
  <c r="P218" i="1"/>
  <c r="X18" i="1" l="1"/>
  <c r="F244" i="1"/>
  <c r="Q18" i="1"/>
  <c r="F230" i="1"/>
  <c r="J16" i="2"/>
  <c r="W18" i="1"/>
  <c r="F242" i="1"/>
  <c r="AU62" i="1"/>
  <c r="F177" i="1"/>
  <c r="AU188" i="1"/>
  <c r="R18" i="1"/>
  <c r="F232" i="1"/>
  <c r="O22" i="1"/>
  <c r="F190" i="1"/>
  <c r="O218" i="1"/>
  <c r="AY22" i="1"/>
  <c r="AY218" i="1"/>
  <c r="F196" i="1"/>
  <c r="AR62" i="1"/>
  <c r="F186" i="1"/>
  <c r="AR188" i="1"/>
  <c r="S18" i="1"/>
  <c r="F233" i="1"/>
  <c r="I25" i="7" s="1"/>
  <c r="AW22" i="1"/>
  <c r="F194" i="1"/>
  <c r="AW218" i="1"/>
  <c r="P18" i="1"/>
  <c r="F221" i="1"/>
  <c r="Y18" i="1"/>
  <c r="F245" i="1"/>
  <c r="AV22" i="1"/>
  <c r="F193" i="1"/>
  <c r="AV218" i="1"/>
  <c r="AR22" i="1" l="1"/>
  <c r="AR218" i="1"/>
  <c r="F216" i="1"/>
  <c r="O18" i="1"/>
  <c r="F220" i="1"/>
  <c r="AU22" i="1"/>
  <c r="F207" i="1"/>
  <c r="H16" i="2" s="1"/>
  <c r="I16" i="2" s="1"/>
  <c r="N16" i="2" s="1"/>
  <c r="AU218" i="1"/>
  <c r="AW18" i="1"/>
  <c r="F224" i="1"/>
  <c r="AV18" i="1"/>
  <c r="F223" i="1"/>
  <c r="AY18" i="1"/>
  <c r="F226" i="1"/>
  <c r="AU18" i="1" l="1"/>
  <c r="F237" i="1"/>
  <c r="I24" i="7" s="1"/>
  <c r="AR18" i="1"/>
  <c r="F246" i="1"/>
  <c r="J183" i="7"/>
  <c r="J185" i="7" s="1"/>
  <c r="I20" i="7" s="1"/>
</calcChain>
</file>

<file path=xl/sharedStrings.xml><?xml version="1.0" encoding="utf-8"?>
<sst xmlns="http://schemas.openxmlformats.org/spreadsheetml/2006/main" count="3305" uniqueCount="374">
  <si>
    <t>Smeta.RU Flash  (495) 974-1589</t>
  </si>
  <si>
    <t>_PS_</t>
  </si>
  <si>
    <t>Smeta.RU Flash</t>
  </si>
  <si>
    <t/>
  </si>
  <si>
    <t>Консерватория им. П.И.Чайковского  ВОДА</t>
  </si>
  <si>
    <t>Сметные нормы списания</t>
  </si>
  <si>
    <t>Коды ОКП для СН-2012 Выпуск № 6 (в ценах на 01.01.2026 г)</t>
  </si>
  <si>
    <t>СН-2012 Выпуск № 6. (в ценах на 01.01.2026) глава_1-5, 7</t>
  </si>
  <si>
    <t>Типовой расчет для СН-2012 Выпуск №6 (в ценах на 01.01.2026 г)</t>
  </si>
  <si>
    <t>СН-2012 Выпуск № 6. База данных "Сборник стоимостных нормативов" в текущих ценах по состоянию на 01.01.2026 года</t>
  </si>
  <si>
    <t>Поправки для СН-2012 Выпуск № 6 в ценах на 01.01.2026 г от 12.01.2026</t>
  </si>
  <si>
    <t>Новая локальная смета</t>
  </si>
  <si>
    <t>Пожаротуш.</t>
  </si>
  <si>
    <t>Новый раздел</t>
  </si>
  <si>
    <t>Проектные работы</t>
  </si>
  <si>
    <t>1</t>
  </si>
  <si>
    <t>Цена поставщика</t>
  </si>
  <si>
    <t>Изготовление проектной документации</t>
  </si>
  <si>
    <t>шт.</t>
  </si>
  <si>
    <t>СН-2012</t>
  </si>
  <si>
    <t>Подрядные работы, гл. 1-5,7</t>
  </si>
  <si>
    <t>работа</t>
  </si>
  <si>
    <t>ПЗ</t>
  </si>
  <si>
    <t>Прямые затраты</t>
  </si>
  <si>
    <t>СтМатОб</t>
  </si>
  <si>
    <t>Стоимость материальных ресурсов (всего)</t>
  </si>
  <si>
    <t>СтМатОбЗак</t>
  </si>
  <si>
    <t>Стоимость материалов и оборудования заказчика</t>
  </si>
  <si>
    <t>СтМатОбПод</t>
  </si>
  <si>
    <t>Стоимость материалов и оборудования подрядчика</t>
  </si>
  <si>
    <t>СтМат</t>
  </si>
  <si>
    <t>Стоимость материалов (всего)</t>
  </si>
  <si>
    <t>СтМатЗак</t>
  </si>
  <si>
    <t>Стоимость материалов заказчика</t>
  </si>
  <si>
    <t>СтМатПод</t>
  </si>
  <si>
    <t>Стоимость материалов подрядчика</t>
  </si>
  <si>
    <t>Оборуд</t>
  </si>
  <si>
    <t>Стоимость оборудования (всего)</t>
  </si>
  <si>
    <t>ОборудЗак</t>
  </si>
  <si>
    <t>Стоимость оборудования заказчика</t>
  </si>
  <si>
    <t>ОборудПод</t>
  </si>
  <si>
    <t>Стоимость оборудования подрядчика</t>
  </si>
  <si>
    <t>ЭММ</t>
  </si>
  <si>
    <t>Эксплуатация машин</t>
  </si>
  <si>
    <t>ЭММсНРиСП</t>
  </si>
  <si>
    <t>Эксплуатация машин по ТСН-2001.16</t>
  </si>
  <si>
    <t>ЗПМ</t>
  </si>
  <si>
    <t>ЗП машинистов</t>
  </si>
  <si>
    <t>ОЗП</t>
  </si>
  <si>
    <t>Основная ЗП рабочих</t>
  </si>
  <si>
    <t>ОЗПсНРиСП</t>
  </si>
  <si>
    <t>Основная ЗП рабочих по ТСН-2001.16</t>
  </si>
  <si>
    <t>Строит</t>
  </si>
  <si>
    <t>Строительные работы с НР и СП</t>
  </si>
  <si>
    <t>Монтаж</t>
  </si>
  <si>
    <t>Монтажные работы с НР и СП</t>
  </si>
  <si>
    <t>Прочие</t>
  </si>
  <si>
    <t>Прочие работы с НР и СП</t>
  </si>
  <si>
    <t>ПрочиеЗатр</t>
  </si>
  <si>
    <t>Прочие затраты по ТСН-2001.16</t>
  </si>
  <si>
    <t>ВозврМат</t>
  </si>
  <si>
    <t>Возврат материалов</t>
  </si>
  <si>
    <t>ТрудСтр</t>
  </si>
  <si>
    <t>Трудозатраты строителей</t>
  </si>
  <si>
    <t>ТрудМаш</t>
  </si>
  <si>
    <t>Трудозатраты машинистов</t>
  </si>
  <si>
    <t>ТранспМат</t>
  </si>
  <si>
    <t>Транспорт материалов</t>
  </si>
  <si>
    <t>Перевозка</t>
  </si>
  <si>
    <t>Перевозка грузов</t>
  </si>
  <si>
    <t>НР</t>
  </si>
  <si>
    <t>Накладные расходы</t>
  </si>
  <si>
    <t>СмПриб</t>
  </si>
  <si>
    <t>Сметная прибыль</t>
  </si>
  <si>
    <t>Всего</t>
  </si>
  <si>
    <t>Всего с НР и СП</t>
  </si>
  <si>
    <t>Автоматическая установка пожаротушения тонкораспыленной водой</t>
  </si>
  <si>
    <t>Новый подраздел</t>
  </si>
  <si>
    <t>Монтажные работы</t>
  </si>
  <si>
    <t>2</t>
  </si>
  <si>
    <t>1.22-3403-45-9/1</t>
  </si>
  <si>
    <t>Установка аппаратуры настенной (без стоимости материалов) (С2000-ПТ-1 шт.,БРИЗ-Т - 2 шт., С2000-СП2-2 шт.)</t>
  </si>
  <si>
    <t>СН-2012.1 Выпуск № 6 (в текущих ценах по состоянию на 01.01.2026 г.). 1.22-3403-45-9/1</t>
  </si>
  <si>
    <t>3</t>
  </si>
  <si>
    <t>1.23-3103-4-1/1</t>
  </si>
  <si>
    <t>Установка механизмов исполнительных и узлов сочленения - механизм исполнительный массой до 20 кг (Модуль пожаротушения тонкораспыленной водой МУПТВ-13,5-ГЗ-ВД)</t>
  </si>
  <si>
    <t>СН-2012.1 Выпуск № 6 (в текущих ценах по состоянию на 01.01.2026 г.). 1.23-3103-4-1/1</t>
  </si>
  <si>
    <t>4</t>
  </si>
  <si>
    <t>1.21-3603-11-2/1</t>
  </si>
  <si>
    <t>Установка пускателя ручного общего назначения на ток до 25 А отдельностоящего, на конструкции на стене или колонне (без стоимости материалов) (Устройство дистанционного пуска УДП513-3АМ)</t>
  </si>
  <si>
    <t>СН-2012.1 Выпуск № 6 (в текущих ценах по состоянию на 01.01.2026 г.). 1.21-3603-11-2/1</t>
  </si>
  <si>
    <t>5</t>
  </si>
  <si>
    <t>1.22-3203-2-1/1</t>
  </si>
  <si>
    <t>Установка извещателя пожарного дымового оптико-электронного адресно-аналогового ИП 212-34А "ДИП-34А"  (ДИП-34А исп. 04)</t>
  </si>
  <si>
    <t>СН-2012.1 Выпуск № 6 (в текущих ценах по состоянию на 01.01.2026 г.). 1.22-3203-2-1/1</t>
  </si>
  <si>
    <t>6</t>
  </si>
  <si>
    <t>1.22-3103-19-6/1</t>
  </si>
  <si>
    <t>Установка преобразователя или блока питания отдельно устанавливаемого (без стоимости материалов) (РИП-24 исп. 51)</t>
  </si>
  <si>
    <t>СН-2012.1 Выпуск № 6 (в текущих ценах по состоянию на 01.01.2026 г.). 1.22-3103-19-6/1</t>
  </si>
  <si>
    <t>7</t>
  </si>
  <si>
    <t>2.9-3103-70-1/1</t>
  </si>
  <si>
    <t>Установка аккумулятора кислотного стационарного: С-1, СК-1 (без стоимости основных материалов) (Аккумуляторы 12 В, 7А/Ч)</t>
  </si>
  <si>
    <t>СН-2012.2 Выпуск № 6 (в текущих ценах по состоянию на 01.01.2026 г.). 2.9-3103-70-1/1</t>
  </si>
  <si>
    <t>8</t>
  </si>
  <si>
    <t>1.22-3403-46-15/1</t>
  </si>
  <si>
    <t>Установка транспаранта светового (табло) (без стоимости материалов) (Табло светозвуковое МОЛНИЯ-24-3 "ПОЖАР")</t>
  </si>
  <si>
    <t>СН-2012.1 Выпуск № 6 (в текущих ценах по состоянию на 01.01.2026 г.). 1.22-3403-46-15/1</t>
  </si>
  <si>
    <t>9</t>
  </si>
  <si>
    <t>1.21-3103-31-2/1</t>
  </si>
  <si>
    <t>Прокладка пластикового кабель-канала по бетонному основанию / сечение 20х12,5 мм</t>
  </si>
  <si>
    <t>100 м</t>
  </si>
  <si>
    <t>СН-2012.1 Выпуск № 6 (в текущих ценах по состоянию на 01.01.2026 г.). 1.21-3103-31-2/1</t>
  </si>
  <si>
    <t>9,1</t>
  </si>
  <si>
    <t>21.1-25-758</t>
  </si>
  <si>
    <t>Кабель-каналы, размер 20х12,5 мм: кабель-каналы</t>
  </si>
  <si>
    <t>м</t>
  </si>
  <si>
    <t>СН-2012.21 Выпуск № 6 (в текущих ценах по состоянию на 01.01.2026 г.). 21.1-25-758</t>
  </si>
  <si>
    <t>9,2</t>
  </si>
  <si>
    <t>21.1-25-759</t>
  </si>
  <si>
    <t>Кабель-каналы, размер 20х12,5 мм: углы внутренние</t>
  </si>
  <si>
    <t>1000 шт.</t>
  </si>
  <si>
    <t>СН-2012.21 Выпуск № 6 (в текущих ценах по состоянию на 01.01.2026 г.). 21.1-25-759</t>
  </si>
  <si>
    <t>9,3</t>
  </si>
  <si>
    <t>21.1-25-760</t>
  </si>
  <si>
    <t>Кабель-каналы, размер 20х12,5 мм: углы наружные</t>
  </si>
  <si>
    <t>СН-2012.21 Выпуск № 6 (в текущих ценах по состоянию на 01.01.2026 г.). 21.1-25-760</t>
  </si>
  <si>
    <t>9,4</t>
  </si>
  <si>
    <t>21.1-25-761</t>
  </si>
  <si>
    <t>Кабель-каналы, размер 20х12,5 мм: углы плоские</t>
  </si>
  <si>
    <t>СН-2012.21 Выпуск № 6 (в текущих ценах по состоянию на 01.01.2026 г.). 21.1-25-761</t>
  </si>
  <si>
    <t>9,5</t>
  </si>
  <si>
    <t>21.1-25-762</t>
  </si>
  <si>
    <t>Кабель-каналы, размер 20х12,5 мм: заглушки</t>
  </si>
  <si>
    <t>СН-2012.21 Выпуск № 6 (в текущих ценах по состоянию на 01.01.2026 г.). 21.1-25-762</t>
  </si>
  <si>
    <t>9,6</t>
  </si>
  <si>
    <t>21.1-25-763</t>
  </si>
  <si>
    <t>Кабель-каналы, размер 20х12,5 мм: ответвления Т-образные</t>
  </si>
  <si>
    <t>СН-2012.21 Выпуск № 6 (в текущих ценах по состоянию на 01.01.2026 г.). 21.1-25-763</t>
  </si>
  <si>
    <t>9,7</t>
  </si>
  <si>
    <t>21.1-25-764</t>
  </si>
  <si>
    <t>Кабель-каналы, размер 20х12,5 мм: накладки стыковые</t>
  </si>
  <si>
    <t>СН-2012.21 Выпуск № 6 (в текущих ценах по состоянию на 01.01.2026 г.). 21.1-25-764</t>
  </si>
  <si>
    <t>10</t>
  </si>
  <si>
    <t>1.21-3103-8-1/1</t>
  </si>
  <si>
    <t>Прокладка проводов и кабелей в коробах, провод сечением до 6 мм2  (Кабель КПСнг(А)-FRLS 2х2х0,75)</t>
  </si>
  <si>
    <t>СН-2012.1 Выпуск № 6 (в текущих ценах по состоянию на 01.01.2026 г.). 1.21-3103-8-1/1</t>
  </si>
  <si>
    <t>10,1</t>
  </si>
  <si>
    <t>21.23-13-14</t>
  </si>
  <si>
    <t>Провода силовые с медными жилами в поливинилхлоридной изоляции, марка ПуГВ, номинальное напряжение до 450 В, число жил и сечение 1х6 мм2</t>
  </si>
  <si>
    <t>км</t>
  </si>
  <si>
    <t>СН-2012.21 Выпуск № 6 (в текущих ценах по состоянию на 01.01.2026 г.). 21.23-13-14</t>
  </si>
  <si>
    <t>11</t>
  </si>
  <si>
    <t>1.21-3103-32-2/1</t>
  </si>
  <si>
    <t>Прокладка труб гофрированных поливинилхлоридных, прокладываемых в труднодоступных местах с усиленным креплением накладными скобами и установкой соединительных коробок, по железобетонным стенам и потолкам, диаметром до 27 мм</t>
  </si>
  <si>
    <t>СН-2012.1 Выпуск № 6 (в текущих ценах по состоянию на 01.01.2026 г.). 1.21-3103-32-2/1</t>
  </si>
  <si>
    <t>11,1</t>
  </si>
  <si>
    <t>21.12-5-137</t>
  </si>
  <si>
    <t>Трубы электротехнические гофрированные, поливинилхлоридные, негорючие, с зондом, наружный диаметр 25 мм</t>
  </si>
  <si>
    <t>СН-2012.21 Выпуск № 6 (в текущих ценах по состоянию на 01.01.2026 г.). 21.12-5-137</t>
  </si>
  <si>
    <t>12</t>
  </si>
  <si>
    <t>1.21-3103-21-1/1</t>
  </si>
  <si>
    <t>Затягивание проводов и кабелей в проложенные трубы и металлические рукава, провод первый одножильный или многожильный в общей оплетке, суммарное сечение до 2,5 мм2 (без стоимости материалов)  (Кабель КПСнг(А)-FRLS 1х2х0,75)</t>
  </si>
  <si>
    <t>СН-2012.1 Выпуск № 6 (в текущих ценах по состоянию на 01.01.2026 г.). 1.21-3103-21-1/1</t>
  </si>
  <si>
    <t>13</t>
  </si>
  <si>
    <t>1.21-3103-21-2/1</t>
  </si>
  <si>
    <t>Затягивание проводов и кабелей в проложенные трубы и металлические рукава, провод первый одножильный или многожильный в общей оплетке, суммарное сечение до 6 мм2 (без стоимости материалов)  (Кабель КПСнг(А)-FRLS 1х2х1.5)</t>
  </si>
  <si>
    <t>СН-2012.1 Выпуск № 6 (в текущих ценах по состоянию на 01.01.2026 г.). 1.21-3103-21-2/1</t>
  </si>
  <si>
    <t>14</t>
  </si>
  <si>
    <t>2.8-3103-38-17/1</t>
  </si>
  <si>
    <t>Настройка синхронных цифровых систем передачи, настройка системы контроля и управления, контрольные и приемо-сдаточные испытания</t>
  </si>
  <si>
    <t>объект</t>
  </si>
  <si>
    <t>СН-2012.2 Выпуск № 6 (в текущих ценах по состоянию на 01.01.2026 г.). 2.8-3103-38-17/1</t>
  </si>
  <si>
    <t>15</t>
  </si>
  <si>
    <t>2.8-3103-38-15/1</t>
  </si>
  <si>
    <t>Настройка синхронных цифровых систем передачи, настройка системы контроля и управления, конфигурация и настройка сетевых компонентов (мост, маршрутизатор, модем и т.п.)</t>
  </si>
  <si>
    <t>СН-2012.2 Выпуск № 6 (в текущих ценах по состоянию на 01.01.2026 г.). 2.8-3103-38-15/1</t>
  </si>
  <si>
    <t>Пусконаладочные работы</t>
  </si>
  <si>
    <t>16</t>
  </si>
  <si>
    <t>1.23-3501-8-1/1</t>
  </si>
  <si>
    <t>Комплексная проверка работоспособности систем в автоматическом режиме</t>
  </si>
  <si>
    <t>система</t>
  </si>
  <si>
    <t>СН-2012.1 Выпуск № 6 (в текущих ценах по состоянию на 01.01.2026 г.). 1.23-3501-8-1/1</t>
  </si>
  <si>
    <t>Уровень цен</t>
  </si>
  <si>
    <t>_OBSM_</t>
  </si>
  <si>
    <t>9999990008</t>
  </si>
  <si>
    <t>Трудозатраты рабочих</t>
  </si>
  <si>
    <t>чел.-ч.</t>
  </si>
  <si>
    <t>22.1-13-15</t>
  </si>
  <si>
    <t>СН-2012.22 Выпуск № 6 (в текущих ценах по состоянию на 01.01.2026 г.). 22.1-13-15</t>
  </si>
  <si>
    <t>Аппараты сварочные</t>
  </si>
  <si>
    <t>маш.-ч</t>
  </si>
  <si>
    <t>22.1-30-102</t>
  </si>
  <si>
    <t>СН-2012.22 Выпуск № 6 (в текущих ценах по состоянию на 01.01.2026 г.). 22.1-30-102</t>
  </si>
  <si>
    <t>Дрели электрические, двухскоростные, мощностью 600 Вт</t>
  </si>
  <si>
    <t>22.1-30-10</t>
  </si>
  <si>
    <t>СН-2012.22 Выпуск № 6 (в текущих ценах по состоянию на 01.01.2026 г.). 22.1-30-10</t>
  </si>
  <si>
    <t>Перфораторы электрические, мощность до 500 Вт</t>
  </si>
  <si>
    <t>22.1-30-56</t>
  </si>
  <si>
    <t>СН-2012.22 Выпуск № 6 (в текущих ценах по состоянию на 01.01.2026 г.). 22.1-30-56</t>
  </si>
  <si>
    <t>Шуруповерты</t>
  </si>
  <si>
    <t>21.1-11-108</t>
  </si>
  <si>
    <t>Шурупы-саморезы, размер 3,5х45 мм</t>
  </si>
  <si>
    <t>кг</t>
  </si>
  <si>
    <t>21.1-11-198</t>
  </si>
  <si>
    <t>СН-2012.21 Выпуск № 6 (в текущих ценах по состоянию на 01.01.2026 г.). 21.1-11-198</t>
  </si>
  <si>
    <t>Дюбели пластмассовые</t>
  </si>
  <si>
    <t>22.1-4-12</t>
  </si>
  <si>
    <t>СН-2012.22 Выпуск № 6 (в текущих ценах по состоянию на 01.01.2026 г.). 22.1-4-12</t>
  </si>
  <si>
    <t>Погрузчики на автомобильном ходу, грузоподъемность до 5 т</t>
  </si>
  <si>
    <t>9999990002</t>
  </si>
  <si>
    <t>Масса оборудования</t>
  </si>
  <si>
    <t>т</t>
  </si>
  <si>
    <t>21.1-16-50</t>
  </si>
  <si>
    <t>СН-2012.21 Выпуск № 6 (в текущих ценах по состоянию на 01.01.2026 г.). 21.1-16-50</t>
  </si>
  <si>
    <t>Кислота серная техническая</t>
  </si>
  <si>
    <t>21.1-16-65</t>
  </si>
  <si>
    <t>СН-2012.21 Выпуск № 6 (в текущих ценах по состоянию на 01.01.2026 г.). 21.1-16-65</t>
  </si>
  <si>
    <t>Натрий едкий, жидкий</t>
  </si>
  <si>
    <t>21.1-25-14</t>
  </si>
  <si>
    <t>СН-2012.21 Выпуск № 6 (в текущих ценах по состоянию на 01.01.2026 г.). 21.1-25-14</t>
  </si>
  <si>
    <t>Вода дистиллированная</t>
  </si>
  <si>
    <t>л</t>
  </si>
  <si>
    <t>СН-2012.21 Выпуск № 6 (в текущих ценах по состоянию на 01.01.2026 г.). 21.1-11-108</t>
  </si>
  <si>
    <t>21.1-11-81</t>
  </si>
  <si>
    <t>СН-2012.21 Выпуск № 6 (в текущих ценах по состоянию на 01.01.2026 г.). 21.1-11-81</t>
  </si>
  <si>
    <t>Патроны, калибр 6,8/11 М для дюбеля</t>
  </si>
  <si>
    <t>100 шт.</t>
  </si>
  <si>
    <t>21.7-3-54</t>
  </si>
  <si>
    <t>СН-2012.21 Выпуск № 6 (в текущих ценах по состоянию на 01.01.2026 г.). 21.7-3-54</t>
  </si>
  <si>
    <t>Сверло с алмазным покрытием, диаметр 6 мм</t>
  </si>
  <si>
    <t>21.1-20-10</t>
  </si>
  <si>
    <t>СН-2012.21 Выпуск № 6 (в текущих ценах по состоянию на 01.01.2026 г.). 21.1-20-10</t>
  </si>
  <si>
    <t>Лента изоляционная хлопчатобумажная</t>
  </si>
  <si>
    <t>21.21-5-114</t>
  </si>
  <si>
    <t>СН-2012.21 Выпуск № 6 (в текущих ценах по состоянию на 01.01.2026 г.). 21.21-5-114</t>
  </si>
  <si>
    <t>Лента монтажная, тип ЛМ-5</t>
  </si>
  <si>
    <t>21.21-5-2</t>
  </si>
  <si>
    <t>СН-2012.21 Выпуск № 6 (в текущих ценах по состоянию на 01.01.2026 г.). 21.21-5-2</t>
  </si>
  <si>
    <t>Бирки маркировочные для кабелей и проводов, тип У153 У3,5</t>
  </si>
  <si>
    <t>21.21-5-305</t>
  </si>
  <si>
    <t>СН-2012.21 Выпуск № 6 (в текущих ценах по состоянию на 01.01.2026 г.). 21.21-5-305</t>
  </si>
  <si>
    <t>Сжимы, тип У731М для проводников магистральных сечением от 4 до 10 мм2 и ответвительных от 1,5 до 10 мм2</t>
  </si>
  <si>
    <t>21.21-5-342</t>
  </si>
  <si>
    <t>СН-2012.21 Выпуск № 6 (в текущих ценах по состоянию на 01.01.2026 г.). 21.21-5-342</t>
  </si>
  <si>
    <t>Хомуты (стяжки) кабельные из полиамида, размеры 3,6х200 мм</t>
  </si>
  <si>
    <t>21.21-5-44</t>
  </si>
  <si>
    <t>СН-2012.21 Выпуск № 6 (в текущих ценах по состоянию на 01.01.2026 г.). 21.21-5-44</t>
  </si>
  <si>
    <t>Кнопки для ленты ЛМ, тип 3,5</t>
  </si>
  <si>
    <t>21.1-10-12</t>
  </si>
  <si>
    <t>СН-2012.21 Выпуск № 6 (в текущих ценах по состоянию на 01.01.2026 г.). 21.1-10-12</t>
  </si>
  <si>
    <t>Проволока стальная вязальная</t>
  </si>
  <si>
    <t>21.1-11-128</t>
  </si>
  <si>
    <t>СН-2012.21 Выпуск № 6 (в текущих ценах по состоянию на 01.01.2026 г.). 21.1-11-128</t>
  </si>
  <si>
    <t>Шурупы-саморезы с полусферической головкой, с прессшайбой, наконечник острый, оцинкованные, размер 4,2х14 мм, для крепления листового металла</t>
  </si>
  <si>
    <t>21.21-5-315</t>
  </si>
  <si>
    <t>СН-2012.21 Выпуск № 6 (в текущих ценах по состоянию на 01.01.2026 г.). 21.21-5-315</t>
  </si>
  <si>
    <t>Скобы крепежные оцинкованные двухлапковые, диаметр 25 мм</t>
  </si>
  <si>
    <t>21.21-5-61</t>
  </si>
  <si>
    <t>СН-2012.21 Выпуск № 6 (в текущих ценах по состоянию на 01.01.2026 г.). 21.21-5-61</t>
  </si>
  <si>
    <t>Коробки для выполнения соединений и ответвлений электрических кабелей и проводов сечением до 4 мм2, прокладываемых в неметаллических трубах, тип КОР-73 УЗ</t>
  </si>
  <si>
    <t>21.7-3-2</t>
  </si>
  <si>
    <t>СН-2012.21 Выпуск № 6 (в текущих ценах по состоянию на 01.01.2026 г.). 21.7-3-2</t>
  </si>
  <si>
    <t>Буры с победитовым наконечником, с хвостовиком SDS-plus, размеры 10х160 мм</t>
  </si>
  <si>
    <t>22.1-8-1</t>
  </si>
  <si>
    <t>СН-2012.22 Выпуск № 6 (в текущих ценах по состоянию на 01.01.2026 г.). 22.1-8-1</t>
  </si>
  <si>
    <t>Машины монтажные для кабельных работ на автомобиле</t>
  </si>
  <si>
    <t>Стрелец  без НДС   (СН-2021) (СН-2012 - 2022 г Сборник стоимостных нормативов) (СН-2012 - 2023 г Сборник стоимостных нормативов)_(Копия)_(Копия) (СН-2012 - 2024 г Сборник стоимостных нормативов)_(Копия) (СН-2012 - 2024 г (в ценах на 01.01.2024 г) Сбо_(Копия)_(Копия)_(Копия)_(Копия)_(Копия)</t>
  </si>
  <si>
    <t>"СОГЛАСОВАНО"</t>
  </si>
  <si>
    <t>"УТВЕРЖДАЮ"</t>
  </si>
  <si>
    <t>Форма № 1а (глава 1-5)</t>
  </si>
  <si>
    <t>"_____"________________ 2026 г.</t>
  </si>
  <si>
    <t>(локальный сметный расчет)</t>
  </si>
  <si>
    <t>(наименование работ и затрат, наименование объекта)</t>
  </si>
  <si>
    <t>Сметная стоимость</t>
  </si>
  <si>
    <t>тыс.руб</t>
  </si>
  <si>
    <t>Строительные работы</t>
  </si>
  <si>
    <t>Оборудование</t>
  </si>
  <si>
    <t>Прочие работы</t>
  </si>
  <si>
    <t>Средства на оплату труда</t>
  </si>
  <si>
    <t>№№ п/п</t>
  </si>
  <si>
    <t>Шифр расценки и коды ресурсов</t>
  </si>
  <si>
    <t>Наименование работ и затрат</t>
  </si>
  <si>
    <t>Единица измерения</t>
  </si>
  <si>
    <t>Кол-во единиц</t>
  </si>
  <si>
    <t>Цена на ед. изм. руб.</t>
  </si>
  <si>
    <t>Попра-вочные коэфф.</t>
  </si>
  <si>
    <t>Коэфф. зимних удоро-жаний</t>
  </si>
  <si>
    <t>Коэфф. пересчета</t>
  </si>
  <si>
    <t>ВСЕГО затрат, руб.</t>
  </si>
  <si>
    <t>Справочно</t>
  </si>
  <si>
    <t>ЗТР, всего чел.-час</t>
  </si>
  <si>
    <t>Ст-ть ед. с начислен.</t>
  </si>
  <si>
    <t>Составлен(а) в уровне текущих (прогнозных) цен на январь 2026 года</t>
  </si>
  <si>
    <t>МР</t>
  </si>
  <si>
    <t>ЗП</t>
  </si>
  <si>
    <t>НР от ЗП</t>
  </si>
  <si>
    <t>%</t>
  </si>
  <si>
    <t>СП от ЗП</t>
  </si>
  <si>
    <t>ЗТР</t>
  </si>
  <si>
    <t>чел-ч</t>
  </si>
  <si>
    <t>ЭМ</t>
  </si>
  <si>
    <t>в т.ч. ЗПМ</t>
  </si>
  <si>
    <t>НР и СП от ЗПМ</t>
  </si>
  <si>
    <t>___________________________</t>
  </si>
  <si>
    <t>" ___ " ___________ 20 ___ г.</t>
  </si>
  <si>
    <t xml:space="preserve">Мы, нижеподписавшиеся, произвели осмотр объекта </t>
  </si>
  <si>
    <t xml:space="preserve">и постановили произвести ремонт объекта в </t>
  </si>
  <si>
    <t>следующем объеме:</t>
  </si>
  <si>
    <t>№ п/п</t>
  </si>
  <si>
    <t>Количество</t>
  </si>
  <si>
    <t>Примечание</t>
  </si>
  <si>
    <t>Заказчик _________________</t>
  </si>
  <si>
    <t>Подрядчик _________________</t>
  </si>
  <si>
    <t>TYPE</t>
  </si>
  <si>
    <t>SOURCE_LINK</t>
  </si>
  <si>
    <t>RABMAT_EX</t>
  </si>
  <si>
    <t>TIP_RAB</t>
  </si>
  <si>
    <t>TYPE_TRUD</t>
  </si>
  <si>
    <t>TAB</t>
  </si>
  <si>
    <t>NAME</t>
  </si>
  <si>
    <t>EDIZM</t>
  </si>
  <si>
    <t>KOLL</t>
  </si>
  <si>
    <t>UCH</t>
  </si>
  <si>
    <t>PRICE_B</t>
  </si>
  <si>
    <t>PRICE_ED</t>
  </si>
  <si>
    <t>STOIM_B</t>
  </si>
  <si>
    <t>PRICE_C</t>
  </si>
  <si>
    <t>STOIM_C</t>
  </si>
  <si>
    <t>ZPM_B</t>
  </si>
  <si>
    <t>ZPM_ED</t>
  </si>
  <si>
    <t>STOIM_ZPM_B</t>
  </si>
  <si>
    <t>ZPM_C</t>
  </si>
  <si>
    <t>STOIM_ZPM_C</t>
  </si>
  <si>
    <t>CRC_GR_RES</t>
  </si>
  <si>
    <t>CRC_B</t>
  </si>
  <si>
    <t>CRC_C</t>
  </si>
  <si>
    <t>RABMAT</t>
  </si>
  <si>
    <t>WBS</t>
  </si>
  <si>
    <t>CBSI</t>
  </si>
  <si>
    <t>CBSII</t>
  </si>
  <si>
    <t>TechSpecCVORPP</t>
  </si>
  <si>
    <t>BuildingFinished</t>
  </si>
  <si>
    <t>PEREVOZKA</t>
  </si>
  <si>
    <t>Trud</t>
  </si>
  <si>
    <t>Mash</t>
  </si>
  <si>
    <t>Mat</t>
  </si>
  <si>
    <t>MatZak</t>
  </si>
  <si>
    <t>Oborud</t>
  </si>
  <si>
    <t>OborudZak</t>
  </si>
  <si>
    <t>ZeroStoim</t>
  </si>
  <si>
    <t>NegativeKoll</t>
  </si>
  <si>
    <t>ReUnionKollResurcy</t>
  </si>
  <si>
    <t>UnionOneUchRes</t>
  </si>
  <si>
    <t>IdLevel</t>
  </si>
  <si>
    <t>ViewCodes</t>
  </si>
  <si>
    <t>UnionCodes</t>
  </si>
  <si>
    <t>Ресурсная ведомость на</t>
  </si>
  <si>
    <t>Объект: Консерватория им. П.И.Чайковского  ВОДА</t>
  </si>
  <si>
    <t>Обоснование</t>
  </si>
  <si>
    <t>Наименование</t>
  </si>
  <si>
    <t>Объем</t>
  </si>
  <si>
    <t>Базовая</t>
  </si>
  <si>
    <t>цена</t>
  </si>
  <si>
    <t>стоимость</t>
  </si>
  <si>
    <t xml:space="preserve">Машины и механизмы </t>
  </si>
  <si>
    <t xml:space="preserve">Итого машины и механизмы </t>
  </si>
  <si>
    <t xml:space="preserve">Материальные ресурсы </t>
  </si>
  <si>
    <t xml:space="preserve">Итого материальные ресурсы </t>
  </si>
  <si>
    <t>Локальная смета № 1</t>
  </si>
  <si>
    <t>Монтаж автоматической установки автоматического пожаротушения тонкораспыленной водой на объекте Здание ФГБПОУ «Академическое музыкальное училище при Московской государственной консерватории имени П.И. Чайковского»</t>
  </si>
  <si>
    <t>НДС 22%</t>
  </si>
  <si>
    <t>Итого по разделам</t>
  </si>
  <si>
    <t>Итого по разделам с учетом договорного снижения</t>
  </si>
  <si>
    <t>Всего по смете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</si>
</sst>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₽_-;\-* #,##0.00\ _₽_-;_-* &quot;-&quot;??\ _₽_-;_-@_-"/>
    <numFmt numFmtId="165" formatCode="mmmm"/>
    <numFmt numFmtId="166" formatCode="#,##0.00;[Red]\-\ #,##0.00"/>
    <numFmt numFmtId="167" formatCode="#,##0.00_ ;[Red]\-#,##0.00\ "/>
  </numFmts>
  <fonts count="18" x14ac:knownFonts="1">
    <font>
      <sz val="10"/>
      <name val="Arial"/>
      <charset val="204"/>
    </font>
    <font>
      <b/>
      <sz val="10"/>
      <color indexed="12"/>
      <name val="Arial"/>
      <charset val="204"/>
    </font>
    <font>
      <b/>
      <sz val="10"/>
      <color indexed="16"/>
      <name val="Arial"/>
      <charset val="204"/>
    </font>
    <font>
      <b/>
      <sz val="10"/>
      <color indexed="20"/>
      <name val="Arial"/>
      <charset val="204"/>
    </font>
    <font>
      <b/>
      <sz val="10"/>
      <color indexed="17"/>
      <name val="Arial"/>
      <charset val="204"/>
    </font>
    <font>
      <sz val="10"/>
      <color indexed="12"/>
      <name val="Arial"/>
      <charset val="204"/>
    </font>
    <font>
      <sz val="10"/>
      <color indexed="14"/>
      <name val="Arial"/>
      <charset val="204"/>
    </font>
    <font>
      <sz val="10"/>
      <name val="Arial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11"/>
      <name val="Arial"/>
      <family val="2"/>
      <charset val="204"/>
    </font>
    <font>
      <b/>
      <sz val="13"/>
      <name val="Arial"/>
      <family val="2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b/>
      <sz val="14"/>
      <name val="Arial"/>
      <family val="2"/>
      <charset val="204"/>
    </font>
    <font>
      <i/>
      <sz val="11"/>
      <name val="Arial"/>
      <family val="2"/>
      <charset val="204"/>
    </font>
    <font>
      <sz val="13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8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9" fillId="0" borderId="0" xfId="0" applyFont="1"/>
    <xf numFmtId="0" fontId="10" fillId="0" borderId="0" xfId="0" applyFont="1" applyAlignment="1">
      <alignment horizontal="right"/>
    </xf>
    <xf numFmtId="0" fontId="10" fillId="0" borderId="0" xfId="0" applyFont="1"/>
    <xf numFmtId="0" fontId="11" fillId="0" borderId="0" xfId="0" applyFont="1"/>
    <xf numFmtId="0" fontId="10" fillId="0" borderId="0" xfId="0" applyFont="1" applyAlignment="1">
      <alignment horizontal="left"/>
    </xf>
    <xf numFmtId="0" fontId="10" fillId="0" borderId="0" xfId="0" applyFont="1" applyAlignment="1">
      <alignment wrapText="1"/>
    </xf>
    <xf numFmtId="0" fontId="12" fillId="0" borderId="1" xfId="0" applyFont="1" applyBorder="1" applyAlignment="1">
      <alignment horizontal="center" wrapText="1"/>
    </xf>
    <xf numFmtId="165" fontId="10" fillId="0" borderId="0" xfId="0" applyNumberFormat="1" applyFont="1"/>
    <xf numFmtId="1" fontId="10" fillId="0" borderId="0" xfId="0" applyNumberFormat="1" applyFont="1"/>
    <xf numFmtId="0" fontId="10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top" wrapText="1"/>
    </xf>
    <xf numFmtId="0" fontId="15" fillId="0" borderId="0" xfId="0" applyFont="1" applyAlignment="1">
      <alignment horizontal="right" wrapText="1"/>
    </xf>
    <xf numFmtId="0" fontId="10" fillId="0" borderId="0" xfId="0" applyFont="1" applyAlignment="1">
      <alignment horizontal="right" wrapText="1"/>
    </xf>
    <xf numFmtId="166" fontId="10" fillId="0" borderId="0" xfId="0" applyNumberFormat="1" applyFont="1" applyAlignment="1">
      <alignment horizontal="right"/>
    </xf>
    <xf numFmtId="166" fontId="0" fillId="0" borderId="0" xfId="0" applyNumberFormat="1"/>
    <xf numFmtId="166" fontId="17" fillId="0" borderId="0" xfId="0" applyNumberFormat="1" applyFont="1" applyAlignment="1">
      <alignment horizontal="right"/>
    </xf>
    <xf numFmtId="0" fontId="17" fillId="0" borderId="0" xfId="0" applyFont="1" applyAlignment="1">
      <alignment horizontal="right"/>
    </xf>
    <xf numFmtId="0" fontId="0" fillId="0" borderId="6" xfId="0" applyBorder="1"/>
    <xf numFmtId="166" fontId="17" fillId="0" borderId="6" xfId="0" applyNumberFormat="1" applyFont="1" applyBorder="1" applyAlignment="1">
      <alignment horizontal="right"/>
    </xf>
    <xf numFmtId="0" fontId="17" fillId="0" borderId="0" xfId="0" applyFont="1"/>
    <xf numFmtId="0" fontId="17" fillId="0" borderId="0" xfId="0" applyFont="1" applyAlignment="1">
      <alignment horizontal="left" wrapText="1"/>
    </xf>
    <xf numFmtId="166" fontId="15" fillId="0" borderId="0" xfId="0" applyNumberFormat="1" applyFont="1" applyAlignment="1">
      <alignment horizontal="right"/>
    </xf>
    <xf numFmtId="0" fontId="8" fillId="0" borderId="0" xfId="0" applyFont="1" applyAlignment="1">
      <alignment vertical="top" wrapText="1"/>
    </xf>
    <xf numFmtId="0" fontId="10" fillId="0" borderId="0" xfId="0" quotePrefix="1" applyFont="1" applyAlignment="1">
      <alignment horizontal="right" wrapText="1"/>
    </xf>
    <xf numFmtId="0" fontId="10" fillId="0" borderId="1" xfId="0" applyFont="1" applyBorder="1"/>
    <xf numFmtId="0" fontId="17" fillId="0" borderId="0" xfId="0" applyFont="1" applyAlignment="1">
      <alignment horizontal="center" wrapText="1"/>
    </xf>
    <xf numFmtId="0" fontId="17" fillId="0" borderId="0" xfId="0" applyFont="1" applyAlignment="1">
      <alignment horizontal="left" vertical="top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wrapText="1"/>
    </xf>
    <xf numFmtId="0" fontId="10" fillId="0" borderId="3" xfId="0" applyFont="1" applyBorder="1" applyAlignment="1">
      <alignment horizontal="right" wrapText="1"/>
    </xf>
    <xf numFmtId="0" fontId="10" fillId="0" borderId="3" xfId="0" applyFont="1" applyBorder="1" applyAlignment="1">
      <alignment horizontal="right"/>
    </xf>
    <xf numFmtId="0" fontId="10" fillId="0" borderId="2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wrapText="1"/>
    </xf>
    <xf numFmtId="0" fontId="10" fillId="0" borderId="2" xfId="0" applyFont="1" applyBorder="1" applyAlignment="1">
      <alignment horizontal="right" wrapText="1"/>
    </xf>
    <xf numFmtId="0" fontId="10" fillId="0" borderId="2" xfId="0" applyFont="1" applyBorder="1" applyAlignment="1">
      <alignment horizontal="right"/>
    </xf>
    <xf numFmtId="0" fontId="11" fillId="0" borderId="3" xfId="0" quotePrefix="1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left" vertical="top" wrapText="1"/>
    </xf>
    <xf numFmtId="166" fontId="10" fillId="0" borderId="3" xfId="0" applyNumberFormat="1" applyFont="1" applyBorder="1" applyAlignment="1">
      <alignment horizontal="right" wrapText="1"/>
    </xf>
    <xf numFmtId="167" fontId="17" fillId="0" borderId="0" xfId="0" applyNumberFormat="1" applyFont="1"/>
    <xf numFmtId="164" fontId="17" fillId="0" borderId="0" xfId="1" applyFont="1" applyAlignment="1">
      <alignment horizontal="right"/>
    </xf>
    <xf numFmtId="0" fontId="10" fillId="0" borderId="0" xfId="0" applyFont="1" applyAlignment="1">
      <alignment horizontal="right" vertical="center"/>
    </xf>
    <xf numFmtId="0" fontId="9" fillId="0" borderId="5" xfId="0" applyFont="1" applyBorder="1" applyAlignment="1">
      <alignment horizontal="center"/>
    </xf>
    <xf numFmtId="0" fontId="17" fillId="0" borderId="0" xfId="0" applyFont="1"/>
    <xf numFmtId="166" fontId="17" fillId="0" borderId="0" xfId="0" applyNumberFormat="1" applyFont="1" applyAlignment="1">
      <alignment horizontal="right"/>
    </xf>
    <xf numFmtId="0" fontId="17" fillId="0" borderId="0" xfId="0" applyFont="1" applyAlignment="1">
      <alignment horizontal="right"/>
    </xf>
    <xf numFmtId="0" fontId="17" fillId="0" borderId="0" xfId="0" applyFont="1" applyAlignment="1">
      <alignment horizontal="left" wrapText="1"/>
    </xf>
    <xf numFmtId="0" fontId="11" fillId="0" borderId="0" xfId="0" applyFont="1" applyAlignment="1">
      <alignment horizontal="center" wrapText="1"/>
    </xf>
    <xf numFmtId="166" fontId="17" fillId="0" borderId="6" xfId="0" applyNumberFormat="1" applyFont="1" applyBorder="1" applyAlignment="1">
      <alignment horizontal="right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166" fontId="10" fillId="0" borderId="0" xfId="0" applyNumberFormat="1" applyFont="1" applyAlignment="1">
      <alignment horizontal="right"/>
    </xf>
    <xf numFmtId="0" fontId="10" fillId="0" borderId="0" xfId="0" applyFont="1" applyAlignment="1">
      <alignment horizontal="right"/>
    </xf>
    <xf numFmtId="0" fontId="17" fillId="0" borderId="1" xfId="0" applyFont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0" fillId="0" borderId="0" xfId="0"/>
    <xf numFmtId="0" fontId="10" fillId="0" borderId="0" xfId="0" applyFont="1" applyAlignment="1">
      <alignment horizontal="left" wrapText="1"/>
    </xf>
    <xf numFmtId="0" fontId="12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14" fillId="0" borderId="0" xfId="0" applyFont="1" applyAlignment="1">
      <alignment horizontal="center" wrapText="1"/>
    </xf>
    <xf numFmtId="0" fontId="12" fillId="0" borderId="0" xfId="0" applyFont="1" applyAlignment="1">
      <alignment horizontal="left"/>
    </xf>
    <xf numFmtId="0" fontId="11" fillId="0" borderId="2" xfId="0" applyFont="1" applyBorder="1" applyAlignment="1">
      <alignment horizontal="center" wrapText="1"/>
    </xf>
    <xf numFmtId="0" fontId="12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17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right"/>
    </xf>
    <xf numFmtId="166" fontId="17" fillId="0" borderId="3" xfId="0" applyNumberFormat="1" applyFont="1" applyBorder="1" applyAlignment="1">
      <alignment horizontal="right"/>
    </xf>
    <xf numFmtId="0" fontId="11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91"/>
  <sheetViews>
    <sheetView tabSelected="1" view="pageBreakPreview" topLeftCell="A161" zoomScaleNormal="100" zoomScaleSheetLayoutView="100" workbookViewId="0">
      <selection activeCell="C191" sqref="C191:G191"/>
    </sheetView>
  </sheetViews>
  <sheetFormatPr defaultRowHeight="12.75" x14ac:dyDescent="0.2"/>
  <cols>
    <col min="1" max="1" width="5.7109375" customWidth="1"/>
    <col min="2" max="2" width="11.7109375" customWidth="1"/>
    <col min="3" max="3" width="40.7109375" customWidth="1"/>
    <col min="4" max="6" width="11.7109375" customWidth="1"/>
    <col min="7" max="9" width="12.7109375" customWidth="1"/>
    <col min="10" max="10" width="15.42578125" customWidth="1"/>
    <col min="11" max="11" width="12.7109375" customWidth="1"/>
    <col min="15" max="30" width="0" hidden="1" customWidth="1"/>
    <col min="31" max="31" width="152.7109375" hidden="1" customWidth="1"/>
    <col min="32" max="32" width="116.7109375" hidden="1" customWidth="1"/>
    <col min="33" max="36" width="0" hidden="1" customWidth="1"/>
  </cols>
  <sheetData>
    <row r="1" spans="1:31" x14ac:dyDescent="0.2">
      <c r="A1" s="7" t="str">
        <f>CONCATENATE(Source!B1, "     СН-2012 (© ОАО МЦЦС 'Мосстройцены', ", "2026", ")")</f>
        <v>Smeta.RU Flash  (495) 974-1589     СН-2012 (© ОАО МЦЦС 'Мосстройцены', 2026)</v>
      </c>
    </row>
    <row r="2" spans="1:31" ht="14.25" x14ac:dyDescent="0.2">
      <c r="A2" s="8"/>
      <c r="B2" s="8"/>
      <c r="C2" s="8"/>
      <c r="D2" s="8"/>
      <c r="E2" s="8"/>
      <c r="F2" s="8"/>
      <c r="G2" s="8"/>
      <c r="H2" s="8"/>
      <c r="I2" s="8"/>
      <c r="J2" s="62" t="s">
        <v>269</v>
      </c>
      <c r="K2" s="62"/>
    </row>
    <row r="3" spans="1:31" ht="16.5" x14ac:dyDescent="0.25">
      <c r="A3" s="10"/>
      <c r="B3" s="70" t="s">
        <v>267</v>
      </c>
      <c r="C3" s="70"/>
      <c r="D3" s="70"/>
      <c r="E3" s="70"/>
      <c r="F3" s="9"/>
      <c r="G3" s="70" t="s">
        <v>268</v>
      </c>
      <c r="H3" s="70"/>
      <c r="I3" s="70"/>
      <c r="J3" s="70"/>
      <c r="K3" s="70"/>
    </row>
    <row r="4" spans="1:31" ht="14.25" x14ac:dyDescent="0.2">
      <c r="A4" s="9"/>
      <c r="B4" s="60"/>
      <c r="C4" s="60"/>
      <c r="D4" s="60"/>
      <c r="E4" s="60"/>
      <c r="F4" s="9"/>
      <c r="G4" s="60"/>
      <c r="H4" s="60"/>
      <c r="I4" s="60"/>
      <c r="J4" s="60"/>
      <c r="K4" s="60"/>
    </row>
    <row r="5" spans="1:31" ht="14.25" x14ac:dyDescent="0.2">
      <c r="A5" s="9"/>
      <c r="B5" s="9"/>
      <c r="C5" s="11"/>
      <c r="D5" s="11"/>
      <c r="E5" s="11"/>
      <c r="F5" s="9"/>
      <c r="G5" s="11"/>
      <c r="H5" s="11"/>
      <c r="I5" s="11"/>
      <c r="J5" s="11"/>
      <c r="K5" s="11"/>
    </row>
    <row r="6" spans="1:31" ht="14.25" x14ac:dyDescent="0.2">
      <c r="A6" s="11"/>
      <c r="B6" s="60" t="str">
        <f>CONCATENATE("______________________ ", IF(Source!AL12&lt;&gt;"", Source!AL12, ""))</f>
        <v xml:space="preserve">______________________ </v>
      </c>
      <c r="C6" s="60"/>
      <c r="D6" s="60"/>
      <c r="E6" s="60"/>
      <c r="F6" s="9"/>
      <c r="G6" s="60" t="str">
        <f>CONCATENATE("______________________ ", IF(Source!AH12&lt;&gt;"", Source!AH12, ""))</f>
        <v xml:space="preserve">______________________ </v>
      </c>
      <c r="H6" s="60"/>
      <c r="I6" s="60"/>
      <c r="J6" s="60"/>
      <c r="K6" s="60"/>
    </row>
    <row r="7" spans="1:31" ht="14.25" x14ac:dyDescent="0.2">
      <c r="A7" s="12"/>
      <c r="B7" s="66" t="s">
        <v>270</v>
      </c>
      <c r="C7" s="66"/>
      <c r="D7" s="66"/>
      <c r="E7" s="66"/>
      <c r="F7" s="9"/>
      <c r="G7" s="66" t="s">
        <v>270</v>
      </c>
      <c r="H7" s="66"/>
      <c r="I7" s="66"/>
      <c r="J7" s="66"/>
      <c r="K7" s="66"/>
    </row>
    <row r="9" spans="1:31" ht="14.25" x14ac:dyDescent="0.2">
      <c r="A9" s="9"/>
      <c r="B9" s="9"/>
      <c r="C9" s="9"/>
      <c r="D9" s="9"/>
      <c r="E9" s="9"/>
      <c r="F9" s="9"/>
      <c r="G9" s="9"/>
      <c r="H9" s="9"/>
      <c r="I9" s="9"/>
      <c r="J9" s="9"/>
      <c r="K9" s="9"/>
    </row>
    <row r="10" spans="1:31" ht="21" customHeight="1" x14ac:dyDescent="0.25">
      <c r="A10" s="67" t="s">
        <v>368</v>
      </c>
      <c r="B10" s="68"/>
      <c r="C10" s="68"/>
      <c r="D10" s="68"/>
      <c r="E10" s="68"/>
      <c r="F10" s="68"/>
      <c r="G10" s="68"/>
      <c r="H10" s="68"/>
      <c r="I10" s="68"/>
      <c r="J10" s="68"/>
      <c r="K10" s="68"/>
      <c r="AE10" s="13" t="str">
        <f>CONCATENATE( "ЛОКАЛЬНАЯ СМЕТА № ",IF(Source!F12&lt;&gt;"Новый объект", Source!F12, ""))</f>
        <v>ЛОКАЛЬНАЯ СМЕТА № Стрелец  без НДС   (СН-2021) (СН-2012 - 2022 г Сборник стоимостных нормативов) (СН-2012 - 2023 г Сборник стоимостных нормативов)_(Копия)_(Копия) (СН-2012 - 2024 г Сборник стоимостных нормативов)_(Копия) (СН-2012 - 2024 г (в ценах на 01.01.2024 г) Сбо_(Копия)_(Копия)_(Копия)_(Копия)_(Копия)</v>
      </c>
    </row>
    <row r="11" spans="1:31" x14ac:dyDescent="0.2">
      <c r="A11" s="64" t="s">
        <v>271</v>
      </c>
      <c r="B11" s="64"/>
      <c r="C11" s="64"/>
      <c r="D11" s="64"/>
      <c r="E11" s="64"/>
      <c r="F11" s="64"/>
      <c r="G11" s="64"/>
      <c r="H11" s="64"/>
      <c r="I11" s="64"/>
      <c r="J11" s="64"/>
      <c r="K11" s="64"/>
    </row>
    <row r="12" spans="1:31" ht="14.25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</row>
    <row r="13" spans="1:31" ht="18" hidden="1" x14ac:dyDescent="0.25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</row>
    <row r="14" spans="1:31" ht="14.25" hidden="1" x14ac:dyDescent="0.2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</row>
    <row r="15" spans="1:31" ht="42" customHeight="1" x14ac:dyDescent="0.25">
      <c r="A15" s="63" t="s">
        <v>369</v>
      </c>
      <c r="B15" s="63"/>
      <c r="C15" s="63"/>
      <c r="D15" s="63"/>
      <c r="E15" s="63"/>
      <c r="F15" s="63"/>
      <c r="G15" s="63"/>
      <c r="H15" s="63"/>
      <c r="I15" s="63"/>
      <c r="J15" s="63"/>
      <c r="K15" s="63"/>
    </row>
    <row r="16" spans="1:31" x14ac:dyDescent="0.2">
      <c r="A16" s="64" t="s">
        <v>272</v>
      </c>
      <c r="B16" s="65"/>
      <c r="C16" s="65"/>
      <c r="D16" s="65"/>
      <c r="E16" s="65"/>
      <c r="F16" s="65"/>
      <c r="G16" s="65"/>
      <c r="H16" s="65"/>
      <c r="I16" s="65"/>
      <c r="J16" s="65"/>
      <c r="K16" s="65"/>
    </row>
    <row r="17" spans="1:11" ht="14.25" x14ac:dyDescent="0.2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1" ht="14.25" x14ac:dyDescent="0.2">
      <c r="A18" s="66" t="str">
        <f>CONCATENATE( "Основание: чертежи № ", Source!J12)</f>
        <v xml:space="preserve">Основание: чертежи № </v>
      </c>
      <c r="B18" s="66"/>
      <c r="C18" s="66"/>
      <c r="D18" s="66"/>
      <c r="E18" s="66"/>
      <c r="F18" s="66"/>
      <c r="G18" s="66"/>
      <c r="H18" s="66"/>
      <c r="I18" s="66"/>
      <c r="J18" s="66"/>
      <c r="K18" s="66"/>
    </row>
    <row r="19" spans="1:11" ht="14.25" x14ac:dyDescent="0.2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</row>
    <row r="20" spans="1:11" ht="14.25" x14ac:dyDescent="0.2">
      <c r="A20" s="9"/>
      <c r="B20" s="9"/>
      <c r="C20" s="9"/>
      <c r="D20" s="9"/>
      <c r="E20" s="9"/>
      <c r="F20" s="60" t="s">
        <v>273</v>
      </c>
      <c r="G20" s="60"/>
      <c r="H20" s="60"/>
      <c r="I20" s="61">
        <f>J185/1000</f>
        <v>598.73516659999996</v>
      </c>
      <c r="J20" s="62"/>
      <c r="K20" s="9" t="s">
        <v>274</v>
      </c>
    </row>
    <row r="21" spans="1:11" ht="14.25" hidden="1" x14ac:dyDescent="0.2">
      <c r="A21" s="9"/>
      <c r="B21" s="9"/>
      <c r="C21" s="9"/>
      <c r="D21" s="9"/>
      <c r="E21" s="9"/>
      <c r="F21" s="60" t="s">
        <v>275</v>
      </c>
      <c r="G21" s="60"/>
      <c r="H21" s="60"/>
      <c r="I21" s="61">
        <f>ROUND((Source!F235)/1000, 2)</f>
        <v>0</v>
      </c>
      <c r="J21" s="62"/>
      <c r="K21" s="9" t="s">
        <v>274</v>
      </c>
    </row>
    <row r="22" spans="1:11" ht="14.25" hidden="1" x14ac:dyDescent="0.2">
      <c r="A22" s="9"/>
      <c r="B22" s="9"/>
      <c r="C22" s="9"/>
      <c r="D22" s="9"/>
      <c r="E22" s="9"/>
      <c r="F22" s="60" t="s">
        <v>78</v>
      </c>
      <c r="G22" s="60"/>
      <c r="H22" s="60"/>
      <c r="I22" s="61">
        <f>ROUND((Source!F236)/1000, 2)</f>
        <v>0</v>
      </c>
      <c r="J22" s="62"/>
      <c r="K22" s="9" t="s">
        <v>274</v>
      </c>
    </row>
    <row r="23" spans="1:11" ht="14.25" hidden="1" x14ac:dyDescent="0.2">
      <c r="A23" s="9"/>
      <c r="B23" s="9"/>
      <c r="C23" s="9"/>
      <c r="D23" s="9"/>
      <c r="E23" s="9"/>
      <c r="F23" s="60" t="s">
        <v>276</v>
      </c>
      <c r="G23" s="60"/>
      <c r="H23" s="60"/>
      <c r="I23" s="61">
        <f>ROUND((Source!F227)/1000, 2)</f>
        <v>0</v>
      </c>
      <c r="J23" s="62"/>
      <c r="K23" s="9" t="s">
        <v>274</v>
      </c>
    </row>
    <row r="24" spans="1:11" ht="14.25" hidden="1" x14ac:dyDescent="0.2">
      <c r="A24" s="9"/>
      <c r="B24" s="9"/>
      <c r="C24" s="9"/>
      <c r="D24" s="9"/>
      <c r="E24" s="9"/>
      <c r="F24" s="60" t="s">
        <v>277</v>
      </c>
      <c r="G24" s="60"/>
      <c r="H24" s="60"/>
      <c r="I24" s="61">
        <f>ROUND((Source!F237+Source!F238)/1000, 2)</f>
        <v>771.42</v>
      </c>
      <c r="J24" s="62"/>
      <c r="K24" s="9" t="s">
        <v>274</v>
      </c>
    </row>
    <row r="25" spans="1:11" ht="14.25" x14ac:dyDescent="0.2">
      <c r="A25" s="9"/>
      <c r="B25" s="9"/>
      <c r="C25" s="9"/>
      <c r="D25" s="9"/>
      <c r="E25" s="9"/>
      <c r="F25" s="60" t="s">
        <v>278</v>
      </c>
      <c r="G25" s="60"/>
      <c r="H25" s="60"/>
      <c r="I25" s="61">
        <f>(Source!F233+ Source!F232)/1000</f>
        <v>353.40157999999997</v>
      </c>
      <c r="J25" s="62"/>
      <c r="K25" s="9" t="s">
        <v>274</v>
      </c>
    </row>
    <row r="26" spans="1:11" ht="14.25" x14ac:dyDescent="0.2">
      <c r="A26" s="9" t="s">
        <v>292</v>
      </c>
      <c r="B26" s="9"/>
      <c r="C26" s="9"/>
      <c r="D26" s="14"/>
      <c r="E26" s="15"/>
      <c r="F26" s="9"/>
      <c r="G26" s="9"/>
      <c r="H26" s="9"/>
      <c r="I26" s="9"/>
      <c r="J26" s="9"/>
      <c r="K26" s="9"/>
    </row>
    <row r="27" spans="1:11" ht="14.25" x14ac:dyDescent="0.2">
      <c r="A27" s="58" t="s">
        <v>279</v>
      </c>
      <c r="B27" s="58" t="s">
        <v>280</v>
      </c>
      <c r="C27" s="58" t="s">
        <v>281</v>
      </c>
      <c r="D27" s="58" t="s">
        <v>282</v>
      </c>
      <c r="E27" s="58" t="s">
        <v>283</v>
      </c>
      <c r="F27" s="58" t="s">
        <v>284</v>
      </c>
      <c r="G27" s="58" t="s">
        <v>285</v>
      </c>
      <c r="H27" s="58" t="s">
        <v>286</v>
      </c>
      <c r="I27" s="58" t="s">
        <v>287</v>
      </c>
      <c r="J27" s="58" t="s">
        <v>288</v>
      </c>
      <c r="K27" s="17" t="s">
        <v>289</v>
      </c>
    </row>
    <row r="28" spans="1:11" ht="28.5" x14ac:dyDescent="0.2">
      <c r="A28" s="59"/>
      <c r="B28" s="59"/>
      <c r="C28" s="59"/>
      <c r="D28" s="59"/>
      <c r="E28" s="59"/>
      <c r="F28" s="59"/>
      <c r="G28" s="59"/>
      <c r="H28" s="59"/>
      <c r="I28" s="59"/>
      <c r="J28" s="59"/>
      <c r="K28" s="18" t="s">
        <v>290</v>
      </c>
    </row>
    <row r="29" spans="1:11" ht="28.5" x14ac:dyDescent="0.2">
      <c r="A29" s="59"/>
      <c r="B29" s="59"/>
      <c r="C29" s="59"/>
      <c r="D29" s="59"/>
      <c r="E29" s="59"/>
      <c r="F29" s="59"/>
      <c r="G29" s="59"/>
      <c r="H29" s="59"/>
      <c r="I29" s="59"/>
      <c r="J29" s="59"/>
      <c r="K29" s="18" t="s">
        <v>291</v>
      </c>
    </row>
    <row r="30" spans="1:11" ht="14.25" x14ac:dyDescent="0.2">
      <c r="A30" s="18">
        <v>1</v>
      </c>
      <c r="B30" s="18">
        <v>2</v>
      </c>
      <c r="C30" s="18">
        <v>3</v>
      </c>
      <c r="D30" s="18">
        <v>4</v>
      </c>
      <c r="E30" s="18">
        <v>5</v>
      </c>
      <c r="F30" s="18">
        <v>6</v>
      </c>
      <c r="G30" s="18">
        <v>7</v>
      </c>
      <c r="H30" s="18">
        <v>8</v>
      </c>
      <c r="I30" s="18">
        <v>9</v>
      </c>
      <c r="J30" s="18">
        <v>10</v>
      </c>
      <c r="K30" s="18">
        <v>11</v>
      </c>
    </row>
    <row r="32" spans="1:11" ht="16.5" x14ac:dyDescent="0.25">
      <c r="A32" s="56" t="str">
        <f>CONCATENATE("Раздел: ",IF(Source!G24&lt;&gt;"Новый раздел", Source!G24, ""))</f>
        <v>Раздел: Проектные работы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</row>
    <row r="33" spans="1:22" ht="42.75" x14ac:dyDescent="0.2">
      <c r="A33" s="19">
        <v>1</v>
      </c>
      <c r="B33" s="19" t="str">
        <f>Source!F28</f>
        <v>Цена поставщика</v>
      </c>
      <c r="C33" s="19" t="str">
        <f>Source!G28</f>
        <v>Изготовление проектной документации</v>
      </c>
      <c r="D33" s="20" t="str">
        <f>Source!H28</f>
        <v>шт.</v>
      </c>
      <c r="E33" s="8">
        <f>Source!I28</f>
        <v>1</v>
      </c>
      <c r="F33" s="22"/>
      <c r="G33" s="21"/>
      <c r="H33" s="8"/>
      <c r="I33" s="8"/>
      <c r="J33" s="22"/>
      <c r="K33" s="22"/>
      <c r="Q33">
        <f>ROUND((Source!BZ28/100)*ROUND((Source!AF28*Source!AV28)*Source!I28, 2), 2)</f>
        <v>0</v>
      </c>
      <c r="R33">
        <f>Source!X28</f>
        <v>0</v>
      </c>
      <c r="S33">
        <f>ROUND((Source!CA28/100)*ROUND((Source!AF28*Source!AV28)*Source!I28, 2), 2)</f>
        <v>0</v>
      </c>
      <c r="T33">
        <f>Source!Y28</f>
        <v>0</v>
      </c>
      <c r="U33">
        <f>ROUND((175/100)*ROUND((Source!AE28*Source!AV28)*Source!I28, 2), 2)</f>
        <v>0</v>
      </c>
      <c r="V33">
        <f>ROUND((108/100)*ROUND(Source!CS28*Source!I28, 2), 2)</f>
        <v>0</v>
      </c>
    </row>
    <row r="34" spans="1:22" ht="14.25" x14ac:dyDescent="0.2">
      <c r="A34" s="19"/>
      <c r="B34" s="19"/>
      <c r="C34" s="19" t="s">
        <v>293</v>
      </c>
      <c r="D34" s="20"/>
      <c r="E34" s="8"/>
      <c r="F34" s="22">
        <f>Source!AL28</f>
        <v>100000</v>
      </c>
      <c r="G34" s="21" t="str">
        <f>Source!DD28</f>
        <v/>
      </c>
      <c r="H34" s="8">
        <f>Source!AW28</f>
        <v>1</v>
      </c>
      <c r="I34" s="8">
        <f>IF(Source!BC28&lt;&gt; 0, Source!BC28, 1)</f>
        <v>1</v>
      </c>
      <c r="J34" s="22">
        <f>Source!P28</f>
        <v>100000</v>
      </c>
      <c r="K34" s="22"/>
    </row>
    <row r="35" spans="1:22" ht="15" x14ac:dyDescent="0.25">
      <c r="A35" s="26"/>
      <c r="B35" s="26"/>
      <c r="C35" s="26"/>
      <c r="D35" s="26"/>
      <c r="E35" s="26"/>
      <c r="F35" s="26"/>
      <c r="G35" s="26"/>
      <c r="H35" s="26"/>
      <c r="I35" s="57">
        <f>J34</f>
        <v>100000</v>
      </c>
      <c r="J35" s="57"/>
      <c r="K35" s="27">
        <f>IF(Source!I28&lt;&gt;0, ROUND(I35/Source!I28, 2), 0)</f>
        <v>100000</v>
      </c>
      <c r="P35" s="23">
        <f>I35</f>
        <v>100000</v>
      </c>
    </row>
    <row r="37" spans="1:22" ht="15" x14ac:dyDescent="0.25">
      <c r="A37" s="55" t="str">
        <f>CONCATENATE("Итого по разделу: ",IF(Source!G30&lt;&gt;"Новый раздел", Source!G30, ""))</f>
        <v>Итого по разделу: Проектные работы</v>
      </c>
      <c r="B37" s="55"/>
      <c r="C37" s="55"/>
      <c r="D37" s="55"/>
      <c r="E37" s="55"/>
      <c r="F37" s="55"/>
      <c r="G37" s="55"/>
      <c r="H37" s="55"/>
      <c r="I37" s="53">
        <f>SUM(P32:P36)</f>
        <v>100000</v>
      </c>
      <c r="J37" s="54"/>
      <c r="K37" s="28"/>
    </row>
    <row r="40" spans="1:22" ht="16.5" x14ac:dyDescent="0.25">
      <c r="A40" s="56" t="str">
        <f>CONCATENATE("Раздел: ",IF(Source!G60&lt;&gt;"Новый раздел", Source!G60, ""))</f>
        <v>Раздел: Автоматическая установка пожаротушения тонкораспыленной водой</v>
      </c>
      <c r="B40" s="56"/>
      <c r="C40" s="56"/>
      <c r="D40" s="56"/>
      <c r="E40" s="56"/>
      <c r="F40" s="56"/>
      <c r="G40" s="56"/>
      <c r="H40" s="56"/>
      <c r="I40" s="56"/>
      <c r="J40" s="56"/>
      <c r="K40" s="56"/>
    </row>
    <row r="42" spans="1:22" ht="16.5" x14ac:dyDescent="0.25">
      <c r="A42" s="56" t="str">
        <f>CONCATENATE("Подраздел: ",IF(Source!G64&lt;&gt;"Новый подраздел", Source!G64, ""))</f>
        <v>Подраздел: Монтажные работы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</row>
    <row r="43" spans="1:22" ht="42.75" x14ac:dyDescent="0.2">
      <c r="A43" s="19">
        <v>2</v>
      </c>
      <c r="B43" s="19" t="str">
        <f>Source!F68</f>
        <v>1.22-3403-45-9/1</v>
      </c>
      <c r="C43" s="19" t="str">
        <f>Source!G68</f>
        <v>Установка аппаратуры настенной (без стоимости материалов) (С2000-ПТ-1 шт.,БРИЗ-Т - 2 шт., С2000-СП2-2 шт.)</v>
      </c>
      <c r="D43" s="20" t="str">
        <f>Source!H68</f>
        <v>шт.</v>
      </c>
      <c r="E43" s="8">
        <f>Source!I68</f>
        <v>5</v>
      </c>
      <c r="F43" s="22"/>
      <c r="G43" s="21"/>
      <c r="H43" s="8"/>
      <c r="I43" s="8"/>
      <c r="J43" s="22"/>
      <c r="K43" s="22"/>
      <c r="Q43">
        <f>ROUND((Source!BZ68/100)*ROUND((Source!AF68*Source!AV68)*Source!I68, 2), 2)</f>
        <v>16715.650000000001</v>
      </c>
      <c r="R43">
        <f>Source!X68</f>
        <v>16715.650000000001</v>
      </c>
      <c r="S43">
        <f>ROUND((Source!CA68/100)*ROUND((Source!AF68*Source!AV68)*Source!I68, 2), 2)</f>
        <v>2387.9499999999998</v>
      </c>
      <c r="T43">
        <f>Source!Y68</f>
        <v>2387.9499999999998</v>
      </c>
      <c r="U43">
        <f>ROUND((175/100)*ROUND((Source!AE68*Source!AV68)*Source!I68, 2), 2)</f>
        <v>0</v>
      </c>
      <c r="V43">
        <f>ROUND((108/100)*ROUND(Source!CS68*Source!I68, 2), 2)</f>
        <v>0</v>
      </c>
    </row>
    <row r="44" spans="1:22" ht="14.25" x14ac:dyDescent="0.2">
      <c r="A44" s="19"/>
      <c r="B44" s="19"/>
      <c r="C44" s="19" t="s">
        <v>294</v>
      </c>
      <c r="D44" s="20"/>
      <c r="E44" s="8"/>
      <c r="F44" s="22">
        <f>Source!AO68</f>
        <v>4775.8999999999996</v>
      </c>
      <c r="G44" s="21" t="str">
        <f>Source!DG68</f>
        <v/>
      </c>
      <c r="H44" s="8">
        <f>Source!AV68</f>
        <v>1</v>
      </c>
      <c r="I44" s="8">
        <f>IF(Source!BA68&lt;&gt; 0, Source!BA68, 1)</f>
        <v>1</v>
      </c>
      <c r="J44" s="22">
        <f>Source!S68</f>
        <v>23879.5</v>
      </c>
      <c r="K44" s="22"/>
    </row>
    <row r="45" spans="1:22" ht="14.25" x14ac:dyDescent="0.2">
      <c r="A45" s="19"/>
      <c r="B45" s="19"/>
      <c r="C45" s="19" t="s">
        <v>295</v>
      </c>
      <c r="D45" s="20" t="s">
        <v>296</v>
      </c>
      <c r="E45" s="8">
        <f>Source!AT68</f>
        <v>70</v>
      </c>
      <c r="F45" s="22"/>
      <c r="G45" s="21"/>
      <c r="H45" s="8"/>
      <c r="I45" s="8"/>
      <c r="J45" s="22">
        <f>SUM(R43:R44)</f>
        <v>16715.650000000001</v>
      </c>
      <c r="K45" s="22"/>
    </row>
    <row r="46" spans="1:22" ht="14.25" x14ac:dyDescent="0.2">
      <c r="A46" s="19"/>
      <c r="B46" s="19"/>
      <c r="C46" s="19" t="s">
        <v>297</v>
      </c>
      <c r="D46" s="20" t="s">
        <v>296</v>
      </c>
      <c r="E46" s="8">
        <f>Source!AU68</f>
        <v>10</v>
      </c>
      <c r="F46" s="22"/>
      <c r="G46" s="21"/>
      <c r="H46" s="8"/>
      <c r="I46" s="8"/>
      <c r="J46" s="22">
        <f>SUM(T43:T45)</f>
        <v>2387.9499999999998</v>
      </c>
      <c r="K46" s="22"/>
    </row>
    <row r="47" spans="1:22" ht="14.25" x14ac:dyDescent="0.2">
      <c r="A47" s="19"/>
      <c r="B47" s="19"/>
      <c r="C47" s="19" t="s">
        <v>298</v>
      </c>
      <c r="D47" s="20" t="s">
        <v>299</v>
      </c>
      <c r="E47" s="8">
        <f>Source!AQ68</f>
        <v>9.1999999999999993</v>
      </c>
      <c r="F47" s="22"/>
      <c r="G47" s="21" t="str">
        <f>Source!DI68</f>
        <v/>
      </c>
      <c r="H47" s="8">
        <f>Source!AV68</f>
        <v>1</v>
      </c>
      <c r="I47" s="8"/>
      <c r="J47" s="22"/>
      <c r="K47" s="22">
        <f>Source!U68</f>
        <v>46</v>
      </c>
    </row>
    <row r="48" spans="1:22" ht="15" x14ac:dyDescent="0.25">
      <c r="A48" s="26"/>
      <c r="B48" s="26"/>
      <c r="C48" s="26"/>
      <c r="D48" s="26"/>
      <c r="E48" s="26"/>
      <c r="F48" s="26"/>
      <c r="G48" s="26"/>
      <c r="H48" s="26"/>
      <c r="I48" s="57">
        <f>J44+J45+J46</f>
        <v>42983.1</v>
      </c>
      <c r="J48" s="57"/>
      <c r="K48" s="27">
        <f>IF(Source!I68&lt;&gt;0, ROUND(I48/Source!I68, 2), 0)</f>
        <v>8596.6200000000008</v>
      </c>
      <c r="P48" s="23">
        <f>I48</f>
        <v>42983.1</v>
      </c>
    </row>
    <row r="49" spans="1:22" ht="85.5" x14ac:dyDescent="0.2">
      <c r="A49" s="19">
        <v>3</v>
      </c>
      <c r="B49" s="19" t="str">
        <f>Source!F69</f>
        <v>1.23-3103-4-1/1</v>
      </c>
      <c r="C49" s="19" t="str">
        <f>Source!G69</f>
        <v>Установка механизмов исполнительных и узлов сочленения - механизм исполнительный массой до 20 кг (Модуль пожаротушения тонкораспыленной водой МУПТВ-13,5-ГЗ-ВД)</v>
      </c>
      <c r="D49" s="20" t="str">
        <f>Source!H69</f>
        <v>шт.</v>
      </c>
      <c r="E49" s="8">
        <f>Source!I69</f>
        <v>2</v>
      </c>
      <c r="F49" s="22"/>
      <c r="G49" s="21"/>
      <c r="H49" s="8"/>
      <c r="I49" s="8"/>
      <c r="J49" s="22"/>
      <c r="K49" s="22"/>
      <c r="Q49">
        <f>ROUND((Source!BZ69/100)*ROUND((Source!AF69*Source!AV69)*Source!I69, 2), 2)</f>
        <v>436.06</v>
      </c>
      <c r="R49">
        <f>Source!X69</f>
        <v>436.06</v>
      </c>
      <c r="S49">
        <f>ROUND((Source!CA69/100)*ROUND((Source!AF69*Source!AV69)*Source!I69, 2), 2)</f>
        <v>62.29</v>
      </c>
      <c r="T49">
        <f>Source!Y69</f>
        <v>62.29</v>
      </c>
      <c r="U49">
        <f>ROUND((175/100)*ROUND((Source!AE69*Source!AV69)*Source!I69, 2), 2)</f>
        <v>0</v>
      </c>
      <c r="V49">
        <f>ROUND((108/100)*ROUND(Source!CS69*Source!I69, 2), 2)</f>
        <v>0</v>
      </c>
    </row>
    <row r="50" spans="1:22" ht="14.25" x14ac:dyDescent="0.2">
      <c r="A50" s="19"/>
      <c r="B50" s="19"/>
      <c r="C50" s="19" t="s">
        <v>294</v>
      </c>
      <c r="D50" s="20"/>
      <c r="E50" s="8"/>
      <c r="F50" s="22">
        <f>Source!AO69</f>
        <v>311.47000000000003</v>
      </c>
      <c r="G50" s="21" t="str">
        <f>Source!DG69</f>
        <v/>
      </c>
      <c r="H50" s="8">
        <f>Source!AV69</f>
        <v>1</v>
      </c>
      <c r="I50" s="8">
        <f>IF(Source!BA69&lt;&gt; 0, Source!BA69, 1)</f>
        <v>1</v>
      </c>
      <c r="J50" s="22">
        <f>Source!S69</f>
        <v>622.94000000000005</v>
      </c>
      <c r="K50" s="22"/>
    </row>
    <row r="51" spans="1:22" ht="14.25" x14ac:dyDescent="0.2">
      <c r="A51" s="19"/>
      <c r="B51" s="19"/>
      <c r="C51" s="19" t="s">
        <v>295</v>
      </c>
      <c r="D51" s="20" t="s">
        <v>296</v>
      </c>
      <c r="E51" s="8">
        <f>Source!AT69</f>
        <v>70</v>
      </c>
      <c r="F51" s="22"/>
      <c r="G51" s="21"/>
      <c r="H51" s="8"/>
      <c r="I51" s="8"/>
      <c r="J51" s="22">
        <f>SUM(R49:R50)</f>
        <v>436.06</v>
      </c>
      <c r="K51" s="22"/>
    </row>
    <row r="52" spans="1:22" ht="14.25" x14ac:dyDescent="0.2">
      <c r="A52" s="19"/>
      <c r="B52" s="19"/>
      <c r="C52" s="19" t="s">
        <v>297</v>
      </c>
      <c r="D52" s="20" t="s">
        <v>296</v>
      </c>
      <c r="E52" s="8">
        <f>Source!AU69</f>
        <v>10</v>
      </c>
      <c r="F52" s="22"/>
      <c r="G52" s="21"/>
      <c r="H52" s="8"/>
      <c r="I52" s="8"/>
      <c r="J52" s="22">
        <f>SUM(T49:T51)</f>
        <v>62.29</v>
      </c>
      <c r="K52" s="22"/>
    </row>
    <row r="53" spans="1:22" ht="14.25" x14ac:dyDescent="0.2">
      <c r="A53" s="19"/>
      <c r="B53" s="19"/>
      <c r="C53" s="19" t="s">
        <v>298</v>
      </c>
      <c r="D53" s="20" t="s">
        <v>299</v>
      </c>
      <c r="E53" s="8">
        <f>Source!AQ69</f>
        <v>0.6</v>
      </c>
      <c r="F53" s="22"/>
      <c r="G53" s="21" t="str">
        <f>Source!DI69</f>
        <v/>
      </c>
      <c r="H53" s="8">
        <f>Source!AV69</f>
        <v>1</v>
      </c>
      <c r="I53" s="8"/>
      <c r="J53" s="22"/>
      <c r="K53" s="22">
        <f>Source!U69</f>
        <v>1.2</v>
      </c>
    </row>
    <row r="54" spans="1:22" ht="15" x14ac:dyDescent="0.25">
      <c r="A54" s="26"/>
      <c r="B54" s="26"/>
      <c r="C54" s="26"/>
      <c r="D54" s="26"/>
      <c r="E54" s="26"/>
      <c r="F54" s="26"/>
      <c r="G54" s="26"/>
      <c r="H54" s="26"/>
      <c r="I54" s="57">
        <f>J50+J51+J52</f>
        <v>1121.29</v>
      </c>
      <c r="J54" s="57"/>
      <c r="K54" s="27">
        <f>IF(Source!I69&lt;&gt;0, ROUND(I54/Source!I69, 2), 0)</f>
        <v>560.65</v>
      </c>
      <c r="P54" s="23">
        <f>I54</f>
        <v>1121.29</v>
      </c>
    </row>
    <row r="55" spans="1:22" ht="85.5" x14ac:dyDescent="0.2">
      <c r="A55" s="19">
        <v>4</v>
      </c>
      <c r="B55" s="19" t="str">
        <f>Source!F70</f>
        <v>1.21-3603-11-2/1</v>
      </c>
      <c r="C55" s="19" t="str">
        <f>Source!G70</f>
        <v>Установка пускателя ручного общего назначения на ток до 25 А отдельностоящего, на конструкции на стене или колонне (без стоимости материалов) (Устройство дистанционного пуска УДП513-3АМ)</v>
      </c>
      <c r="D55" s="20" t="str">
        <f>Source!H70</f>
        <v>шт.</v>
      </c>
      <c r="E55" s="8">
        <f>Source!I70</f>
        <v>1</v>
      </c>
      <c r="F55" s="22"/>
      <c r="G55" s="21"/>
      <c r="H55" s="8"/>
      <c r="I55" s="8"/>
      <c r="J55" s="22"/>
      <c r="K55" s="22"/>
      <c r="Q55">
        <f>ROUND((Source!BZ70/100)*ROUND((Source!AF70*Source!AV70)*Source!I70, 2), 2)</f>
        <v>1048.6400000000001</v>
      </c>
      <c r="R55">
        <f>Source!X70</f>
        <v>1048.6400000000001</v>
      </c>
      <c r="S55">
        <f>ROUND((Source!CA70/100)*ROUND((Source!AF70*Source!AV70)*Source!I70, 2), 2)</f>
        <v>149.81</v>
      </c>
      <c r="T55">
        <f>Source!Y70</f>
        <v>149.81</v>
      </c>
      <c r="U55">
        <f>ROUND((175/100)*ROUND((Source!AE70*Source!AV70)*Source!I70, 2), 2)</f>
        <v>0.35</v>
      </c>
      <c r="V55">
        <f>ROUND((108/100)*ROUND(Source!CS70*Source!I70, 2), 2)</f>
        <v>0.22</v>
      </c>
    </row>
    <row r="56" spans="1:22" ht="14.25" x14ac:dyDescent="0.2">
      <c r="A56" s="19"/>
      <c r="B56" s="19"/>
      <c r="C56" s="19" t="s">
        <v>294</v>
      </c>
      <c r="D56" s="20"/>
      <c r="E56" s="8"/>
      <c r="F56" s="22">
        <f>Source!AO70</f>
        <v>1498.06</v>
      </c>
      <c r="G56" s="21" t="str">
        <f>Source!DG70</f>
        <v/>
      </c>
      <c r="H56" s="8">
        <f>Source!AV70</f>
        <v>1</v>
      </c>
      <c r="I56" s="8">
        <f>IF(Source!BA70&lt;&gt; 0, Source!BA70, 1)</f>
        <v>1</v>
      </c>
      <c r="J56" s="22">
        <f>Source!S70</f>
        <v>1498.06</v>
      </c>
      <c r="K56" s="22"/>
    </row>
    <row r="57" spans="1:22" ht="14.25" x14ac:dyDescent="0.2">
      <c r="A57" s="19"/>
      <c r="B57" s="19"/>
      <c r="C57" s="19" t="s">
        <v>300</v>
      </c>
      <c r="D57" s="20"/>
      <c r="E57" s="8"/>
      <c r="F57" s="22">
        <f>Source!AM70</f>
        <v>64.08</v>
      </c>
      <c r="G57" s="21" t="str">
        <f>Source!DE70</f>
        <v/>
      </c>
      <c r="H57" s="8">
        <f>Source!AV70</f>
        <v>1</v>
      </c>
      <c r="I57" s="8">
        <f>IF(Source!BB70&lt;&gt; 0, Source!BB70, 1)</f>
        <v>1</v>
      </c>
      <c r="J57" s="22">
        <f>Source!Q70</f>
        <v>64.08</v>
      </c>
      <c r="K57" s="22"/>
    </row>
    <row r="58" spans="1:22" ht="14.25" x14ac:dyDescent="0.2">
      <c r="A58" s="19"/>
      <c r="B58" s="19"/>
      <c r="C58" s="19" t="s">
        <v>301</v>
      </c>
      <c r="D58" s="20"/>
      <c r="E58" s="8"/>
      <c r="F58" s="22">
        <f>Source!AN70</f>
        <v>0.2</v>
      </c>
      <c r="G58" s="21" t="str">
        <f>Source!DF70</f>
        <v/>
      </c>
      <c r="H58" s="8">
        <f>Source!AV70</f>
        <v>1</v>
      </c>
      <c r="I58" s="8">
        <f>IF(Source!BS70&lt;&gt; 0, Source!BS70, 1)</f>
        <v>1</v>
      </c>
      <c r="J58" s="30">
        <f>Source!R70</f>
        <v>0.2</v>
      </c>
      <c r="K58" s="22"/>
    </row>
    <row r="59" spans="1:22" ht="14.25" x14ac:dyDescent="0.2">
      <c r="A59" s="19"/>
      <c r="B59" s="19"/>
      <c r="C59" s="19" t="s">
        <v>295</v>
      </c>
      <c r="D59" s="20" t="s">
        <v>296</v>
      </c>
      <c r="E59" s="8">
        <f>Source!AT70</f>
        <v>70</v>
      </c>
      <c r="F59" s="22"/>
      <c r="G59" s="21"/>
      <c r="H59" s="8"/>
      <c r="I59" s="8"/>
      <c r="J59" s="22">
        <f>SUM(R55:R58)</f>
        <v>1048.6400000000001</v>
      </c>
      <c r="K59" s="22"/>
    </row>
    <row r="60" spans="1:22" ht="14.25" x14ac:dyDescent="0.2">
      <c r="A60" s="19"/>
      <c r="B60" s="19"/>
      <c r="C60" s="19" t="s">
        <v>297</v>
      </c>
      <c r="D60" s="20" t="s">
        <v>296</v>
      </c>
      <c r="E60" s="8">
        <f>Source!AU70</f>
        <v>10</v>
      </c>
      <c r="F60" s="22"/>
      <c r="G60" s="21"/>
      <c r="H60" s="8"/>
      <c r="I60" s="8"/>
      <c r="J60" s="22">
        <f>SUM(T55:T59)</f>
        <v>149.81</v>
      </c>
      <c r="K60" s="22"/>
    </row>
    <row r="61" spans="1:22" ht="14.25" x14ac:dyDescent="0.2">
      <c r="A61" s="19"/>
      <c r="B61" s="19"/>
      <c r="C61" s="19" t="s">
        <v>302</v>
      </c>
      <c r="D61" s="20" t="s">
        <v>296</v>
      </c>
      <c r="E61" s="8">
        <f>108</f>
        <v>108</v>
      </c>
      <c r="F61" s="22"/>
      <c r="G61" s="21"/>
      <c r="H61" s="8"/>
      <c r="I61" s="8"/>
      <c r="J61" s="22">
        <f>SUM(V55:V60)</f>
        <v>0.22</v>
      </c>
      <c r="K61" s="22"/>
    </row>
    <row r="62" spans="1:22" ht="14.25" x14ac:dyDescent="0.2">
      <c r="A62" s="19"/>
      <c r="B62" s="19"/>
      <c r="C62" s="19" t="s">
        <v>298</v>
      </c>
      <c r="D62" s="20" t="s">
        <v>299</v>
      </c>
      <c r="E62" s="8">
        <f>Source!AQ70</f>
        <v>2.2999999999999998</v>
      </c>
      <c r="F62" s="22"/>
      <c r="G62" s="21" t="str">
        <f>Source!DI70</f>
        <v/>
      </c>
      <c r="H62" s="8">
        <f>Source!AV70</f>
        <v>1</v>
      </c>
      <c r="I62" s="8"/>
      <c r="J62" s="22"/>
      <c r="K62" s="22">
        <f>Source!U70</f>
        <v>2.2999999999999998</v>
      </c>
    </row>
    <row r="63" spans="1:22" ht="15" x14ac:dyDescent="0.25">
      <c r="A63" s="26"/>
      <c r="B63" s="26"/>
      <c r="C63" s="26"/>
      <c r="D63" s="26"/>
      <c r="E63" s="26"/>
      <c r="F63" s="26"/>
      <c r="G63" s="26"/>
      <c r="H63" s="26"/>
      <c r="I63" s="57">
        <f>J56+J57+J59+J60+J61</f>
        <v>2760.8099999999995</v>
      </c>
      <c r="J63" s="57"/>
      <c r="K63" s="27">
        <f>IF(Source!I70&lt;&gt;0, ROUND(I63/Source!I70, 2), 0)</f>
        <v>2760.81</v>
      </c>
      <c r="P63" s="23">
        <f>I63</f>
        <v>2760.8099999999995</v>
      </c>
    </row>
    <row r="64" spans="1:22" ht="57" x14ac:dyDescent="0.2">
      <c r="A64" s="19">
        <v>5</v>
      </c>
      <c r="B64" s="19" t="str">
        <f>Source!F71</f>
        <v>1.22-3203-2-1/1</v>
      </c>
      <c r="C64" s="19" t="str">
        <f>Source!G71</f>
        <v>Установка извещателя пожарного дымового оптико-электронного адресно-аналогового ИП 212-34А "ДИП-34А"  (ДИП-34А исп. 04)</v>
      </c>
      <c r="D64" s="20" t="str">
        <f>Source!H71</f>
        <v>шт.</v>
      </c>
      <c r="E64" s="8">
        <f>Source!I71</f>
        <v>2</v>
      </c>
      <c r="F64" s="22"/>
      <c r="G64" s="21"/>
      <c r="H64" s="8"/>
      <c r="I64" s="8"/>
      <c r="J64" s="22"/>
      <c r="K64" s="22"/>
      <c r="Q64">
        <f>ROUND((Source!BZ71/100)*ROUND((Source!AF71*Source!AV71)*Source!I71, 2), 2)</f>
        <v>628</v>
      </c>
      <c r="R64">
        <f>Source!X71</f>
        <v>628</v>
      </c>
      <c r="S64">
        <f>ROUND((Source!CA71/100)*ROUND((Source!AF71*Source!AV71)*Source!I71, 2), 2)</f>
        <v>89.71</v>
      </c>
      <c r="T64">
        <f>Source!Y71</f>
        <v>89.71</v>
      </c>
      <c r="U64">
        <f>ROUND((175/100)*ROUND((Source!AE71*Source!AV71)*Source!I71, 2), 2)</f>
        <v>0</v>
      </c>
      <c r="V64">
        <f>ROUND((108/100)*ROUND(Source!CS71*Source!I71, 2), 2)</f>
        <v>0</v>
      </c>
    </row>
    <row r="65" spans="1:22" ht="14.25" x14ac:dyDescent="0.2">
      <c r="A65" s="19"/>
      <c r="B65" s="19"/>
      <c r="C65" s="19" t="s">
        <v>294</v>
      </c>
      <c r="D65" s="20"/>
      <c r="E65" s="8"/>
      <c r="F65" s="22">
        <f>Source!AO71</f>
        <v>448.57</v>
      </c>
      <c r="G65" s="21" t="str">
        <f>Source!DG71</f>
        <v/>
      </c>
      <c r="H65" s="8">
        <f>Source!AV71</f>
        <v>1</v>
      </c>
      <c r="I65" s="8">
        <f>IF(Source!BA71&lt;&gt; 0, Source!BA71, 1)</f>
        <v>1</v>
      </c>
      <c r="J65" s="22">
        <f>Source!S71</f>
        <v>897.14</v>
      </c>
      <c r="K65" s="22"/>
    </row>
    <row r="66" spans="1:22" ht="14.25" x14ac:dyDescent="0.2">
      <c r="A66" s="19"/>
      <c r="B66" s="19"/>
      <c r="C66" s="19" t="s">
        <v>300</v>
      </c>
      <c r="D66" s="20"/>
      <c r="E66" s="8"/>
      <c r="F66" s="22">
        <f>Source!AM71</f>
        <v>0.26</v>
      </c>
      <c r="G66" s="21" t="str">
        <f>Source!DE71</f>
        <v/>
      </c>
      <c r="H66" s="8">
        <f>Source!AV71</f>
        <v>1</v>
      </c>
      <c r="I66" s="8">
        <f>IF(Source!BB71&lt;&gt; 0, Source!BB71, 1)</f>
        <v>1</v>
      </c>
      <c r="J66" s="22">
        <f>Source!Q71</f>
        <v>0.52</v>
      </c>
      <c r="K66" s="22"/>
    </row>
    <row r="67" spans="1:22" ht="14.25" x14ac:dyDescent="0.2">
      <c r="A67" s="19"/>
      <c r="B67" s="19"/>
      <c r="C67" s="19" t="s">
        <v>293</v>
      </c>
      <c r="D67" s="20"/>
      <c r="E67" s="8"/>
      <c r="F67" s="22">
        <f>Source!AL71</f>
        <v>3.2</v>
      </c>
      <c r="G67" s="21" t="str">
        <f>Source!DD71</f>
        <v/>
      </c>
      <c r="H67" s="8">
        <f>Source!AW71</f>
        <v>1</v>
      </c>
      <c r="I67" s="8">
        <f>IF(Source!BC71&lt;&gt; 0, Source!BC71, 1)</f>
        <v>1</v>
      </c>
      <c r="J67" s="22">
        <f>Source!P71</f>
        <v>6.4</v>
      </c>
      <c r="K67" s="22"/>
    </row>
    <row r="68" spans="1:22" ht="14.25" x14ac:dyDescent="0.2">
      <c r="A68" s="19"/>
      <c r="B68" s="19"/>
      <c r="C68" s="19" t="s">
        <v>295</v>
      </c>
      <c r="D68" s="20" t="s">
        <v>296</v>
      </c>
      <c r="E68" s="8">
        <f>Source!AT71</f>
        <v>70</v>
      </c>
      <c r="F68" s="22"/>
      <c r="G68" s="21"/>
      <c r="H68" s="8"/>
      <c r="I68" s="8"/>
      <c r="J68" s="22">
        <f>SUM(R64:R67)</f>
        <v>628</v>
      </c>
      <c r="K68" s="22"/>
    </row>
    <row r="69" spans="1:22" ht="14.25" x14ac:dyDescent="0.2">
      <c r="A69" s="19"/>
      <c r="B69" s="19"/>
      <c r="C69" s="19" t="s">
        <v>297</v>
      </c>
      <c r="D69" s="20" t="s">
        <v>296</v>
      </c>
      <c r="E69" s="8">
        <f>Source!AU71</f>
        <v>10</v>
      </c>
      <c r="F69" s="22"/>
      <c r="G69" s="21"/>
      <c r="H69" s="8"/>
      <c r="I69" s="8"/>
      <c r="J69" s="22">
        <f>SUM(T64:T68)</f>
        <v>89.71</v>
      </c>
      <c r="K69" s="22"/>
    </row>
    <row r="70" spans="1:22" ht="14.25" x14ac:dyDescent="0.2">
      <c r="A70" s="19"/>
      <c r="B70" s="19"/>
      <c r="C70" s="19" t="s">
        <v>298</v>
      </c>
      <c r="D70" s="20" t="s">
        <v>299</v>
      </c>
      <c r="E70" s="8">
        <f>Source!AQ71</f>
        <v>0.66</v>
      </c>
      <c r="F70" s="22"/>
      <c r="G70" s="21" t="str">
        <f>Source!DI71</f>
        <v/>
      </c>
      <c r="H70" s="8">
        <f>Source!AV71</f>
        <v>1</v>
      </c>
      <c r="I70" s="8"/>
      <c r="J70" s="22"/>
      <c r="K70" s="22">
        <f>Source!U71</f>
        <v>1.32</v>
      </c>
    </row>
    <row r="71" spans="1:22" ht="15" x14ac:dyDescent="0.25">
      <c r="A71" s="26"/>
      <c r="B71" s="26"/>
      <c r="C71" s="26"/>
      <c r="D71" s="26"/>
      <c r="E71" s="26"/>
      <c r="F71" s="26"/>
      <c r="G71" s="26"/>
      <c r="H71" s="26"/>
      <c r="I71" s="57">
        <f>J65+J66+J67+J68+J69</f>
        <v>1621.77</v>
      </c>
      <c r="J71" s="57"/>
      <c r="K71" s="27">
        <f>IF(Source!I71&lt;&gt;0, ROUND(I71/Source!I71, 2), 0)</f>
        <v>810.89</v>
      </c>
      <c r="P71" s="23">
        <f>I71</f>
        <v>1621.77</v>
      </c>
    </row>
    <row r="72" spans="1:22" ht="57" x14ac:dyDescent="0.2">
      <c r="A72" s="19">
        <v>6</v>
      </c>
      <c r="B72" s="19" t="str">
        <f>Source!F72</f>
        <v>1.22-3103-19-6/1</v>
      </c>
      <c r="C72" s="19" t="str">
        <f>Source!G72</f>
        <v>Установка преобразователя или блока питания отдельно устанавливаемого (без стоимости материалов) (РИП-24 исп. 51)</v>
      </c>
      <c r="D72" s="20" t="str">
        <f>Source!H72</f>
        <v>шт.</v>
      </c>
      <c r="E72" s="8">
        <f>Source!I72</f>
        <v>1</v>
      </c>
      <c r="F72" s="22"/>
      <c r="G72" s="21"/>
      <c r="H72" s="8"/>
      <c r="I72" s="8"/>
      <c r="J72" s="22"/>
      <c r="K72" s="22"/>
      <c r="Q72">
        <f>ROUND((Source!BZ72/100)*ROUND((Source!AF72*Source!AV72)*Source!I72, 2), 2)</f>
        <v>5444.03</v>
      </c>
      <c r="R72">
        <f>Source!X72</f>
        <v>5444.03</v>
      </c>
      <c r="S72">
        <f>ROUND((Source!CA72/100)*ROUND((Source!AF72*Source!AV72)*Source!I72, 2), 2)</f>
        <v>777.72</v>
      </c>
      <c r="T72">
        <f>Source!Y72</f>
        <v>777.72</v>
      </c>
      <c r="U72">
        <f>ROUND((175/100)*ROUND((Source!AE72*Source!AV72)*Source!I72, 2), 2)</f>
        <v>732.92</v>
      </c>
      <c r="V72">
        <f>ROUND((108/100)*ROUND(Source!CS72*Source!I72, 2), 2)</f>
        <v>452.31</v>
      </c>
    </row>
    <row r="73" spans="1:22" ht="14.25" x14ac:dyDescent="0.2">
      <c r="A73" s="19"/>
      <c r="B73" s="19"/>
      <c r="C73" s="19" t="s">
        <v>294</v>
      </c>
      <c r="D73" s="20"/>
      <c r="E73" s="8"/>
      <c r="F73" s="22">
        <f>Source!AO72</f>
        <v>7777.19</v>
      </c>
      <c r="G73" s="21" t="str">
        <f>Source!DG72</f>
        <v/>
      </c>
      <c r="H73" s="8">
        <f>Source!AV72</f>
        <v>1</v>
      </c>
      <c r="I73" s="8">
        <f>IF(Source!BA72&lt;&gt; 0, Source!BA72, 1)</f>
        <v>1</v>
      </c>
      <c r="J73" s="22">
        <f>Source!S72</f>
        <v>7777.19</v>
      </c>
      <c r="K73" s="22"/>
    </row>
    <row r="74" spans="1:22" ht="14.25" x14ac:dyDescent="0.2">
      <c r="A74" s="19"/>
      <c r="B74" s="19"/>
      <c r="C74" s="19" t="s">
        <v>300</v>
      </c>
      <c r="D74" s="20"/>
      <c r="E74" s="8"/>
      <c r="F74" s="22">
        <f>Source!AM72</f>
        <v>754.83</v>
      </c>
      <c r="G74" s="21" t="str">
        <f>Source!DE72</f>
        <v/>
      </c>
      <c r="H74" s="8">
        <f>Source!AV72</f>
        <v>1</v>
      </c>
      <c r="I74" s="8">
        <f>IF(Source!BB72&lt;&gt; 0, Source!BB72, 1)</f>
        <v>1</v>
      </c>
      <c r="J74" s="22">
        <f>Source!Q72</f>
        <v>754.83</v>
      </c>
      <c r="K74" s="22"/>
    </row>
    <row r="75" spans="1:22" ht="14.25" x14ac:dyDescent="0.2">
      <c r="A75" s="19"/>
      <c r="B75" s="19"/>
      <c r="C75" s="19" t="s">
        <v>301</v>
      </c>
      <c r="D75" s="20"/>
      <c r="E75" s="8"/>
      <c r="F75" s="22">
        <f>Source!AN72</f>
        <v>418.81</v>
      </c>
      <c r="G75" s="21" t="str">
        <f>Source!DF72</f>
        <v/>
      </c>
      <c r="H75" s="8">
        <f>Source!AV72</f>
        <v>1</v>
      </c>
      <c r="I75" s="8">
        <f>IF(Source!BS72&lt;&gt; 0, Source!BS72, 1)</f>
        <v>1</v>
      </c>
      <c r="J75" s="30">
        <f>Source!R72</f>
        <v>418.81</v>
      </c>
      <c r="K75" s="22"/>
    </row>
    <row r="76" spans="1:22" ht="14.25" x14ac:dyDescent="0.2">
      <c r="A76" s="19"/>
      <c r="B76" s="19"/>
      <c r="C76" s="19" t="s">
        <v>295</v>
      </c>
      <c r="D76" s="20" t="s">
        <v>296</v>
      </c>
      <c r="E76" s="8">
        <f>Source!AT72</f>
        <v>70</v>
      </c>
      <c r="F76" s="22"/>
      <c r="G76" s="21"/>
      <c r="H76" s="8"/>
      <c r="I76" s="8"/>
      <c r="J76" s="22">
        <f>SUM(R72:R75)</f>
        <v>5444.03</v>
      </c>
      <c r="K76" s="22"/>
    </row>
    <row r="77" spans="1:22" ht="14.25" x14ac:dyDescent="0.2">
      <c r="A77" s="19"/>
      <c r="B77" s="19"/>
      <c r="C77" s="19" t="s">
        <v>297</v>
      </c>
      <c r="D77" s="20" t="s">
        <v>296</v>
      </c>
      <c r="E77" s="8">
        <f>Source!AU72</f>
        <v>10</v>
      </c>
      <c r="F77" s="22"/>
      <c r="G77" s="21"/>
      <c r="H77" s="8"/>
      <c r="I77" s="8"/>
      <c r="J77" s="22">
        <f>SUM(T72:T76)</f>
        <v>777.72</v>
      </c>
      <c r="K77" s="22"/>
    </row>
    <row r="78" spans="1:22" ht="14.25" x14ac:dyDescent="0.2">
      <c r="A78" s="19"/>
      <c r="B78" s="19"/>
      <c r="C78" s="19" t="s">
        <v>302</v>
      </c>
      <c r="D78" s="20" t="s">
        <v>296</v>
      </c>
      <c r="E78" s="8">
        <f>108</f>
        <v>108</v>
      </c>
      <c r="F78" s="22"/>
      <c r="G78" s="21"/>
      <c r="H78" s="8"/>
      <c r="I78" s="8"/>
      <c r="J78" s="22">
        <f>SUM(V72:V77)</f>
        <v>452.31</v>
      </c>
      <c r="K78" s="22"/>
    </row>
    <row r="79" spans="1:22" ht="14.25" x14ac:dyDescent="0.2">
      <c r="A79" s="19"/>
      <c r="B79" s="19"/>
      <c r="C79" s="19" t="s">
        <v>298</v>
      </c>
      <c r="D79" s="20" t="s">
        <v>299</v>
      </c>
      <c r="E79" s="8">
        <f>Source!AQ72</f>
        <v>10.7</v>
      </c>
      <c r="F79" s="22"/>
      <c r="G79" s="21" t="str">
        <f>Source!DI72</f>
        <v/>
      </c>
      <c r="H79" s="8">
        <f>Source!AV72</f>
        <v>1</v>
      </c>
      <c r="I79" s="8"/>
      <c r="J79" s="22"/>
      <c r="K79" s="22">
        <f>Source!U72</f>
        <v>10.7</v>
      </c>
    </row>
    <row r="80" spans="1:22" ht="15" x14ac:dyDescent="0.25">
      <c r="A80" s="26"/>
      <c r="B80" s="26"/>
      <c r="C80" s="26"/>
      <c r="D80" s="26"/>
      <c r="E80" s="26"/>
      <c r="F80" s="26"/>
      <c r="G80" s="26"/>
      <c r="H80" s="26"/>
      <c r="I80" s="57">
        <f>J73+J74+J76+J77+J78</f>
        <v>15206.079999999998</v>
      </c>
      <c r="J80" s="57"/>
      <c r="K80" s="27">
        <f>IF(Source!I72&lt;&gt;0, ROUND(I80/Source!I72, 2), 0)</f>
        <v>15206.08</v>
      </c>
      <c r="P80" s="23">
        <f>I80</f>
        <v>15206.079999999998</v>
      </c>
    </row>
    <row r="81" spans="1:22" ht="57" x14ac:dyDescent="0.2">
      <c r="A81" s="19">
        <v>7</v>
      </c>
      <c r="B81" s="19" t="str">
        <f>Source!F73</f>
        <v>2.9-3103-70-1/1</v>
      </c>
      <c r="C81" s="19" t="str">
        <f>Source!G73</f>
        <v>Установка аккумулятора кислотного стационарного: С-1, СК-1 (без стоимости основных материалов) (Аккумуляторы 12 В, 7А/Ч)</v>
      </c>
      <c r="D81" s="20" t="str">
        <f>Source!H73</f>
        <v>шт.</v>
      </c>
      <c r="E81" s="8">
        <f>Source!I73</f>
        <v>2</v>
      </c>
      <c r="F81" s="22"/>
      <c r="G81" s="21"/>
      <c r="H81" s="8"/>
      <c r="I81" s="8"/>
      <c r="J81" s="22"/>
      <c r="K81" s="22"/>
      <c r="Q81">
        <f>ROUND((Source!BZ73/100)*ROUND((Source!AF73*Source!AV73)*Source!I73, 2), 2)</f>
        <v>2098.4699999999998</v>
      </c>
      <c r="R81">
        <f>Source!X73</f>
        <v>2098.4699999999998</v>
      </c>
      <c r="S81">
        <f>ROUND((Source!CA73/100)*ROUND((Source!AF73*Source!AV73)*Source!I73, 2), 2)</f>
        <v>299.77999999999997</v>
      </c>
      <c r="T81">
        <f>Source!Y73</f>
        <v>299.77999999999997</v>
      </c>
      <c r="U81">
        <f>ROUND((175/100)*ROUND((Source!AE73*Source!AV73)*Source!I73, 2), 2)</f>
        <v>0</v>
      </c>
      <c r="V81">
        <f>ROUND((108/100)*ROUND(Source!CS73*Source!I73, 2), 2)</f>
        <v>0</v>
      </c>
    </row>
    <row r="82" spans="1:22" ht="14.25" x14ac:dyDescent="0.2">
      <c r="A82" s="19"/>
      <c r="B82" s="19"/>
      <c r="C82" s="19" t="s">
        <v>294</v>
      </c>
      <c r="D82" s="20"/>
      <c r="E82" s="8"/>
      <c r="F82" s="22">
        <f>Source!AO73</f>
        <v>1498.91</v>
      </c>
      <c r="G82" s="21" t="str">
        <f>Source!DG73</f>
        <v/>
      </c>
      <c r="H82" s="8">
        <f>Source!AV73</f>
        <v>1</v>
      </c>
      <c r="I82" s="8">
        <f>IF(Source!BA73&lt;&gt; 0, Source!BA73, 1)</f>
        <v>1</v>
      </c>
      <c r="J82" s="22">
        <f>Source!S73</f>
        <v>2997.82</v>
      </c>
      <c r="K82" s="22"/>
    </row>
    <row r="83" spans="1:22" ht="14.25" x14ac:dyDescent="0.2">
      <c r="A83" s="19"/>
      <c r="B83" s="19"/>
      <c r="C83" s="19" t="s">
        <v>293</v>
      </c>
      <c r="D83" s="20"/>
      <c r="E83" s="8"/>
      <c r="F83" s="22">
        <f>Source!AL73</f>
        <v>108.23</v>
      </c>
      <c r="G83" s="21" t="str">
        <f>Source!DD73</f>
        <v/>
      </c>
      <c r="H83" s="8">
        <f>Source!AW73</f>
        <v>1</v>
      </c>
      <c r="I83" s="8">
        <f>IF(Source!BC73&lt;&gt; 0, Source!BC73, 1)</f>
        <v>1</v>
      </c>
      <c r="J83" s="22">
        <f>Source!P73</f>
        <v>216.46</v>
      </c>
      <c r="K83" s="22"/>
    </row>
    <row r="84" spans="1:22" ht="14.25" x14ac:dyDescent="0.2">
      <c r="A84" s="19"/>
      <c r="B84" s="19"/>
      <c r="C84" s="19" t="s">
        <v>295</v>
      </c>
      <c r="D84" s="20" t="s">
        <v>296</v>
      </c>
      <c r="E84" s="8">
        <f>Source!AT73</f>
        <v>70</v>
      </c>
      <c r="F84" s="22"/>
      <c r="G84" s="21"/>
      <c r="H84" s="8"/>
      <c r="I84" s="8"/>
      <c r="J84" s="22">
        <f>SUM(R81:R83)</f>
        <v>2098.4699999999998</v>
      </c>
      <c r="K84" s="22"/>
    </row>
    <row r="85" spans="1:22" ht="14.25" x14ac:dyDescent="0.2">
      <c r="A85" s="19"/>
      <c r="B85" s="19"/>
      <c r="C85" s="19" t="s">
        <v>297</v>
      </c>
      <c r="D85" s="20" t="s">
        <v>296</v>
      </c>
      <c r="E85" s="8">
        <f>Source!AU73</f>
        <v>10</v>
      </c>
      <c r="F85" s="22"/>
      <c r="G85" s="21"/>
      <c r="H85" s="8"/>
      <c r="I85" s="8"/>
      <c r="J85" s="22">
        <f>SUM(T81:T84)</f>
        <v>299.77999999999997</v>
      </c>
      <c r="K85" s="22"/>
    </row>
    <row r="86" spans="1:22" ht="14.25" x14ac:dyDescent="0.2">
      <c r="A86" s="19"/>
      <c r="B86" s="19"/>
      <c r="C86" s="19" t="s">
        <v>298</v>
      </c>
      <c r="D86" s="20" t="s">
        <v>299</v>
      </c>
      <c r="E86" s="8">
        <f>Source!AQ73</f>
        <v>2.37</v>
      </c>
      <c r="F86" s="22"/>
      <c r="G86" s="21" t="str">
        <f>Source!DI73</f>
        <v/>
      </c>
      <c r="H86" s="8">
        <f>Source!AV73</f>
        <v>1</v>
      </c>
      <c r="I86" s="8"/>
      <c r="J86" s="22"/>
      <c r="K86" s="22">
        <f>Source!U73</f>
        <v>4.74</v>
      </c>
    </row>
    <row r="87" spans="1:22" ht="15" x14ac:dyDescent="0.25">
      <c r="A87" s="26"/>
      <c r="B87" s="26"/>
      <c r="C87" s="26"/>
      <c r="D87" s="26"/>
      <c r="E87" s="26"/>
      <c r="F87" s="26"/>
      <c r="G87" s="26"/>
      <c r="H87" s="26"/>
      <c r="I87" s="57">
        <f>J82+J83+J84+J85</f>
        <v>5612.53</v>
      </c>
      <c r="J87" s="57"/>
      <c r="K87" s="27">
        <f>IF(Source!I73&lt;&gt;0, ROUND(I87/Source!I73, 2), 0)</f>
        <v>2806.27</v>
      </c>
      <c r="P87" s="23">
        <f>I87</f>
        <v>5612.53</v>
      </c>
    </row>
    <row r="88" spans="1:22" ht="57" x14ac:dyDescent="0.2">
      <c r="A88" s="19">
        <v>8</v>
      </c>
      <c r="B88" s="19" t="str">
        <f>Source!F74</f>
        <v>1.22-3403-46-15/1</v>
      </c>
      <c r="C88" s="19" t="str">
        <f>Source!G74</f>
        <v>Установка транспаранта светового (табло) (без стоимости материалов) (Табло светозвуковое МОЛНИЯ-24-3 "ПОЖАР")</v>
      </c>
      <c r="D88" s="20" t="str">
        <f>Source!H74</f>
        <v>шт.</v>
      </c>
      <c r="E88" s="8">
        <f>Source!I74</f>
        <v>2</v>
      </c>
      <c r="F88" s="22"/>
      <c r="G88" s="21"/>
      <c r="H88" s="8"/>
      <c r="I88" s="8"/>
      <c r="J88" s="22"/>
      <c r="K88" s="22"/>
      <c r="Q88">
        <f>ROUND((Source!BZ74/100)*ROUND((Source!AF74*Source!AV74)*Source!I74, 2), 2)</f>
        <v>2036.5</v>
      </c>
      <c r="R88">
        <f>Source!X74</f>
        <v>2036.5</v>
      </c>
      <c r="S88">
        <f>ROUND((Source!CA74/100)*ROUND((Source!AF74*Source!AV74)*Source!I74, 2), 2)</f>
        <v>290.93</v>
      </c>
      <c r="T88">
        <f>Source!Y74</f>
        <v>290.93</v>
      </c>
      <c r="U88">
        <f>ROUND((175/100)*ROUND((Source!AE74*Source!AV74)*Source!I74, 2), 2)</f>
        <v>0</v>
      </c>
      <c r="V88">
        <f>ROUND((108/100)*ROUND(Source!CS74*Source!I74, 2), 2)</f>
        <v>0</v>
      </c>
    </row>
    <row r="89" spans="1:22" ht="14.25" x14ac:dyDescent="0.2">
      <c r="A89" s="19"/>
      <c r="B89" s="19"/>
      <c r="C89" s="19" t="s">
        <v>294</v>
      </c>
      <c r="D89" s="20"/>
      <c r="E89" s="8"/>
      <c r="F89" s="22">
        <f>Source!AO74</f>
        <v>1454.64</v>
      </c>
      <c r="G89" s="21" t="str">
        <f>Source!DG74</f>
        <v/>
      </c>
      <c r="H89" s="8">
        <f>Source!AV74</f>
        <v>1</v>
      </c>
      <c r="I89" s="8">
        <f>IF(Source!BA74&lt;&gt; 0, Source!BA74, 1)</f>
        <v>1</v>
      </c>
      <c r="J89" s="22">
        <f>Source!S74</f>
        <v>2909.28</v>
      </c>
      <c r="K89" s="22"/>
    </row>
    <row r="90" spans="1:22" ht="14.25" x14ac:dyDescent="0.2">
      <c r="A90" s="19"/>
      <c r="B90" s="19"/>
      <c r="C90" s="19" t="s">
        <v>295</v>
      </c>
      <c r="D90" s="20" t="s">
        <v>296</v>
      </c>
      <c r="E90" s="8">
        <f>Source!AT74</f>
        <v>70</v>
      </c>
      <c r="F90" s="22"/>
      <c r="G90" s="21"/>
      <c r="H90" s="8"/>
      <c r="I90" s="8"/>
      <c r="J90" s="22">
        <f>SUM(R88:R89)</f>
        <v>2036.5</v>
      </c>
      <c r="K90" s="22"/>
    </row>
    <row r="91" spans="1:22" ht="14.25" x14ac:dyDescent="0.2">
      <c r="A91" s="19"/>
      <c r="B91" s="19"/>
      <c r="C91" s="19" t="s">
        <v>297</v>
      </c>
      <c r="D91" s="20" t="s">
        <v>296</v>
      </c>
      <c r="E91" s="8">
        <f>Source!AU74</f>
        <v>10</v>
      </c>
      <c r="F91" s="22"/>
      <c r="G91" s="21"/>
      <c r="H91" s="8"/>
      <c r="I91" s="8"/>
      <c r="J91" s="22">
        <f>SUM(T88:T90)</f>
        <v>290.93</v>
      </c>
      <c r="K91" s="22"/>
    </row>
    <row r="92" spans="1:22" ht="14.25" x14ac:dyDescent="0.2">
      <c r="A92" s="19"/>
      <c r="B92" s="19"/>
      <c r="C92" s="19" t="s">
        <v>298</v>
      </c>
      <c r="D92" s="20" t="s">
        <v>299</v>
      </c>
      <c r="E92" s="8">
        <f>Source!AQ74</f>
        <v>2.2999999999999998</v>
      </c>
      <c r="F92" s="22"/>
      <c r="G92" s="21" t="str">
        <f>Source!DI74</f>
        <v/>
      </c>
      <c r="H92" s="8">
        <f>Source!AV74</f>
        <v>1</v>
      </c>
      <c r="I92" s="8"/>
      <c r="J92" s="22"/>
      <c r="K92" s="22">
        <f>Source!U74</f>
        <v>4.5999999999999996</v>
      </c>
    </row>
    <row r="93" spans="1:22" ht="15" x14ac:dyDescent="0.25">
      <c r="A93" s="26"/>
      <c r="B93" s="26"/>
      <c r="C93" s="26"/>
      <c r="D93" s="26"/>
      <c r="E93" s="26"/>
      <c r="F93" s="26"/>
      <c r="G93" s="26"/>
      <c r="H93" s="26"/>
      <c r="I93" s="57">
        <f>J89+J90+J91</f>
        <v>5236.7100000000009</v>
      </c>
      <c r="J93" s="57"/>
      <c r="K93" s="27">
        <f>IF(Source!I74&lt;&gt;0, ROUND(I93/Source!I74, 2), 0)</f>
        <v>2618.36</v>
      </c>
      <c r="P93" s="23">
        <f>I93</f>
        <v>5236.7100000000009</v>
      </c>
    </row>
    <row r="94" spans="1:22" ht="42.75" x14ac:dyDescent="0.2">
      <c r="A94" s="19">
        <v>9</v>
      </c>
      <c r="B94" s="19" t="str">
        <f>Source!F75</f>
        <v>1.21-3103-31-2/1</v>
      </c>
      <c r="C94" s="19" t="str">
        <f>Source!G75</f>
        <v>Прокладка пластикового кабель-канала по бетонному основанию / сечение 20х12,5 мм</v>
      </c>
      <c r="D94" s="20" t="str">
        <f>Source!H75</f>
        <v>100 м</v>
      </c>
      <c r="E94" s="8">
        <f>Source!I75</f>
        <v>0.1</v>
      </c>
      <c r="F94" s="22"/>
      <c r="G94" s="21"/>
      <c r="H94" s="8"/>
      <c r="I94" s="8"/>
      <c r="J94" s="22"/>
      <c r="K94" s="22"/>
      <c r="Q94">
        <f>ROUND((Source!BZ75/100)*ROUND((Source!AF75*Source!AV75)*Source!I75, 2), 2)</f>
        <v>1861.01</v>
      </c>
      <c r="R94">
        <f>Source!X75</f>
        <v>1861.01</v>
      </c>
      <c r="S94">
        <f>ROUND((Source!CA75/100)*ROUND((Source!AF75*Source!AV75)*Source!I75, 2), 2)</f>
        <v>265.86</v>
      </c>
      <c r="T94">
        <f>Source!Y75</f>
        <v>265.86</v>
      </c>
      <c r="U94">
        <f>ROUND((175/100)*ROUND((Source!AE75*Source!AV75)*Source!I75, 2), 2)</f>
        <v>0.16</v>
      </c>
      <c r="V94">
        <f>ROUND((108/100)*ROUND(Source!CS75*Source!I75, 2), 2)</f>
        <v>0.1</v>
      </c>
    </row>
    <row r="95" spans="1:22" x14ac:dyDescent="0.2">
      <c r="C95" s="31" t="str">
        <f>"Объем: "&amp;Source!I75&amp;"=10/"&amp;"100"</f>
        <v>Объем: 0,1=10/100</v>
      </c>
    </row>
    <row r="96" spans="1:22" ht="14.25" x14ac:dyDescent="0.2">
      <c r="A96" s="19"/>
      <c r="B96" s="19"/>
      <c r="C96" s="19" t="s">
        <v>294</v>
      </c>
      <c r="D96" s="20"/>
      <c r="E96" s="8"/>
      <c r="F96" s="22">
        <f>Source!AO75</f>
        <v>26585.89</v>
      </c>
      <c r="G96" s="21" t="str">
        <f>Source!DG75</f>
        <v/>
      </c>
      <c r="H96" s="8">
        <f>Source!AV75</f>
        <v>1</v>
      </c>
      <c r="I96" s="8">
        <f>IF(Source!BA75&lt;&gt; 0, Source!BA75, 1)</f>
        <v>1</v>
      </c>
      <c r="J96" s="22">
        <f>Source!S75</f>
        <v>2658.59</v>
      </c>
      <c r="K96" s="22"/>
    </row>
    <row r="97" spans="1:22" ht="14.25" x14ac:dyDescent="0.2">
      <c r="A97" s="19"/>
      <c r="B97" s="19"/>
      <c r="C97" s="19" t="s">
        <v>300</v>
      </c>
      <c r="D97" s="20"/>
      <c r="E97" s="8"/>
      <c r="F97" s="22">
        <f>Source!AM75</f>
        <v>67.400000000000006</v>
      </c>
      <c r="G97" s="21" t="str">
        <f>Source!DE75</f>
        <v/>
      </c>
      <c r="H97" s="8">
        <f>Source!AV75</f>
        <v>1</v>
      </c>
      <c r="I97" s="8">
        <f>IF(Source!BB75&lt;&gt; 0, Source!BB75, 1)</f>
        <v>1</v>
      </c>
      <c r="J97" s="22">
        <f>Source!Q75</f>
        <v>6.74</v>
      </c>
      <c r="K97" s="22"/>
    </row>
    <row r="98" spans="1:22" ht="14.25" x14ac:dyDescent="0.2">
      <c r="A98" s="19"/>
      <c r="B98" s="19"/>
      <c r="C98" s="19" t="s">
        <v>301</v>
      </c>
      <c r="D98" s="20"/>
      <c r="E98" s="8"/>
      <c r="F98" s="22">
        <f>Source!AN75</f>
        <v>0.93</v>
      </c>
      <c r="G98" s="21" t="str">
        <f>Source!DF75</f>
        <v/>
      </c>
      <c r="H98" s="8">
        <f>Source!AV75</f>
        <v>1</v>
      </c>
      <c r="I98" s="8">
        <f>IF(Source!BS75&lt;&gt; 0, Source!BS75, 1)</f>
        <v>1</v>
      </c>
      <c r="J98" s="30">
        <f>Source!R75</f>
        <v>0.09</v>
      </c>
      <c r="K98" s="22"/>
    </row>
    <row r="99" spans="1:22" ht="14.25" x14ac:dyDescent="0.2">
      <c r="A99" s="19"/>
      <c r="B99" s="19"/>
      <c r="C99" s="19" t="s">
        <v>293</v>
      </c>
      <c r="D99" s="20"/>
      <c r="E99" s="8"/>
      <c r="F99" s="22">
        <f>Source!AL75</f>
        <v>16498.54</v>
      </c>
      <c r="G99" s="21" t="str">
        <f>Source!DD75</f>
        <v/>
      </c>
      <c r="H99" s="8">
        <f>Source!AW75</f>
        <v>1</v>
      </c>
      <c r="I99" s="8">
        <f>IF(Source!BC75&lt;&gt; 0, Source!BC75, 1)</f>
        <v>1</v>
      </c>
      <c r="J99" s="22">
        <f>Source!P75</f>
        <v>1649.85</v>
      </c>
      <c r="K99" s="22"/>
    </row>
    <row r="100" spans="1:22" ht="28.5" x14ac:dyDescent="0.2">
      <c r="A100" s="19" t="s">
        <v>112</v>
      </c>
      <c r="B100" s="19" t="str">
        <f>Source!F76</f>
        <v>21.1-25-758</v>
      </c>
      <c r="C100" s="19" t="str">
        <f>Source!G76</f>
        <v>Кабель-каналы, размер 20х12,5 мм: кабель-каналы</v>
      </c>
      <c r="D100" s="20" t="str">
        <f>Source!H76</f>
        <v>м</v>
      </c>
      <c r="E100" s="8">
        <f>Source!I76</f>
        <v>-10</v>
      </c>
      <c r="F100" s="22">
        <f>Source!AK76</f>
        <v>45.22</v>
      </c>
      <c r="G100" s="32" t="s">
        <v>3</v>
      </c>
      <c r="H100" s="8">
        <f>Source!AW76</f>
        <v>1</v>
      </c>
      <c r="I100" s="8">
        <f>IF(Source!BC76&lt;&gt; 0, Source!BC76, 1)</f>
        <v>1</v>
      </c>
      <c r="J100" s="22">
        <f>Source!O76</f>
        <v>-452.2</v>
      </c>
      <c r="K100" s="22"/>
      <c r="Q100">
        <f>ROUND((Source!BZ76/100)*ROUND((Source!AF76*Source!AV76)*Source!I76, 2), 2)</f>
        <v>0</v>
      </c>
      <c r="R100">
        <f>Source!X76</f>
        <v>0</v>
      </c>
      <c r="S100">
        <f>ROUND((Source!CA76/100)*ROUND((Source!AF76*Source!AV76)*Source!I76, 2), 2)</f>
        <v>0</v>
      </c>
      <c r="T100">
        <f>Source!Y76</f>
        <v>0</v>
      </c>
      <c r="U100">
        <f>ROUND((175/100)*ROUND((Source!AE76*Source!AV76)*Source!I76, 2), 2)</f>
        <v>0</v>
      </c>
      <c r="V100">
        <f>ROUND((108/100)*ROUND(Source!CS76*Source!I76, 2), 2)</f>
        <v>0</v>
      </c>
    </row>
    <row r="101" spans="1:22" ht="28.5" x14ac:dyDescent="0.2">
      <c r="A101" s="19" t="s">
        <v>117</v>
      </c>
      <c r="B101" s="19" t="str">
        <f>Source!F77</f>
        <v>21.1-25-759</v>
      </c>
      <c r="C101" s="19" t="str">
        <f>Source!G77</f>
        <v>Кабель-каналы, размер 20х12,5 мм: углы внутренние</v>
      </c>
      <c r="D101" s="20" t="str">
        <f>Source!H77</f>
        <v>1000 шт.</v>
      </c>
      <c r="E101" s="8">
        <f>Source!I77</f>
        <v>-2.0000000000000001E-4</v>
      </c>
      <c r="F101" s="22">
        <f>Source!AK77</f>
        <v>46130.16</v>
      </c>
      <c r="G101" s="32" t="s">
        <v>3</v>
      </c>
      <c r="H101" s="8">
        <f>Source!AW77</f>
        <v>1</v>
      </c>
      <c r="I101" s="8">
        <f>IF(Source!BC77&lt;&gt; 0, Source!BC77, 1)</f>
        <v>1</v>
      </c>
      <c r="J101" s="22">
        <f>Source!O77</f>
        <v>-9.23</v>
      </c>
      <c r="K101" s="22"/>
      <c r="Q101">
        <f>ROUND((Source!BZ77/100)*ROUND((Source!AF77*Source!AV77)*Source!I77, 2), 2)</f>
        <v>0</v>
      </c>
      <c r="R101">
        <f>Source!X77</f>
        <v>0</v>
      </c>
      <c r="S101">
        <f>ROUND((Source!CA77/100)*ROUND((Source!AF77*Source!AV77)*Source!I77, 2), 2)</f>
        <v>0</v>
      </c>
      <c r="T101">
        <f>Source!Y77</f>
        <v>0</v>
      </c>
      <c r="U101">
        <f>ROUND((175/100)*ROUND((Source!AE77*Source!AV77)*Source!I77, 2), 2)</f>
        <v>0</v>
      </c>
      <c r="V101">
        <f>ROUND((108/100)*ROUND(Source!CS77*Source!I77, 2), 2)</f>
        <v>0</v>
      </c>
    </row>
    <row r="102" spans="1:22" ht="28.5" x14ac:dyDescent="0.2">
      <c r="A102" s="19" t="s">
        <v>122</v>
      </c>
      <c r="B102" s="19" t="str">
        <f>Source!F78</f>
        <v>21.1-25-760</v>
      </c>
      <c r="C102" s="19" t="str">
        <f>Source!G78</f>
        <v>Кабель-каналы, размер 20х12,5 мм: углы наружные</v>
      </c>
      <c r="D102" s="20" t="str">
        <f>Source!H78</f>
        <v>1000 шт.</v>
      </c>
      <c r="E102" s="8">
        <f>Source!I78</f>
        <v>-1.5E-3</v>
      </c>
      <c r="F102" s="22">
        <f>Source!AK78</f>
        <v>47663.58</v>
      </c>
      <c r="G102" s="32" t="s">
        <v>3</v>
      </c>
      <c r="H102" s="8">
        <f>Source!AW78</f>
        <v>1</v>
      </c>
      <c r="I102" s="8">
        <f>IF(Source!BC78&lt;&gt; 0, Source!BC78, 1)</f>
        <v>1</v>
      </c>
      <c r="J102" s="22">
        <f>Source!O78</f>
        <v>-71.5</v>
      </c>
      <c r="K102" s="22"/>
      <c r="Q102">
        <f>ROUND((Source!BZ78/100)*ROUND((Source!AF78*Source!AV78)*Source!I78, 2), 2)</f>
        <v>0</v>
      </c>
      <c r="R102">
        <f>Source!X78</f>
        <v>0</v>
      </c>
      <c r="S102">
        <f>ROUND((Source!CA78/100)*ROUND((Source!AF78*Source!AV78)*Source!I78, 2), 2)</f>
        <v>0</v>
      </c>
      <c r="T102">
        <f>Source!Y78</f>
        <v>0</v>
      </c>
      <c r="U102">
        <f>ROUND((175/100)*ROUND((Source!AE78*Source!AV78)*Source!I78, 2), 2)</f>
        <v>0</v>
      </c>
      <c r="V102">
        <f>ROUND((108/100)*ROUND(Source!CS78*Source!I78, 2), 2)</f>
        <v>0</v>
      </c>
    </row>
    <row r="103" spans="1:22" ht="28.5" x14ac:dyDescent="0.2">
      <c r="A103" s="19" t="s">
        <v>126</v>
      </c>
      <c r="B103" s="19" t="str">
        <f>Source!F79</f>
        <v>21.1-25-761</v>
      </c>
      <c r="C103" s="19" t="str">
        <f>Source!G79</f>
        <v>Кабель-каналы, размер 20х12,5 мм: углы плоские</v>
      </c>
      <c r="D103" s="20" t="str">
        <f>Source!H79</f>
        <v>1000 шт.</v>
      </c>
      <c r="E103" s="8">
        <f>Source!I79</f>
        <v>-2.0000000000000001E-4</v>
      </c>
      <c r="F103" s="22">
        <f>Source!AK79</f>
        <v>49894.85</v>
      </c>
      <c r="G103" s="32" t="s">
        <v>3</v>
      </c>
      <c r="H103" s="8">
        <f>Source!AW79</f>
        <v>1</v>
      </c>
      <c r="I103" s="8">
        <f>IF(Source!BC79&lt;&gt; 0, Source!BC79, 1)</f>
        <v>1</v>
      </c>
      <c r="J103" s="22">
        <f>Source!O79</f>
        <v>-9.98</v>
      </c>
      <c r="K103" s="22"/>
      <c r="Q103">
        <f>ROUND((Source!BZ79/100)*ROUND((Source!AF79*Source!AV79)*Source!I79, 2), 2)</f>
        <v>0</v>
      </c>
      <c r="R103">
        <f>Source!X79</f>
        <v>0</v>
      </c>
      <c r="S103">
        <f>ROUND((Source!CA79/100)*ROUND((Source!AF79*Source!AV79)*Source!I79, 2), 2)</f>
        <v>0</v>
      </c>
      <c r="T103">
        <f>Source!Y79</f>
        <v>0</v>
      </c>
      <c r="U103">
        <f>ROUND((175/100)*ROUND((Source!AE79*Source!AV79)*Source!I79, 2), 2)</f>
        <v>0</v>
      </c>
      <c r="V103">
        <f>ROUND((108/100)*ROUND(Source!CS79*Source!I79, 2), 2)</f>
        <v>0</v>
      </c>
    </row>
    <row r="104" spans="1:22" ht="28.5" x14ac:dyDescent="0.2">
      <c r="A104" s="19" t="s">
        <v>130</v>
      </c>
      <c r="B104" s="19" t="str">
        <f>Source!F80</f>
        <v>21.1-25-762</v>
      </c>
      <c r="C104" s="19" t="str">
        <f>Source!G80</f>
        <v>Кабель-каналы, размер 20х12,5 мм: заглушки</v>
      </c>
      <c r="D104" s="20" t="str">
        <f>Source!H80</f>
        <v>1000 шт.</v>
      </c>
      <c r="E104" s="8">
        <f>Source!I80</f>
        <v>-1.5E-3</v>
      </c>
      <c r="F104" s="22">
        <f>Source!AK80</f>
        <v>35547.599999999999</v>
      </c>
      <c r="G104" s="32" t="s">
        <v>3</v>
      </c>
      <c r="H104" s="8">
        <f>Source!AW80</f>
        <v>1</v>
      </c>
      <c r="I104" s="8">
        <f>IF(Source!BC80&lt;&gt; 0, Source!BC80, 1)</f>
        <v>1</v>
      </c>
      <c r="J104" s="22">
        <f>Source!O80</f>
        <v>-53.32</v>
      </c>
      <c r="K104" s="22"/>
      <c r="Q104">
        <f>ROUND((Source!BZ80/100)*ROUND((Source!AF80*Source!AV80)*Source!I80, 2), 2)</f>
        <v>0</v>
      </c>
      <c r="R104">
        <f>Source!X80</f>
        <v>0</v>
      </c>
      <c r="S104">
        <f>ROUND((Source!CA80/100)*ROUND((Source!AF80*Source!AV80)*Source!I80, 2), 2)</f>
        <v>0</v>
      </c>
      <c r="T104">
        <f>Source!Y80</f>
        <v>0</v>
      </c>
      <c r="U104">
        <f>ROUND((175/100)*ROUND((Source!AE80*Source!AV80)*Source!I80, 2), 2)</f>
        <v>0</v>
      </c>
      <c r="V104">
        <f>ROUND((108/100)*ROUND(Source!CS80*Source!I80, 2), 2)</f>
        <v>0</v>
      </c>
    </row>
    <row r="105" spans="1:22" ht="28.5" x14ac:dyDescent="0.2">
      <c r="A105" s="19" t="s">
        <v>134</v>
      </c>
      <c r="B105" s="19" t="str">
        <f>Source!F81</f>
        <v>21.1-25-763</v>
      </c>
      <c r="C105" s="19" t="str">
        <f>Source!G81</f>
        <v>Кабель-каналы, размер 20х12,5 мм: ответвления Т-образные</v>
      </c>
      <c r="D105" s="20" t="str">
        <f>Source!H81</f>
        <v>1000 шт.</v>
      </c>
      <c r="E105" s="8">
        <f>Source!I81</f>
        <v>-2.0000000000000001E-4</v>
      </c>
      <c r="F105" s="22">
        <f>Source!AK81</f>
        <v>50599.41</v>
      </c>
      <c r="G105" s="32" t="s">
        <v>3</v>
      </c>
      <c r="H105" s="8">
        <f>Source!AW81</f>
        <v>1</v>
      </c>
      <c r="I105" s="8">
        <f>IF(Source!BC81&lt;&gt; 0, Source!BC81, 1)</f>
        <v>1</v>
      </c>
      <c r="J105" s="22">
        <f>Source!O81</f>
        <v>-10.119999999999999</v>
      </c>
      <c r="K105" s="22"/>
      <c r="Q105">
        <f>ROUND((Source!BZ81/100)*ROUND((Source!AF81*Source!AV81)*Source!I81, 2), 2)</f>
        <v>0</v>
      </c>
      <c r="R105">
        <f>Source!X81</f>
        <v>0</v>
      </c>
      <c r="S105">
        <f>ROUND((Source!CA81/100)*ROUND((Source!AF81*Source!AV81)*Source!I81, 2), 2)</f>
        <v>0</v>
      </c>
      <c r="T105">
        <f>Source!Y81</f>
        <v>0</v>
      </c>
      <c r="U105">
        <f>ROUND((175/100)*ROUND((Source!AE81*Source!AV81)*Source!I81, 2), 2)</f>
        <v>0</v>
      </c>
      <c r="V105">
        <f>ROUND((108/100)*ROUND(Source!CS81*Source!I81, 2), 2)</f>
        <v>0</v>
      </c>
    </row>
    <row r="106" spans="1:22" ht="28.5" x14ac:dyDescent="0.2">
      <c r="A106" s="19" t="s">
        <v>138</v>
      </c>
      <c r="B106" s="19" t="str">
        <f>Source!F82</f>
        <v>21.1-25-764</v>
      </c>
      <c r="C106" s="19" t="str">
        <f>Source!G82</f>
        <v>Кабель-каналы, размер 20х12,5 мм: накладки стыковые</v>
      </c>
      <c r="D106" s="20" t="str">
        <f>Source!H82</f>
        <v>1000 шт.</v>
      </c>
      <c r="E106" s="8">
        <f>Source!I82</f>
        <v>-4.0000000000000002E-4</v>
      </c>
      <c r="F106" s="22">
        <f>Source!AK82</f>
        <v>20680.189999999999</v>
      </c>
      <c r="G106" s="32" t="s">
        <v>3</v>
      </c>
      <c r="H106" s="8">
        <f>Source!AW82</f>
        <v>1</v>
      </c>
      <c r="I106" s="8">
        <f>IF(Source!BC82&lt;&gt; 0, Source!BC82, 1)</f>
        <v>1</v>
      </c>
      <c r="J106" s="22">
        <f>Source!O82</f>
        <v>-8.27</v>
      </c>
      <c r="K106" s="22"/>
      <c r="Q106">
        <f>ROUND((Source!BZ82/100)*ROUND((Source!AF82*Source!AV82)*Source!I82, 2), 2)</f>
        <v>0</v>
      </c>
      <c r="R106">
        <f>Source!X82</f>
        <v>0</v>
      </c>
      <c r="S106">
        <f>ROUND((Source!CA82/100)*ROUND((Source!AF82*Source!AV82)*Source!I82, 2), 2)</f>
        <v>0</v>
      </c>
      <c r="T106">
        <f>Source!Y82</f>
        <v>0</v>
      </c>
      <c r="U106">
        <f>ROUND((175/100)*ROUND((Source!AE82*Source!AV82)*Source!I82, 2), 2)</f>
        <v>0</v>
      </c>
      <c r="V106">
        <f>ROUND((108/100)*ROUND(Source!CS82*Source!I82, 2), 2)</f>
        <v>0</v>
      </c>
    </row>
    <row r="107" spans="1:22" ht="14.25" x14ac:dyDescent="0.2">
      <c r="A107" s="19"/>
      <c r="B107" s="19"/>
      <c r="C107" s="19" t="s">
        <v>295</v>
      </c>
      <c r="D107" s="20" t="s">
        <v>296</v>
      </c>
      <c r="E107" s="8">
        <f>Source!AT75</f>
        <v>70</v>
      </c>
      <c r="F107" s="22"/>
      <c r="G107" s="21"/>
      <c r="H107" s="8"/>
      <c r="I107" s="8"/>
      <c r="J107" s="22">
        <f>SUM(R94:R106)</f>
        <v>1861.01</v>
      </c>
      <c r="K107" s="22"/>
    </row>
    <row r="108" spans="1:22" ht="14.25" x14ac:dyDescent="0.2">
      <c r="A108" s="19"/>
      <c r="B108" s="19"/>
      <c r="C108" s="19" t="s">
        <v>297</v>
      </c>
      <c r="D108" s="20" t="s">
        <v>296</v>
      </c>
      <c r="E108" s="8">
        <f>Source!AU75</f>
        <v>10</v>
      </c>
      <c r="F108" s="22"/>
      <c r="G108" s="21"/>
      <c r="H108" s="8"/>
      <c r="I108" s="8"/>
      <c r="J108" s="22">
        <f>SUM(T94:T107)</f>
        <v>265.86</v>
      </c>
      <c r="K108" s="22"/>
    </row>
    <row r="109" spans="1:22" ht="14.25" x14ac:dyDescent="0.2">
      <c r="A109" s="19"/>
      <c r="B109" s="19"/>
      <c r="C109" s="19" t="s">
        <v>302</v>
      </c>
      <c r="D109" s="20" t="s">
        <v>296</v>
      </c>
      <c r="E109" s="8">
        <f>108</f>
        <v>108</v>
      </c>
      <c r="F109" s="22"/>
      <c r="G109" s="21"/>
      <c r="H109" s="8"/>
      <c r="I109" s="8"/>
      <c r="J109" s="22">
        <f>SUM(V94:V108)</f>
        <v>0.1</v>
      </c>
      <c r="K109" s="22"/>
    </row>
    <row r="110" spans="1:22" ht="14.25" x14ac:dyDescent="0.2">
      <c r="A110" s="19"/>
      <c r="B110" s="19"/>
      <c r="C110" s="19" t="s">
        <v>298</v>
      </c>
      <c r="D110" s="20" t="s">
        <v>299</v>
      </c>
      <c r="E110" s="8">
        <f>Source!AQ75</f>
        <v>46.78</v>
      </c>
      <c r="F110" s="22"/>
      <c r="G110" s="21" t="str">
        <f>Source!DI75</f>
        <v/>
      </c>
      <c r="H110" s="8">
        <f>Source!AV75</f>
        <v>1</v>
      </c>
      <c r="I110" s="8"/>
      <c r="J110" s="22"/>
      <c r="K110" s="22">
        <f>Source!U75</f>
        <v>4.6779999999999999</v>
      </c>
    </row>
    <row r="111" spans="1:22" ht="15" x14ac:dyDescent="0.25">
      <c r="A111" s="26"/>
      <c r="B111" s="26"/>
      <c r="C111" s="26"/>
      <c r="D111" s="26"/>
      <c r="E111" s="26"/>
      <c r="F111" s="26"/>
      <c r="G111" s="26"/>
      <c r="H111" s="26"/>
      <c r="I111" s="57">
        <f>J96+J97+J99+J107+J108+J109+SUM(J100:J106)</f>
        <v>5827.5300000000007</v>
      </c>
      <c r="J111" s="57"/>
      <c r="K111" s="27">
        <f>IF(Source!I75&lt;&gt;0, ROUND(I111/Source!I75, 2), 0)</f>
        <v>58275.3</v>
      </c>
      <c r="P111" s="23">
        <f>I111</f>
        <v>5827.5300000000007</v>
      </c>
    </row>
    <row r="112" spans="1:22" ht="42.75" x14ac:dyDescent="0.2">
      <c r="A112" s="19">
        <v>10</v>
      </c>
      <c r="B112" s="19" t="str">
        <f>Source!F83</f>
        <v>1.21-3103-8-1/1</v>
      </c>
      <c r="C112" s="19" t="str">
        <f>Source!G83</f>
        <v>Прокладка проводов и кабелей в коробах, провод сечением до 6 мм2  (Кабель КПСнг(А)-FRLS 2х2х0,75)</v>
      </c>
      <c r="D112" s="20" t="str">
        <f>Source!H83</f>
        <v>100 м</v>
      </c>
      <c r="E112" s="8">
        <f>Source!I83</f>
        <v>0.15</v>
      </c>
      <c r="F112" s="22"/>
      <c r="G112" s="21"/>
      <c r="H112" s="8"/>
      <c r="I112" s="8"/>
      <c r="J112" s="22"/>
      <c r="K112" s="22"/>
      <c r="Q112">
        <f>ROUND((Source!BZ83/100)*ROUND((Source!AF83*Source!AV83)*Source!I83, 2), 2)</f>
        <v>227.3</v>
      </c>
      <c r="R112">
        <f>Source!X83</f>
        <v>227.3</v>
      </c>
      <c r="S112">
        <f>ROUND((Source!CA83/100)*ROUND((Source!AF83*Source!AV83)*Source!I83, 2), 2)</f>
        <v>32.47</v>
      </c>
      <c r="T112">
        <f>Source!Y83</f>
        <v>32.47</v>
      </c>
      <c r="U112">
        <f>ROUND((175/100)*ROUND((Source!AE83*Source!AV83)*Source!I83, 2), 2)</f>
        <v>0</v>
      </c>
      <c r="V112">
        <f>ROUND((108/100)*ROUND(Source!CS83*Source!I83, 2), 2)</f>
        <v>0</v>
      </c>
    </row>
    <row r="113" spans="1:22" x14ac:dyDescent="0.2">
      <c r="C113" s="31" t="str">
        <f>"Объем: "&amp;Source!I83&amp;"=15/"&amp;"100"</f>
        <v>Объем: 0,15=15/100</v>
      </c>
    </row>
    <row r="114" spans="1:22" ht="14.25" x14ac:dyDescent="0.2">
      <c r="A114" s="19"/>
      <c r="B114" s="19"/>
      <c r="C114" s="19" t="s">
        <v>294</v>
      </c>
      <c r="D114" s="20"/>
      <c r="E114" s="8"/>
      <c r="F114" s="22">
        <f>Source!AO83</f>
        <v>2164.7199999999998</v>
      </c>
      <c r="G114" s="21" t="str">
        <f>Source!DG83</f>
        <v/>
      </c>
      <c r="H114" s="8">
        <f>Source!AV83</f>
        <v>1</v>
      </c>
      <c r="I114" s="8">
        <f>IF(Source!BA83&lt;&gt; 0, Source!BA83, 1)</f>
        <v>1</v>
      </c>
      <c r="J114" s="22">
        <f>Source!S83</f>
        <v>324.70999999999998</v>
      </c>
      <c r="K114" s="22"/>
    </row>
    <row r="115" spans="1:22" ht="14.25" x14ac:dyDescent="0.2">
      <c r="A115" s="19"/>
      <c r="B115" s="19"/>
      <c r="C115" s="19" t="s">
        <v>293</v>
      </c>
      <c r="D115" s="20"/>
      <c r="E115" s="8"/>
      <c r="F115" s="22">
        <f>Source!AL83</f>
        <v>10685.41</v>
      </c>
      <c r="G115" s="21" t="str">
        <f>Source!DD83</f>
        <v/>
      </c>
      <c r="H115" s="8">
        <f>Source!AW83</f>
        <v>1</v>
      </c>
      <c r="I115" s="8">
        <f>IF(Source!BC83&lt;&gt; 0, Source!BC83, 1)</f>
        <v>1</v>
      </c>
      <c r="J115" s="22">
        <f>Source!P83</f>
        <v>1602.81</v>
      </c>
      <c r="K115" s="22"/>
    </row>
    <row r="116" spans="1:22" ht="57" x14ac:dyDescent="0.2">
      <c r="A116" s="19" t="s">
        <v>146</v>
      </c>
      <c r="B116" s="19" t="str">
        <f>Source!F84</f>
        <v>21.23-13-14</v>
      </c>
      <c r="C116" s="19" t="str">
        <f>Source!G84</f>
        <v>Провода силовые с медными жилами в поливинилхлоридной изоляции, марка ПуГВ, номинальное напряжение до 450 В, число жил и сечение 1х6 мм2</v>
      </c>
      <c r="D116" s="20" t="str">
        <f>Source!H84</f>
        <v>км</v>
      </c>
      <c r="E116" s="8">
        <f>Source!I84</f>
        <v>-1.545E-2</v>
      </c>
      <c r="F116" s="22">
        <f>Source!AK84</f>
        <v>99643.05</v>
      </c>
      <c r="G116" s="32" t="s">
        <v>3</v>
      </c>
      <c r="H116" s="8">
        <f>Source!AW84</f>
        <v>1</v>
      </c>
      <c r="I116" s="8">
        <f>IF(Source!BC84&lt;&gt; 0, Source!BC84, 1)</f>
        <v>1</v>
      </c>
      <c r="J116" s="22">
        <f>Source!O84</f>
        <v>-1539.49</v>
      </c>
      <c r="K116" s="22"/>
      <c r="Q116">
        <f>ROUND((Source!BZ84/100)*ROUND((Source!AF84*Source!AV84)*Source!I84, 2), 2)</f>
        <v>0</v>
      </c>
      <c r="R116">
        <f>Source!X84</f>
        <v>0</v>
      </c>
      <c r="S116">
        <f>ROUND((Source!CA84/100)*ROUND((Source!AF84*Source!AV84)*Source!I84, 2), 2)</f>
        <v>0</v>
      </c>
      <c r="T116">
        <f>Source!Y84</f>
        <v>0</v>
      </c>
      <c r="U116">
        <f>ROUND((175/100)*ROUND((Source!AE84*Source!AV84)*Source!I84, 2), 2)</f>
        <v>0</v>
      </c>
      <c r="V116">
        <f>ROUND((108/100)*ROUND(Source!CS84*Source!I84, 2), 2)</f>
        <v>0</v>
      </c>
    </row>
    <row r="117" spans="1:22" ht="14.25" x14ac:dyDescent="0.2">
      <c r="A117" s="19"/>
      <c r="B117" s="19"/>
      <c r="C117" s="19" t="s">
        <v>295</v>
      </c>
      <c r="D117" s="20" t="s">
        <v>296</v>
      </c>
      <c r="E117" s="8">
        <f>Source!AT83</f>
        <v>70</v>
      </c>
      <c r="F117" s="22"/>
      <c r="G117" s="21"/>
      <c r="H117" s="8"/>
      <c r="I117" s="8"/>
      <c r="J117" s="22">
        <f>SUM(R112:R116)</f>
        <v>227.3</v>
      </c>
      <c r="K117" s="22"/>
    </row>
    <row r="118" spans="1:22" ht="14.25" x14ac:dyDescent="0.2">
      <c r="A118" s="19"/>
      <c r="B118" s="19"/>
      <c r="C118" s="19" t="s">
        <v>297</v>
      </c>
      <c r="D118" s="20" t="s">
        <v>296</v>
      </c>
      <c r="E118" s="8">
        <f>Source!AU83</f>
        <v>10</v>
      </c>
      <c r="F118" s="22"/>
      <c r="G118" s="21"/>
      <c r="H118" s="8"/>
      <c r="I118" s="8"/>
      <c r="J118" s="22">
        <f>SUM(T112:T117)</f>
        <v>32.47</v>
      </c>
      <c r="K118" s="22"/>
    </row>
    <row r="119" spans="1:22" ht="14.25" x14ac:dyDescent="0.2">
      <c r="A119" s="19"/>
      <c r="B119" s="19"/>
      <c r="C119" s="19" t="s">
        <v>298</v>
      </c>
      <c r="D119" s="20" t="s">
        <v>299</v>
      </c>
      <c r="E119" s="8">
        <f>Source!AQ83</f>
        <v>3.55</v>
      </c>
      <c r="F119" s="22"/>
      <c r="G119" s="21" t="str">
        <f>Source!DI83</f>
        <v/>
      </c>
      <c r="H119" s="8">
        <f>Source!AV83</f>
        <v>1</v>
      </c>
      <c r="I119" s="8"/>
      <c r="J119" s="22"/>
      <c r="K119" s="22">
        <f>Source!U83</f>
        <v>0.53249999999999997</v>
      </c>
    </row>
    <row r="120" spans="1:22" ht="15" x14ac:dyDescent="0.25">
      <c r="A120" s="26"/>
      <c r="B120" s="26"/>
      <c r="C120" s="26"/>
      <c r="D120" s="26"/>
      <c r="E120" s="26"/>
      <c r="F120" s="26"/>
      <c r="G120" s="26"/>
      <c r="H120" s="26"/>
      <c r="I120" s="57">
        <f>J114+J115+J117+J118+SUM(J116:J116)</f>
        <v>647.79999999999995</v>
      </c>
      <c r="J120" s="57"/>
      <c r="K120" s="27">
        <f>IF(Source!I83&lt;&gt;0, ROUND(I120/Source!I83, 2), 0)</f>
        <v>4318.67</v>
      </c>
      <c r="P120" s="23">
        <f>I120</f>
        <v>647.79999999999995</v>
      </c>
    </row>
    <row r="121" spans="1:22" ht="114" x14ac:dyDescent="0.2">
      <c r="A121" s="19">
        <v>11</v>
      </c>
      <c r="B121" s="19" t="str">
        <f>Source!F85</f>
        <v>1.21-3103-32-2/1</v>
      </c>
      <c r="C121" s="19" t="str">
        <f>Source!G85</f>
        <v>Прокладка труб гофрированных поливинилхлоридных, прокладываемых в труднодоступных местах с усиленным креплением накладными скобами и установкой соединительных коробок, по железобетонным стенам и потолкам, диаметром до 27 мм</v>
      </c>
      <c r="D121" s="20" t="str">
        <f>Source!H85</f>
        <v>100 м</v>
      </c>
      <c r="E121" s="8">
        <f>Source!I85</f>
        <v>0.4</v>
      </c>
      <c r="F121" s="22"/>
      <c r="G121" s="21"/>
      <c r="H121" s="8"/>
      <c r="I121" s="8"/>
      <c r="J121" s="22"/>
      <c r="K121" s="22"/>
      <c r="Q121">
        <f>ROUND((Source!BZ85/100)*ROUND((Source!AF85*Source!AV85)*Source!I85, 2), 2)</f>
        <v>8460.83</v>
      </c>
      <c r="R121">
        <f>Source!X85</f>
        <v>8460.83</v>
      </c>
      <c r="S121">
        <f>ROUND((Source!CA85/100)*ROUND((Source!AF85*Source!AV85)*Source!I85, 2), 2)</f>
        <v>1208.69</v>
      </c>
      <c r="T121">
        <f>Source!Y85</f>
        <v>1208.69</v>
      </c>
      <c r="U121">
        <f>ROUND((175/100)*ROUND((Source!AE85*Source!AV85)*Source!I85, 2), 2)</f>
        <v>1.19</v>
      </c>
      <c r="V121">
        <f>ROUND((108/100)*ROUND(Source!CS85*Source!I85, 2), 2)</f>
        <v>0.73</v>
      </c>
    </row>
    <row r="122" spans="1:22" x14ac:dyDescent="0.2">
      <c r="C122" s="31" t="str">
        <f>"Объем: "&amp;Source!I85&amp;"=40/"&amp;"100"</f>
        <v>Объем: 0,4=40/100</v>
      </c>
    </row>
    <row r="123" spans="1:22" ht="14.25" x14ac:dyDescent="0.2">
      <c r="A123" s="19"/>
      <c r="B123" s="19"/>
      <c r="C123" s="19" t="s">
        <v>294</v>
      </c>
      <c r="D123" s="20"/>
      <c r="E123" s="8"/>
      <c r="F123" s="22">
        <f>Source!AO85</f>
        <v>30217.24</v>
      </c>
      <c r="G123" s="21" t="str">
        <f>Source!DG85</f>
        <v/>
      </c>
      <c r="H123" s="8">
        <f>Source!AV85</f>
        <v>1</v>
      </c>
      <c r="I123" s="8">
        <f>IF(Source!BA85&lt;&gt; 0, Source!BA85, 1)</f>
        <v>1</v>
      </c>
      <c r="J123" s="22">
        <f>Source!S85</f>
        <v>12086.9</v>
      </c>
      <c r="K123" s="22"/>
    </row>
    <row r="124" spans="1:22" ht="14.25" x14ac:dyDescent="0.2">
      <c r="A124" s="19"/>
      <c r="B124" s="19"/>
      <c r="C124" s="19" t="s">
        <v>300</v>
      </c>
      <c r="D124" s="20"/>
      <c r="E124" s="8"/>
      <c r="F124" s="22">
        <f>Source!AM85</f>
        <v>123.94</v>
      </c>
      <c r="G124" s="21" t="str">
        <f>Source!DE85</f>
        <v/>
      </c>
      <c r="H124" s="8">
        <f>Source!AV85</f>
        <v>1</v>
      </c>
      <c r="I124" s="8">
        <f>IF(Source!BB85&lt;&gt; 0, Source!BB85, 1)</f>
        <v>1</v>
      </c>
      <c r="J124" s="22">
        <f>Source!Q85</f>
        <v>49.58</v>
      </c>
      <c r="K124" s="22"/>
    </row>
    <row r="125" spans="1:22" ht="14.25" x14ac:dyDescent="0.2">
      <c r="A125" s="19"/>
      <c r="B125" s="19"/>
      <c r="C125" s="19" t="s">
        <v>301</v>
      </c>
      <c r="D125" s="20"/>
      <c r="E125" s="8"/>
      <c r="F125" s="22">
        <f>Source!AN85</f>
        <v>1.69</v>
      </c>
      <c r="G125" s="21" t="str">
        <f>Source!DF85</f>
        <v/>
      </c>
      <c r="H125" s="8">
        <f>Source!AV85</f>
        <v>1</v>
      </c>
      <c r="I125" s="8">
        <f>IF(Source!BS85&lt;&gt; 0, Source!BS85, 1)</f>
        <v>1</v>
      </c>
      <c r="J125" s="30">
        <f>Source!R85</f>
        <v>0.68</v>
      </c>
      <c r="K125" s="22"/>
    </row>
    <row r="126" spans="1:22" ht="14.25" x14ac:dyDescent="0.2">
      <c r="A126" s="19"/>
      <c r="B126" s="19"/>
      <c r="C126" s="19" t="s">
        <v>293</v>
      </c>
      <c r="D126" s="20"/>
      <c r="E126" s="8"/>
      <c r="F126" s="22">
        <f>Source!AL85</f>
        <v>10071.35</v>
      </c>
      <c r="G126" s="21" t="str">
        <f>Source!DD85</f>
        <v/>
      </c>
      <c r="H126" s="8">
        <f>Source!AW85</f>
        <v>1</v>
      </c>
      <c r="I126" s="8">
        <f>IF(Source!BC85&lt;&gt; 0, Source!BC85, 1)</f>
        <v>1</v>
      </c>
      <c r="J126" s="22">
        <f>Source!P85</f>
        <v>4028.54</v>
      </c>
      <c r="K126" s="22"/>
    </row>
    <row r="127" spans="1:22" ht="57" x14ac:dyDescent="0.2">
      <c r="A127" s="19" t="s">
        <v>155</v>
      </c>
      <c r="B127" s="19" t="str">
        <f>Source!F86</f>
        <v>21.12-5-137</v>
      </c>
      <c r="C127" s="19" t="str">
        <f>Source!G86</f>
        <v>Трубы электротехнические гофрированные, поливинилхлоридные, негорючие, с зондом, наружный диаметр 25 мм</v>
      </c>
      <c r="D127" s="20" t="str">
        <f>Source!H86</f>
        <v>м</v>
      </c>
      <c r="E127" s="8">
        <f>Source!I86</f>
        <v>-40.799999999999997</v>
      </c>
      <c r="F127" s="22">
        <f>Source!AK86</f>
        <v>33.31</v>
      </c>
      <c r="G127" s="32" t="s">
        <v>3</v>
      </c>
      <c r="H127" s="8">
        <f>Source!AW86</f>
        <v>1</v>
      </c>
      <c r="I127" s="8">
        <f>IF(Source!BC86&lt;&gt; 0, Source!BC86, 1)</f>
        <v>1</v>
      </c>
      <c r="J127" s="22">
        <f>Source!O86</f>
        <v>-1359.05</v>
      </c>
      <c r="K127" s="22"/>
      <c r="Q127">
        <f>ROUND((Source!BZ86/100)*ROUND((Source!AF86*Source!AV86)*Source!I86, 2), 2)</f>
        <v>0</v>
      </c>
      <c r="R127">
        <f>Source!X86</f>
        <v>0</v>
      </c>
      <c r="S127">
        <f>ROUND((Source!CA86/100)*ROUND((Source!AF86*Source!AV86)*Source!I86, 2), 2)</f>
        <v>0</v>
      </c>
      <c r="T127">
        <f>Source!Y86</f>
        <v>0</v>
      </c>
      <c r="U127">
        <f>ROUND((175/100)*ROUND((Source!AE86*Source!AV86)*Source!I86, 2), 2)</f>
        <v>0</v>
      </c>
      <c r="V127">
        <f>ROUND((108/100)*ROUND(Source!CS86*Source!I86, 2), 2)</f>
        <v>0</v>
      </c>
    </row>
    <row r="128" spans="1:22" ht="14.25" x14ac:dyDescent="0.2">
      <c r="A128" s="19"/>
      <c r="B128" s="19"/>
      <c r="C128" s="19" t="s">
        <v>295</v>
      </c>
      <c r="D128" s="20" t="s">
        <v>296</v>
      </c>
      <c r="E128" s="8">
        <f>Source!AT85</f>
        <v>70</v>
      </c>
      <c r="F128" s="22"/>
      <c r="G128" s="21"/>
      <c r="H128" s="8"/>
      <c r="I128" s="8"/>
      <c r="J128" s="22">
        <f>SUM(R121:R127)</f>
        <v>8460.83</v>
      </c>
      <c r="K128" s="22"/>
    </row>
    <row r="129" spans="1:22" ht="14.25" x14ac:dyDescent="0.2">
      <c r="A129" s="19"/>
      <c r="B129" s="19"/>
      <c r="C129" s="19" t="s">
        <v>297</v>
      </c>
      <c r="D129" s="20" t="s">
        <v>296</v>
      </c>
      <c r="E129" s="8">
        <f>Source!AU85</f>
        <v>10</v>
      </c>
      <c r="F129" s="22"/>
      <c r="G129" s="21"/>
      <c r="H129" s="8"/>
      <c r="I129" s="8"/>
      <c r="J129" s="22">
        <f>SUM(T121:T128)</f>
        <v>1208.69</v>
      </c>
      <c r="K129" s="22"/>
    </row>
    <row r="130" spans="1:22" ht="14.25" x14ac:dyDescent="0.2">
      <c r="A130" s="19"/>
      <c r="B130" s="19"/>
      <c r="C130" s="19" t="s">
        <v>302</v>
      </c>
      <c r="D130" s="20" t="s">
        <v>296</v>
      </c>
      <c r="E130" s="8">
        <f>108</f>
        <v>108</v>
      </c>
      <c r="F130" s="22"/>
      <c r="G130" s="21"/>
      <c r="H130" s="8"/>
      <c r="I130" s="8"/>
      <c r="J130" s="22">
        <f>SUM(V121:V129)</f>
        <v>0.73</v>
      </c>
      <c r="K130" s="22"/>
    </row>
    <row r="131" spans="1:22" ht="14.25" x14ac:dyDescent="0.2">
      <c r="A131" s="19"/>
      <c r="B131" s="19"/>
      <c r="C131" s="19" t="s">
        <v>298</v>
      </c>
      <c r="D131" s="20" t="s">
        <v>299</v>
      </c>
      <c r="E131" s="8">
        <f>Source!AQ85</f>
        <v>44.46</v>
      </c>
      <c r="F131" s="22"/>
      <c r="G131" s="21" t="str">
        <f>Source!DI85</f>
        <v/>
      </c>
      <c r="H131" s="8">
        <f>Source!AV85</f>
        <v>1</v>
      </c>
      <c r="I131" s="8"/>
      <c r="J131" s="22"/>
      <c r="K131" s="22">
        <f>Source!U85</f>
        <v>17.784000000000002</v>
      </c>
    </row>
    <row r="132" spans="1:22" ht="15" x14ac:dyDescent="0.25">
      <c r="A132" s="26"/>
      <c r="B132" s="26"/>
      <c r="C132" s="26"/>
      <c r="D132" s="26"/>
      <c r="E132" s="26"/>
      <c r="F132" s="26"/>
      <c r="G132" s="26"/>
      <c r="H132" s="26"/>
      <c r="I132" s="57">
        <f>J123+J124+J126+J128+J129+J130+SUM(J127:J127)</f>
        <v>24476.219999999998</v>
      </c>
      <c r="J132" s="57"/>
      <c r="K132" s="27">
        <f>IF(Source!I85&lt;&gt;0, ROUND(I132/Source!I85, 2), 0)</f>
        <v>61190.55</v>
      </c>
      <c r="P132" s="23">
        <f>I132</f>
        <v>24476.219999999998</v>
      </c>
    </row>
    <row r="133" spans="1:22" ht="99.75" x14ac:dyDescent="0.2">
      <c r="A133" s="19">
        <v>12</v>
      </c>
      <c r="B133" s="19" t="str">
        <f>Source!F87</f>
        <v>1.21-3103-21-1/1</v>
      </c>
      <c r="C133" s="19" t="str">
        <f>Source!G87</f>
        <v>Затягивание проводов и кабелей в проложенные трубы и металлические рукава, провод первый одножильный или многожильный в общей оплетке, суммарное сечение до 2,5 мм2 (без стоимости материалов)  (Кабель КПСнг(А)-FRLS 1х2х0,75)</v>
      </c>
      <c r="D133" s="20" t="str">
        <f>Source!H87</f>
        <v>100 м</v>
      </c>
      <c r="E133" s="8">
        <f>Source!I87</f>
        <v>0.2</v>
      </c>
      <c r="F133" s="22"/>
      <c r="G133" s="21"/>
      <c r="H133" s="8"/>
      <c r="I133" s="8"/>
      <c r="J133" s="22"/>
      <c r="K133" s="22"/>
      <c r="Q133">
        <f>ROUND((Source!BZ87/100)*ROUND((Source!AF87*Source!AV87)*Source!I87, 2), 2)</f>
        <v>505.39</v>
      </c>
      <c r="R133">
        <f>Source!X87</f>
        <v>505.39</v>
      </c>
      <c r="S133">
        <f>ROUND((Source!CA87/100)*ROUND((Source!AF87*Source!AV87)*Source!I87, 2), 2)</f>
        <v>72.2</v>
      </c>
      <c r="T133">
        <f>Source!Y87</f>
        <v>72.2</v>
      </c>
      <c r="U133">
        <f>ROUND((175/100)*ROUND((Source!AE87*Source!AV87)*Source!I87, 2), 2)</f>
        <v>0</v>
      </c>
      <c r="V133">
        <f>ROUND((108/100)*ROUND(Source!CS87*Source!I87, 2), 2)</f>
        <v>0</v>
      </c>
    </row>
    <row r="134" spans="1:22" x14ac:dyDescent="0.2">
      <c r="C134" s="31" t="str">
        <f>"Объем: "&amp;Source!I87&amp;"=20/"&amp;"100"</f>
        <v>Объем: 0,2=20/100</v>
      </c>
    </row>
    <row r="135" spans="1:22" ht="14.25" x14ac:dyDescent="0.2">
      <c r="A135" s="19"/>
      <c r="B135" s="19"/>
      <c r="C135" s="19" t="s">
        <v>294</v>
      </c>
      <c r="D135" s="20"/>
      <c r="E135" s="8"/>
      <c r="F135" s="22">
        <f>Source!AO87</f>
        <v>3609.9</v>
      </c>
      <c r="G135" s="21" t="str">
        <f>Source!DG87</f>
        <v/>
      </c>
      <c r="H135" s="8">
        <f>Source!AV87</f>
        <v>1</v>
      </c>
      <c r="I135" s="8">
        <f>IF(Source!BA87&lt;&gt; 0, Source!BA87, 1)</f>
        <v>1</v>
      </c>
      <c r="J135" s="22">
        <f>Source!S87</f>
        <v>721.98</v>
      </c>
      <c r="K135" s="22"/>
    </row>
    <row r="136" spans="1:22" ht="14.25" x14ac:dyDescent="0.2">
      <c r="A136" s="19"/>
      <c r="B136" s="19"/>
      <c r="C136" s="19" t="s">
        <v>295</v>
      </c>
      <c r="D136" s="20" t="s">
        <v>296</v>
      </c>
      <c r="E136" s="8">
        <f>Source!AT87</f>
        <v>70</v>
      </c>
      <c r="F136" s="22"/>
      <c r="G136" s="21"/>
      <c r="H136" s="8"/>
      <c r="I136" s="8"/>
      <c r="J136" s="22">
        <f>SUM(R133:R135)</f>
        <v>505.39</v>
      </c>
      <c r="K136" s="22"/>
    </row>
    <row r="137" spans="1:22" ht="14.25" x14ac:dyDescent="0.2">
      <c r="A137" s="19"/>
      <c r="B137" s="19"/>
      <c r="C137" s="19" t="s">
        <v>297</v>
      </c>
      <c r="D137" s="20" t="s">
        <v>296</v>
      </c>
      <c r="E137" s="8">
        <f>Source!AU87</f>
        <v>10</v>
      </c>
      <c r="F137" s="22"/>
      <c r="G137" s="21"/>
      <c r="H137" s="8"/>
      <c r="I137" s="8"/>
      <c r="J137" s="22">
        <f>SUM(T133:T136)</f>
        <v>72.2</v>
      </c>
      <c r="K137" s="22"/>
    </row>
    <row r="138" spans="1:22" ht="14.25" x14ac:dyDescent="0.2">
      <c r="A138" s="19"/>
      <c r="B138" s="19"/>
      <c r="C138" s="19" t="s">
        <v>298</v>
      </c>
      <c r="D138" s="20" t="s">
        <v>299</v>
      </c>
      <c r="E138" s="8">
        <f>Source!AQ87</f>
        <v>5.92</v>
      </c>
      <c r="F138" s="22"/>
      <c r="G138" s="21" t="str">
        <f>Source!DI87</f>
        <v/>
      </c>
      <c r="H138" s="8">
        <f>Source!AV87</f>
        <v>1</v>
      </c>
      <c r="I138" s="8"/>
      <c r="J138" s="22"/>
      <c r="K138" s="22">
        <f>Source!U87</f>
        <v>1.1839999999999999</v>
      </c>
    </row>
    <row r="139" spans="1:22" ht="15" x14ac:dyDescent="0.25">
      <c r="A139" s="26"/>
      <c r="B139" s="26"/>
      <c r="C139" s="26"/>
      <c r="D139" s="26"/>
      <c r="E139" s="26"/>
      <c r="F139" s="26"/>
      <c r="G139" s="26"/>
      <c r="H139" s="26"/>
      <c r="I139" s="57">
        <f>J135+J136+J137</f>
        <v>1299.57</v>
      </c>
      <c r="J139" s="57"/>
      <c r="K139" s="27">
        <f>IF(Source!I87&lt;&gt;0, ROUND(I139/Source!I87, 2), 0)</f>
        <v>6497.85</v>
      </c>
      <c r="P139" s="23">
        <f>I139</f>
        <v>1299.57</v>
      </c>
    </row>
    <row r="140" spans="1:22" ht="99.75" x14ac:dyDescent="0.2">
      <c r="A140" s="19">
        <v>13</v>
      </c>
      <c r="B140" s="19" t="str">
        <f>Source!F88</f>
        <v>1.21-3103-21-2/1</v>
      </c>
      <c r="C140" s="19" t="str">
        <f>Source!G88</f>
        <v>Затягивание проводов и кабелей в проложенные трубы и металлические рукава, провод первый одножильный или многожильный в общей оплетке, суммарное сечение до 6 мм2 (без стоимости материалов)  (Кабель КПСнг(А)-FRLS 1х2х1.5)</v>
      </c>
      <c r="D140" s="20" t="str">
        <f>Source!H88</f>
        <v>100 м</v>
      </c>
      <c r="E140" s="8">
        <f>Source!I88</f>
        <v>0.2</v>
      </c>
      <c r="F140" s="22"/>
      <c r="G140" s="21"/>
      <c r="H140" s="8"/>
      <c r="I140" s="8"/>
      <c r="J140" s="22"/>
      <c r="K140" s="22"/>
      <c r="Q140">
        <f>ROUND((Source!BZ88/100)*ROUND((Source!AF88*Source!AV88)*Source!I88, 2), 2)</f>
        <v>606.98</v>
      </c>
      <c r="R140">
        <f>Source!X88</f>
        <v>606.98</v>
      </c>
      <c r="S140">
        <f>ROUND((Source!CA88/100)*ROUND((Source!AF88*Source!AV88)*Source!I88, 2), 2)</f>
        <v>86.71</v>
      </c>
      <c r="T140">
        <f>Source!Y88</f>
        <v>86.71</v>
      </c>
      <c r="U140">
        <f>ROUND((175/100)*ROUND((Source!AE88*Source!AV88)*Source!I88, 2), 2)</f>
        <v>0</v>
      </c>
      <c r="V140">
        <f>ROUND((108/100)*ROUND(Source!CS88*Source!I88, 2), 2)</f>
        <v>0</v>
      </c>
    </row>
    <row r="141" spans="1:22" x14ac:dyDescent="0.2">
      <c r="C141" s="31" t="str">
        <f>"Объем: "&amp;Source!I88&amp;"=20/"&amp;"100"</f>
        <v>Объем: 0,2=20/100</v>
      </c>
    </row>
    <row r="142" spans="1:22" ht="14.25" x14ac:dyDescent="0.2">
      <c r="A142" s="19"/>
      <c r="B142" s="19"/>
      <c r="C142" s="19" t="s">
        <v>294</v>
      </c>
      <c r="D142" s="20"/>
      <c r="E142" s="8"/>
      <c r="F142" s="22">
        <f>Source!AO88</f>
        <v>4335.54</v>
      </c>
      <c r="G142" s="21" t="str">
        <f>Source!DG88</f>
        <v/>
      </c>
      <c r="H142" s="8">
        <f>Source!AV88</f>
        <v>1</v>
      </c>
      <c r="I142" s="8">
        <f>IF(Source!BA88&lt;&gt; 0, Source!BA88, 1)</f>
        <v>1</v>
      </c>
      <c r="J142" s="22">
        <f>Source!S88</f>
        <v>867.11</v>
      </c>
      <c r="K142" s="22"/>
    </row>
    <row r="143" spans="1:22" ht="14.25" x14ac:dyDescent="0.2">
      <c r="A143" s="19"/>
      <c r="B143" s="19"/>
      <c r="C143" s="19" t="s">
        <v>295</v>
      </c>
      <c r="D143" s="20" t="s">
        <v>296</v>
      </c>
      <c r="E143" s="8">
        <f>Source!AT88</f>
        <v>70</v>
      </c>
      <c r="F143" s="22"/>
      <c r="G143" s="21"/>
      <c r="H143" s="8"/>
      <c r="I143" s="8"/>
      <c r="J143" s="22">
        <f>SUM(R140:R142)</f>
        <v>606.98</v>
      </c>
      <c r="K143" s="22"/>
    </row>
    <row r="144" spans="1:22" ht="14.25" x14ac:dyDescent="0.2">
      <c r="A144" s="19"/>
      <c r="B144" s="19"/>
      <c r="C144" s="19" t="s">
        <v>297</v>
      </c>
      <c r="D144" s="20" t="s">
        <v>296</v>
      </c>
      <c r="E144" s="8">
        <f>Source!AU88</f>
        <v>10</v>
      </c>
      <c r="F144" s="22"/>
      <c r="G144" s="21"/>
      <c r="H144" s="8"/>
      <c r="I144" s="8"/>
      <c r="J144" s="22">
        <f>SUM(T140:T143)</f>
        <v>86.71</v>
      </c>
      <c r="K144" s="22"/>
    </row>
    <row r="145" spans="1:22" ht="14.25" x14ac:dyDescent="0.2">
      <c r="A145" s="19"/>
      <c r="B145" s="19"/>
      <c r="C145" s="19" t="s">
        <v>298</v>
      </c>
      <c r="D145" s="20" t="s">
        <v>299</v>
      </c>
      <c r="E145" s="8">
        <f>Source!AQ88</f>
        <v>7.11</v>
      </c>
      <c r="F145" s="22"/>
      <c r="G145" s="21" t="str">
        <f>Source!DI88</f>
        <v/>
      </c>
      <c r="H145" s="8">
        <f>Source!AV88</f>
        <v>1</v>
      </c>
      <c r="I145" s="8"/>
      <c r="J145" s="22"/>
      <c r="K145" s="22">
        <f>Source!U88</f>
        <v>1.4220000000000002</v>
      </c>
    </row>
    <row r="146" spans="1:22" ht="15" x14ac:dyDescent="0.25">
      <c r="A146" s="26"/>
      <c r="B146" s="26"/>
      <c r="C146" s="26"/>
      <c r="D146" s="26"/>
      <c r="E146" s="26"/>
      <c r="F146" s="26"/>
      <c r="G146" s="26"/>
      <c r="H146" s="26"/>
      <c r="I146" s="57">
        <f>J142+J143+J144</f>
        <v>1560.8000000000002</v>
      </c>
      <c r="J146" s="57"/>
      <c r="K146" s="27">
        <f>IF(Source!I88&lt;&gt;0, ROUND(I146/Source!I88, 2), 0)</f>
        <v>7804</v>
      </c>
      <c r="P146" s="23">
        <f>I146</f>
        <v>1560.8000000000002</v>
      </c>
    </row>
    <row r="147" spans="1:22" ht="57" x14ac:dyDescent="0.2">
      <c r="A147" s="19">
        <v>14</v>
      </c>
      <c r="B147" s="19" t="str">
        <f>Source!F89</f>
        <v>2.8-3103-38-17/1</v>
      </c>
      <c r="C147" s="19" t="str">
        <f>Source!G89</f>
        <v>Настройка синхронных цифровых систем передачи, настройка системы контроля и управления, контрольные и приемо-сдаточные испытания</v>
      </c>
      <c r="D147" s="20" t="str">
        <f>Source!H89</f>
        <v>объект</v>
      </c>
      <c r="E147" s="8">
        <f>Source!I89</f>
        <v>1</v>
      </c>
      <c r="F147" s="22"/>
      <c r="G147" s="21"/>
      <c r="H147" s="8"/>
      <c r="I147" s="8"/>
      <c r="J147" s="22"/>
      <c r="K147" s="22"/>
      <c r="Q147">
        <f>ROUND((Source!BZ89/100)*ROUND((Source!AF89*Source!AV89)*Source!I89, 2), 2)</f>
        <v>117591.89</v>
      </c>
      <c r="R147">
        <f>Source!X89</f>
        <v>117591.89</v>
      </c>
      <c r="S147">
        <f>ROUND((Source!CA89/100)*ROUND((Source!AF89*Source!AV89)*Source!I89, 2), 2)</f>
        <v>16798.84</v>
      </c>
      <c r="T147">
        <f>Source!Y89</f>
        <v>16798.84</v>
      </c>
      <c r="U147">
        <f>ROUND((175/100)*ROUND((Source!AE89*Source!AV89)*Source!I89, 2), 2)</f>
        <v>41352.5</v>
      </c>
      <c r="V147">
        <f>ROUND((108/100)*ROUND(Source!CS89*Source!I89, 2), 2)</f>
        <v>25520.400000000001</v>
      </c>
    </row>
    <row r="148" spans="1:22" ht="14.25" x14ac:dyDescent="0.2">
      <c r="A148" s="19"/>
      <c r="B148" s="19"/>
      <c r="C148" s="19" t="s">
        <v>294</v>
      </c>
      <c r="D148" s="20"/>
      <c r="E148" s="8"/>
      <c r="F148" s="22">
        <f>Source!AO89</f>
        <v>167988.41</v>
      </c>
      <c r="G148" s="21" t="str">
        <f>Source!DG89</f>
        <v/>
      </c>
      <c r="H148" s="8">
        <f>Source!AV89</f>
        <v>1</v>
      </c>
      <c r="I148" s="8">
        <f>IF(Source!BA89&lt;&gt; 0, Source!BA89, 1)</f>
        <v>1</v>
      </c>
      <c r="J148" s="22">
        <f>Source!S89</f>
        <v>167988.41</v>
      </c>
      <c r="K148" s="22"/>
    </row>
    <row r="149" spans="1:22" ht="14.25" x14ac:dyDescent="0.2">
      <c r="A149" s="19"/>
      <c r="B149" s="19"/>
      <c r="C149" s="19" t="s">
        <v>300</v>
      </c>
      <c r="D149" s="20"/>
      <c r="E149" s="8"/>
      <c r="F149" s="22">
        <f>Source!AM89</f>
        <v>47744.52</v>
      </c>
      <c r="G149" s="21" t="str">
        <f>Source!DE89</f>
        <v/>
      </c>
      <c r="H149" s="8">
        <f>Source!AV89</f>
        <v>1</v>
      </c>
      <c r="I149" s="8">
        <f>IF(Source!BB89&lt;&gt; 0, Source!BB89, 1)</f>
        <v>1</v>
      </c>
      <c r="J149" s="22">
        <f>Source!Q89</f>
        <v>47744.52</v>
      </c>
      <c r="K149" s="22"/>
    </row>
    <row r="150" spans="1:22" ht="14.25" x14ac:dyDescent="0.2">
      <c r="A150" s="19"/>
      <c r="B150" s="19"/>
      <c r="C150" s="19" t="s">
        <v>301</v>
      </c>
      <c r="D150" s="20"/>
      <c r="E150" s="8"/>
      <c r="F150" s="22">
        <f>Source!AN89</f>
        <v>23630</v>
      </c>
      <c r="G150" s="21" t="str">
        <f>Source!DF89</f>
        <v/>
      </c>
      <c r="H150" s="8">
        <f>Source!AV89</f>
        <v>1</v>
      </c>
      <c r="I150" s="8">
        <f>IF(Source!BS89&lt;&gt; 0, Source!BS89, 1)</f>
        <v>1</v>
      </c>
      <c r="J150" s="30">
        <f>Source!R89</f>
        <v>23630</v>
      </c>
      <c r="K150" s="22"/>
    </row>
    <row r="151" spans="1:22" ht="14.25" x14ac:dyDescent="0.2">
      <c r="A151" s="19"/>
      <c r="B151" s="19"/>
      <c r="C151" s="19" t="s">
        <v>295</v>
      </c>
      <c r="D151" s="20" t="s">
        <v>296</v>
      </c>
      <c r="E151" s="8">
        <f>Source!AT89</f>
        <v>70</v>
      </c>
      <c r="F151" s="22"/>
      <c r="G151" s="21"/>
      <c r="H151" s="8"/>
      <c r="I151" s="8"/>
      <c r="J151" s="22">
        <f>SUM(R147:R150)</f>
        <v>117591.89</v>
      </c>
      <c r="K151" s="22"/>
    </row>
    <row r="152" spans="1:22" ht="14.25" x14ac:dyDescent="0.2">
      <c r="A152" s="19"/>
      <c r="B152" s="19"/>
      <c r="C152" s="19" t="s">
        <v>297</v>
      </c>
      <c r="D152" s="20" t="s">
        <v>296</v>
      </c>
      <c r="E152" s="8">
        <f>Source!AU89</f>
        <v>10</v>
      </c>
      <c r="F152" s="22"/>
      <c r="G152" s="21"/>
      <c r="H152" s="8"/>
      <c r="I152" s="8"/>
      <c r="J152" s="22">
        <f>SUM(T147:T151)</f>
        <v>16798.84</v>
      </c>
      <c r="K152" s="22"/>
    </row>
    <row r="153" spans="1:22" ht="14.25" x14ac:dyDescent="0.2">
      <c r="A153" s="19"/>
      <c r="B153" s="19"/>
      <c r="C153" s="19" t="s">
        <v>302</v>
      </c>
      <c r="D153" s="20" t="s">
        <v>296</v>
      </c>
      <c r="E153" s="8">
        <f>108</f>
        <v>108</v>
      </c>
      <c r="F153" s="22"/>
      <c r="G153" s="21"/>
      <c r="H153" s="8"/>
      <c r="I153" s="8"/>
      <c r="J153" s="22">
        <f>SUM(V147:V152)</f>
        <v>25520.400000000001</v>
      </c>
      <c r="K153" s="22"/>
    </row>
    <row r="154" spans="1:22" ht="14.25" x14ac:dyDescent="0.2">
      <c r="A154" s="19"/>
      <c r="B154" s="19"/>
      <c r="C154" s="19" t="s">
        <v>298</v>
      </c>
      <c r="D154" s="20" t="s">
        <v>299</v>
      </c>
      <c r="E154" s="8">
        <f>Source!AQ89</f>
        <v>173.2</v>
      </c>
      <c r="F154" s="22"/>
      <c r="G154" s="21" t="str">
        <f>Source!DI89</f>
        <v/>
      </c>
      <c r="H154" s="8">
        <f>Source!AV89</f>
        <v>1</v>
      </c>
      <c r="I154" s="8"/>
      <c r="J154" s="22"/>
      <c r="K154" s="22">
        <f>Source!U89</f>
        <v>173.2</v>
      </c>
    </row>
    <row r="155" spans="1:22" ht="15" x14ac:dyDescent="0.25">
      <c r="A155" s="26"/>
      <c r="B155" s="26"/>
      <c r="C155" s="26"/>
      <c r="D155" s="26"/>
      <c r="E155" s="26"/>
      <c r="F155" s="26"/>
      <c r="G155" s="26"/>
      <c r="H155" s="26"/>
      <c r="I155" s="57">
        <f>J148+J149+J151+J152+J153</f>
        <v>375644.06000000006</v>
      </c>
      <c r="J155" s="57"/>
      <c r="K155" s="27">
        <f>IF(Source!I89&lt;&gt;0, ROUND(I155/Source!I89, 2), 0)</f>
        <v>375644.06</v>
      </c>
      <c r="P155" s="23">
        <f>I155</f>
        <v>375644.06000000006</v>
      </c>
    </row>
    <row r="156" spans="1:22" ht="71.25" x14ac:dyDescent="0.2">
      <c r="A156" s="19">
        <v>15</v>
      </c>
      <c r="B156" s="19" t="str">
        <f>Source!F90</f>
        <v>2.8-3103-38-15/1</v>
      </c>
      <c r="C156" s="19" t="str">
        <f>Source!G90</f>
        <v>Настройка синхронных цифровых систем передачи, настройка системы контроля и управления, конфигурация и настройка сетевых компонентов (мост, маршрутизатор, модем и т.п.)</v>
      </c>
      <c r="D156" s="20" t="str">
        <f>Source!H90</f>
        <v>шт.</v>
      </c>
      <c r="E156" s="8">
        <f>Source!I90</f>
        <v>4</v>
      </c>
      <c r="F156" s="22"/>
      <c r="G156" s="21"/>
      <c r="H156" s="8"/>
      <c r="I156" s="8"/>
      <c r="J156" s="22"/>
      <c r="K156" s="22"/>
      <c r="Q156">
        <f>ROUND((Source!BZ90/100)*ROUND((Source!AF90*Source!AV90)*Source!I90, 2), 2)</f>
        <v>69957.66</v>
      </c>
      <c r="R156">
        <f>Source!X90</f>
        <v>69957.66</v>
      </c>
      <c r="S156">
        <f>ROUND((Source!CA90/100)*ROUND((Source!AF90*Source!AV90)*Source!I90, 2), 2)</f>
        <v>9993.9500000000007</v>
      </c>
      <c r="T156">
        <f>Source!Y90</f>
        <v>9993.9500000000007</v>
      </c>
      <c r="U156">
        <f>ROUND((175/100)*ROUND((Source!AE90*Source!AV90)*Source!I90, 2), 2)</f>
        <v>0</v>
      </c>
      <c r="V156">
        <f>ROUND((108/100)*ROUND(Source!CS90*Source!I90, 2), 2)</f>
        <v>0</v>
      </c>
    </row>
    <row r="157" spans="1:22" ht="14.25" x14ac:dyDescent="0.2">
      <c r="A157" s="19"/>
      <c r="B157" s="19"/>
      <c r="C157" s="19" t="s">
        <v>294</v>
      </c>
      <c r="D157" s="20"/>
      <c r="E157" s="8"/>
      <c r="F157" s="22">
        <f>Source!AO90</f>
        <v>24984.880000000001</v>
      </c>
      <c r="G157" s="21" t="str">
        <f>Source!DG90</f>
        <v/>
      </c>
      <c r="H157" s="8">
        <f>Source!AV90</f>
        <v>1</v>
      </c>
      <c r="I157" s="8">
        <f>IF(Source!BA90&lt;&gt; 0, Source!BA90, 1)</f>
        <v>1</v>
      </c>
      <c r="J157" s="22">
        <f>Source!S90</f>
        <v>99939.520000000004</v>
      </c>
      <c r="K157" s="22"/>
    </row>
    <row r="158" spans="1:22" ht="14.25" x14ac:dyDescent="0.2">
      <c r="A158" s="19"/>
      <c r="B158" s="19"/>
      <c r="C158" s="19" t="s">
        <v>295</v>
      </c>
      <c r="D158" s="20" t="s">
        <v>296</v>
      </c>
      <c r="E158" s="8">
        <f>Source!AT90</f>
        <v>70</v>
      </c>
      <c r="F158" s="22"/>
      <c r="G158" s="21"/>
      <c r="H158" s="8"/>
      <c r="I158" s="8"/>
      <c r="J158" s="22">
        <f>SUM(R156:R157)</f>
        <v>69957.66</v>
      </c>
      <c r="K158" s="22"/>
    </row>
    <row r="159" spans="1:22" ht="14.25" x14ac:dyDescent="0.2">
      <c r="A159" s="19"/>
      <c r="B159" s="19"/>
      <c r="C159" s="19" t="s">
        <v>297</v>
      </c>
      <c r="D159" s="20" t="s">
        <v>296</v>
      </c>
      <c r="E159" s="8">
        <f>Source!AU90</f>
        <v>10</v>
      </c>
      <c r="F159" s="22"/>
      <c r="G159" s="21"/>
      <c r="H159" s="8"/>
      <c r="I159" s="8"/>
      <c r="J159" s="22">
        <f>SUM(T156:T158)</f>
        <v>9993.9500000000007</v>
      </c>
      <c r="K159" s="22"/>
    </row>
    <row r="160" spans="1:22" ht="14.25" x14ac:dyDescent="0.2">
      <c r="A160" s="19"/>
      <c r="B160" s="19"/>
      <c r="C160" s="19" t="s">
        <v>298</v>
      </c>
      <c r="D160" s="20" t="s">
        <v>299</v>
      </c>
      <c r="E160" s="8">
        <f>Source!AQ90</f>
        <v>25.76</v>
      </c>
      <c r="F160" s="22"/>
      <c r="G160" s="21" t="str">
        <f>Source!DI90</f>
        <v/>
      </c>
      <c r="H160" s="8">
        <f>Source!AV90</f>
        <v>1</v>
      </c>
      <c r="I160" s="8"/>
      <c r="J160" s="22"/>
      <c r="K160" s="22">
        <f>Source!U90</f>
        <v>103.04</v>
      </c>
    </row>
    <row r="161" spans="1:22" ht="15" x14ac:dyDescent="0.25">
      <c r="A161" s="26"/>
      <c r="B161" s="26"/>
      <c r="C161" s="26"/>
      <c r="D161" s="26"/>
      <c r="E161" s="26"/>
      <c r="F161" s="26"/>
      <c r="G161" s="26"/>
      <c r="H161" s="26"/>
      <c r="I161" s="57">
        <f>J157+J158+J159</f>
        <v>179891.13</v>
      </c>
      <c r="J161" s="57"/>
      <c r="K161" s="27">
        <f>IF(Source!I90&lt;&gt;0, ROUND(I161/Source!I90, 2), 0)</f>
        <v>44972.78</v>
      </c>
      <c r="P161" s="23">
        <f>I161</f>
        <v>179891.13</v>
      </c>
    </row>
    <row r="163" spans="1:22" ht="15" x14ac:dyDescent="0.25">
      <c r="A163" s="55" t="str">
        <f>CONCATENATE("Итого по подразделу: ",IF(Source!G92&lt;&gt;"Новый подраздел", Source!G92, ""))</f>
        <v>Итого по подразделу: Монтажные работы</v>
      </c>
      <c r="B163" s="55"/>
      <c r="C163" s="55"/>
      <c r="D163" s="55"/>
      <c r="E163" s="55"/>
      <c r="F163" s="55"/>
      <c r="G163" s="55"/>
      <c r="H163" s="55"/>
      <c r="I163" s="53">
        <f>SUM(P42:P162)</f>
        <v>663889.40000000014</v>
      </c>
      <c r="J163" s="54"/>
      <c r="K163" s="28"/>
    </row>
    <row r="166" spans="1:22" ht="16.5" x14ac:dyDescent="0.25">
      <c r="A166" s="56" t="str">
        <f>CONCATENATE("Подраздел: ",IF(Source!G122&lt;&gt;"Новый подраздел", Source!G122, ""))</f>
        <v>Подраздел: Пусконаладочные работы</v>
      </c>
      <c r="B166" s="56"/>
      <c r="C166" s="56"/>
      <c r="D166" s="56"/>
      <c r="E166" s="56"/>
      <c r="F166" s="56"/>
      <c r="G166" s="56"/>
      <c r="H166" s="56"/>
      <c r="I166" s="56"/>
      <c r="J166" s="56"/>
      <c r="K166" s="56"/>
    </row>
    <row r="167" spans="1:22" ht="42.75" x14ac:dyDescent="0.2">
      <c r="A167" s="19">
        <v>16</v>
      </c>
      <c r="B167" s="19" t="str">
        <f>Source!F126</f>
        <v>1.23-3501-8-1/1</v>
      </c>
      <c r="C167" s="19" t="str">
        <f>Source!G126</f>
        <v>Комплексная проверка работоспособности систем в автоматическом режиме</v>
      </c>
      <c r="D167" s="20" t="str">
        <f>Source!H126</f>
        <v>система</v>
      </c>
      <c r="E167" s="8">
        <f>Source!I126</f>
        <v>1</v>
      </c>
      <c r="F167" s="22"/>
      <c r="G167" s="21"/>
      <c r="H167" s="8"/>
      <c r="I167" s="8"/>
      <c r="J167" s="22"/>
      <c r="K167" s="22"/>
      <c r="Q167">
        <f>ROUND((Source!BZ126/100)*ROUND((Source!AF126*Source!AV126)*Source!I126, 2), 2)</f>
        <v>2927.86</v>
      </c>
      <c r="R167">
        <f>Source!X126</f>
        <v>2927.86</v>
      </c>
      <c r="S167">
        <f>ROUND((Source!CA126/100)*ROUND((Source!AF126*Source!AV126)*Source!I126, 2), 2)</f>
        <v>418.27</v>
      </c>
      <c r="T167">
        <f>Source!Y126</f>
        <v>418.27</v>
      </c>
      <c r="U167">
        <f>ROUND((175/100)*ROUND((Source!AE126*Source!AV126)*Source!I126, 2), 2)</f>
        <v>0</v>
      </c>
      <c r="V167">
        <f>ROUND((108/100)*ROUND(Source!CS126*Source!I126, 2), 2)</f>
        <v>0</v>
      </c>
    </row>
    <row r="168" spans="1:22" ht="14.25" x14ac:dyDescent="0.2">
      <c r="A168" s="19"/>
      <c r="B168" s="19"/>
      <c r="C168" s="19" t="s">
        <v>294</v>
      </c>
      <c r="D168" s="20"/>
      <c r="E168" s="8"/>
      <c r="F168" s="22">
        <f>Source!AO126</f>
        <v>4182.6499999999996</v>
      </c>
      <c r="G168" s="21" t="str">
        <f>Source!DG126</f>
        <v/>
      </c>
      <c r="H168" s="8">
        <f>Source!AV126</f>
        <v>1</v>
      </c>
      <c r="I168" s="8">
        <f>IF(Source!BA126&lt;&gt; 0, Source!BA126, 1)</f>
        <v>1</v>
      </c>
      <c r="J168" s="22">
        <f>Source!S126</f>
        <v>4182.6499999999996</v>
      </c>
      <c r="K168" s="22"/>
    </row>
    <row r="169" spans="1:22" ht="14.25" x14ac:dyDescent="0.2">
      <c r="A169" s="19"/>
      <c r="B169" s="19"/>
      <c r="C169" s="19" t="s">
        <v>295</v>
      </c>
      <c r="D169" s="20" t="s">
        <v>296</v>
      </c>
      <c r="E169" s="8">
        <f>Source!AT126</f>
        <v>70</v>
      </c>
      <c r="F169" s="22"/>
      <c r="G169" s="21"/>
      <c r="H169" s="8"/>
      <c r="I169" s="8"/>
      <c r="J169" s="22">
        <f>SUM(R167:R168)</f>
        <v>2927.86</v>
      </c>
      <c r="K169" s="22"/>
    </row>
    <row r="170" spans="1:22" ht="14.25" x14ac:dyDescent="0.2">
      <c r="A170" s="19"/>
      <c r="B170" s="19"/>
      <c r="C170" s="19" t="s">
        <v>297</v>
      </c>
      <c r="D170" s="20" t="s">
        <v>296</v>
      </c>
      <c r="E170" s="8">
        <f>Source!AU126</f>
        <v>10</v>
      </c>
      <c r="F170" s="22"/>
      <c r="G170" s="21"/>
      <c r="H170" s="8"/>
      <c r="I170" s="8"/>
      <c r="J170" s="22">
        <f>SUM(T167:T169)</f>
        <v>418.27</v>
      </c>
      <c r="K170" s="22"/>
    </row>
    <row r="171" spans="1:22" ht="14.25" x14ac:dyDescent="0.2">
      <c r="A171" s="19"/>
      <c r="B171" s="19"/>
      <c r="C171" s="19" t="s">
        <v>298</v>
      </c>
      <c r="D171" s="20" t="s">
        <v>299</v>
      </c>
      <c r="E171" s="8">
        <f>Source!AQ126</f>
        <v>6.3</v>
      </c>
      <c r="F171" s="22"/>
      <c r="G171" s="21" t="str">
        <f>Source!DI126</f>
        <v/>
      </c>
      <c r="H171" s="8">
        <f>Source!AV126</f>
        <v>1</v>
      </c>
      <c r="I171" s="8"/>
      <c r="J171" s="22"/>
      <c r="K171" s="22">
        <f>Source!U126</f>
        <v>6.3</v>
      </c>
    </row>
    <row r="172" spans="1:22" ht="15" x14ac:dyDescent="0.25">
      <c r="A172" s="26"/>
      <c r="B172" s="26"/>
      <c r="C172" s="26"/>
      <c r="D172" s="26"/>
      <c r="E172" s="26"/>
      <c r="F172" s="26"/>
      <c r="G172" s="26"/>
      <c r="H172" s="26"/>
      <c r="I172" s="57">
        <f>J168+J169+J170</f>
        <v>7528.7800000000007</v>
      </c>
      <c r="J172" s="57"/>
      <c r="K172" s="27">
        <f>IF(Source!I126&lt;&gt;0, ROUND(I172/Source!I126, 2), 0)</f>
        <v>7528.78</v>
      </c>
      <c r="P172" s="23">
        <f>I172</f>
        <v>7528.7800000000007</v>
      </c>
    </row>
    <row r="174" spans="1:22" ht="15" x14ac:dyDescent="0.25">
      <c r="A174" s="55" t="str">
        <f>CONCATENATE("Итого по подразделу: ",IF(Source!G128&lt;&gt;"Новый подраздел", Source!G128, ""))</f>
        <v>Итого по подразделу: Пусконаладочные работы</v>
      </c>
      <c r="B174" s="55"/>
      <c r="C174" s="55"/>
      <c r="D174" s="55"/>
      <c r="E174" s="55"/>
      <c r="F174" s="55"/>
      <c r="G174" s="55"/>
      <c r="H174" s="55"/>
      <c r="I174" s="53">
        <f>SUM(P166:P173)</f>
        <v>7528.7800000000007</v>
      </c>
      <c r="J174" s="54"/>
      <c r="K174" s="28"/>
    </row>
    <row r="177" spans="1:32" ht="15" x14ac:dyDescent="0.25">
      <c r="A177" s="55" t="str">
        <f>CONCATENATE("Итого по разделу: ",IF(Source!G158&lt;&gt;"Новый раздел", Source!G158, ""))</f>
        <v>Итого по разделу: Автоматическая установка пожаротушения тонкораспыленной водой</v>
      </c>
      <c r="B177" s="55"/>
      <c r="C177" s="55"/>
      <c r="D177" s="55"/>
      <c r="E177" s="55"/>
      <c r="F177" s="55"/>
      <c r="G177" s="55"/>
      <c r="H177" s="55"/>
      <c r="I177" s="53">
        <f>SUM(P40:P176)</f>
        <v>671418.18000000017</v>
      </c>
      <c r="J177" s="54"/>
      <c r="K177" s="28"/>
      <c r="AF177" s="29" t="str">
        <f>CONCATENATE("Итого по разделу: ",IF(Source!G158&lt;&gt;"Новый раздел", Source!G158, ""))</f>
        <v>Итого по разделу: Автоматическая установка пожаротушения тонкораспыленной водой</v>
      </c>
    </row>
    <row r="179" spans="1:32" ht="15" x14ac:dyDescent="0.25">
      <c r="A179" s="55" t="s">
        <v>371</v>
      </c>
      <c r="B179" s="55"/>
      <c r="C179" s="55"/>
      <c r="D179" s="55"/>
      <c r="E179" s="55"/>
      <c r="F179" s="55"/>
      <c r="G179" s="55"/>
      <c r="H179" s="55"/>
      <c r="I179" s="53">
        <f>SUM(P32:P178)</f>
        <v>771418.18</v>
      </c>
      <c r="J179" s="54"/>
      <c r="K179" s="28"/>
    </row>
    <row r="181" spans="1:32" ht="15" x14ac:dyDescent="0.25">
      <c r="A181" s="55" t="s">
        <v>372</v>
      </c>
      <c r="B181" s="55"/>
      <c r="C181" s="55"/>
      <c r="D181" s="55"/>
      <c r="E181" s="55"/>
      <c r="F181" s="55"/>
      <c r="G181" s="55"/>
      <c r="H181" s="55"/>
      <c r="I181" s="53">
        <v>490766.53</v>
      </c>
      <c r="J181" s="54"/>
      <c r="K181" s="28"/>
    </row>
    <row r="182" spans="1:32" ht="15" x14ac:dyDescent="0.25">
      <c r="A182" s="29"/>
      <c r="B182" s="29"/>
      <c r="C182" s="29"/>
      <c r="D182" s="29"/>
      <c r="E182" s="29"/>
      <c r="F182" s="29"/>
      <c r="G182" s="29"/>
      <c r="H182" s="29"/>
      <c r="I182" s="24"/>
      <c r="J182" s="25"/>
      <c r="K182" s="28"/>
    </row>
    <row r="183" spans="1:32" ht="15" x14ac:dyDescent="0.25">
      <c r="A183" s="29"/>
      <c r="B183" s="29" t="s">
        <v>370</v>
      </c>
      <c r="C183" s="29"/>
      <c r="D183" s="29"/>
      <c r="E183" s="29"/>
      <c r="F183" s="29"/>
      <c r="G183" s="29"/>
      <c r="H183" s="29"/>
      <c r="I183" s="24"/>
      <c r="J183" s="49">
        <f>I181*0.22</f>
        <v>107968.63660000001</v>
      </c>
      <c r="K183" s="28"/>
    </row>
    <row r="184" spans="1:32" ht="15" x14ac:dyDescent="0.25">
      <c r="A184" s="29"/>
      <c r="B184" s="29"/>
      <c r="C184" s="29"/>
      <c r="D184" s="29"/>
      <c r="E184" s="29"/>
      <c r="F184" s="29"/>
      <c r="G184" s="29"/>
      <c r="H184" s="29"/>
      <c r="I184" s="24"/>
      <c r="J184" s="25"/>
      <c r="K184" s="28"/>
    </row>
    <row r="185" spans="1:32" ht="15" x14ac:dyDescent="0.25">
      <c r="A185" s="52" t="s">
        <v>373</v>
      </c>
      <c r="B185" s="52"/>
      <c r="C185" s="52"/>
      <c r="D185" s="52"/>
      <c r="E185" s="52"/>
      <c r="F185" s="52"/>
      <c r="G185" s="52"/>
      <c r="H185" s="52"/>
      <c r="I185" s="28"/>
      <c r="J185" s="48">
        <f>I181+J183</f>
        <v>598735.1666</v>
      </c>
      <c r="K185" s="28"/>
    </row>
    <row r="187" spans="1:32" ht="14.25" x14ac:dyDescent="0.2">
      <c r="A187" s="50"/>
      <c r="B187" s="50"/>
      <c r="C187" s="33"/>
      <c r="D187" s="33"/>
      <c r="E187" s="33"/>
      <c r="F187" s="33"/>
      <c r="G187" s="33"/>
      <c r="H187" s="9"/>
      <c r="I187" s="9"/>
      <c r="J187" s="9"/>
      <c r="K187" s="9"/>
    </row>
    <row r="188" spans="1:32" ht="14.25" x14ac:dyDescent="0.2">
      <c r="A188" s="9"/>
      <c r="B188" s="9"/>
      <c r="C188" s="51"/>
      <c r="D188" s="51"/>
      <c r="E188" s="51"/>
      <c r="F188" s="51"/>
      <c r="G188" s="51"/>
      <c r="H188" s="9"/>
      <c r="I188" s="9"/>
      <c r="J188" s="9"/>
      <c r="K188" s="9"/>
    </row>
    <row r="189" spans="1:32" ht="14.25" x14ac:dyDescent="0.2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</row>
    <row r="190" spans="1:32" ht="14.25" x14ac:dyDescent="0.2">
      <c r="A190" s="50"/>
      <c r="B190" s="50"/>
      <c r="C190" s="33" t="str">
        <f>IF(Source!AE12&lt;&gt;"", Source!AE12," ")</f>
        <v xml:space="preserve"> </v>
      </c>
      <c r="D190" s="33"/>
      <c r="E190" s="33"/>
      <c r="F190" s="33"/>
      <c r="G190" s="33"/>
      <c r="H190" s="9" t="str">
        <f>IF(Source!AD12&lt;&gt;"", Source!AD12," ")</f>
        <v xml:space="preserve"> </v>
      </c>
      <c r="I190" s="9"/>
      <c r="J190" s="9"/>
      <c r="K190" s="9"/>
    </row>
    <row r="191" spans="1:32" ht="14.25" x14ac:dyDescent="0.2">
      <c r="A191" s="9"/>
      <c r="B191" s="9"/>
      <c r="C191" s="51"/>
      <c r="D191" s="51"/>
      <c r="E191" s="51"/>
      <c r="F191" s="51"/>
      <c r="G191" s="51"/>
      <c r="H191" s="9"/>
      <c r="I191" s="9"/>
      <c r="J191" s="9"/>
      <c r="K191" s="9"/>
    </row>
  </sheetData>
  <mergeCells count="74">
    <mergeCell ref="F21:H21"/>
    <mergeCell ref="I21:J21"/>
    <mergeCell ref="B7:E7"/>
    <mergeCell ref="G7:K7"/>
    <mergeCell ref="J2:K2"/>
    <mergeCell ref="A10:K10"/>
    <mergeCell ref="A11:K11"/>
    <mergeCell ref="A13:K13"/>
    <mergeCell ref="B3:E3"/>
    <mergeCell ref="G3:K3"/>
    <mergeCell ref="B4:E4"/>
    <mergeCell ref="G4:K4"/>
    <mergeCell ref="B6:E6"/>
    <mergeCell ref="G6:K6"/>
    <mergeCell ref="A15:K15"/>
    <mergeCell ref="A16:K16"/>
    <mergeCell ref="A18:K18"/>
    <mergeCell ref="F20:H20"/>
    <mergeCell ref="I20:J20"/>
    <mergeCell ref="F22:H22"/>
    <mergeCell ref="I22:J22"/>
    <mergeCell ref="F23:H23"/>
    <mergeCell ref="I23:J23"/>
    <mergeCell ref="F24:H24"/>
    <mergeCell ref="I24:J24"/>
    <mergeCell ref="F25:H25"/>
    <mergeCell ref="I25:J25"/>
    <mergeCell ref="A27:A29"/>
    <mergeCell ref="B27:B29"/>
    <mergeCell ref="C27:C29"/>
    <mergeCell ref="D27:D29"/>
    <mergeCell ref="E27:E29"/>
    <mergeCell ref="F27:F29"/>
    <mergeCell ref="G27:G29"/>
    <mergeCell ref="H27:H29"/>
    <mergeCell ref="I71:J71"/>
    <mergeCell ref="I27:I29"/>
    <mergeCell ref="J27:J29"/>
    <mergeCell ref="A32:K32"/>
    <mergeCell ref="I35:J35"/>
    <mergeCell ref="I37:J37"/>
    <mergeCell ref="A37:H37"/>
    <mergeCell ref="A40:K40"/>
    <mergeCell ref="A42:K42"/>
    <mergeCell ref="I48:J48"/>
    <mergeCell ref="I54:J54"/>
    <mergeCell ref="I63:J63"/>
    <mergeCell ref="A163:H163"/>
    <mergeCell ref="I80:J80"/>
    <mergeCell ref="I87:J87"/>
    <mergeCell ref="I93:J93"/>
    <mergeCell ref="I111:J111"/>
    <mergeCell ref="I120:J120"/>
    <mergeCell ref="I132:J132"/>
    <mergeCell ref="I139:J139"/>
    <mergeCell ref="I146:J146"/>
    <mergeCell ref="I155:J155"/>
    <mergeCell ref="I161:J161"/>
    <mergeCell ref="I163:J163"/>
    <mergeCell ref="A166:K166"/>
    <mergeCell ref="I172:J172"/>
    <mergeCell ref="I174:J174"/>
    <mergeCell ref="A174:H174"/>
    <mergeCell ref="I177:J177"/>
    <mergeCell ref="A177:H177"/>
    <mergeCell ref="A190:B190"/>
    <mergeCell ref="C191:G191"/>
    <mergeCell ref="A185:H185"/>
    <mergeCell ref="I179:J179"/>
    <mergeCell ref="A179:H179"/>
    <mergeCell ref="I181:J181"/>
    <mergeCell ref="A181:H181"/>
    <mergeCell ref="A187:B187"/>
    <mergeCell ref="C188:G188"/>
  </mergeCells>
  <pageMargins left="0.4" right="0.2" top="0.2" bottom="0.4" header="0.2" footer="0.2"/>
  <pageSetup paperSize="9" scale="62" fitToHeight="0" orientation="portrait" r:id="rId1"/>
  <headerFooter>
    <oddHeader>&amp;L&amp;8</oddHeader>
    <oddFooter>&amp;R&amp;P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Y12"/>
  <sheetViews>
    <sheetView workbookViewId="0"/>
  </sheetViews>
  <sheetFormatPr defaultColWidth="9.140625" defaultRowHeight="12.75" x14ac:dyDescent="0.2"/>
  <cols>
    <col min="1" max="256" width="9.140625" customWidth="1"/>
  </cols>
  <sheetData>
    <row r="1" spans="1:103" x14ac:dyDescent="0.2">
      <c r="A1">
        <v>0</v>
      </c>
      <c r="B1" t="s">
        <v>0</v>
      </c>
      <c r="D1" t="s">
        <v>1</v>
      </c>
      <c r="F1">
        <v>0</v>
      </c>
      <c r="G1">
        <v>0</v>
      </c>
      <c r="H1">
        <v>0</v>
      </c>
      <c r="I1" t="s">
        <v>2</v>
      </c>
      <c r="J1" t="s">
        <v>3</v>
      </c>
      <c r="K1">
        <v>0</v>
      </c>
      <c r="L1">
        <v>31271</v>
      </c>
      <c r="M1">
        <v>10</v>
      </c>
      <c r="N1">
        <v>11</v>
      </c>
      <c r="O1">
        <v>15</v>
      </c>
      <c r="P1">
        <v>0</v>
      </c>
      <c r="Q1">
        <v>2</v>
      </c>
    </row>
    <row r="12" spans="1:103" x14ac:dyDescent="0.2">
      <c r="F12" t="str">
        <f>Source!F12</f>
        <v>Стрелец  без НДС   (СН-2021) (СН-2012 - 2022 г Сборник стоимостных нормативов) (СН-2012 - 2023 г Сборник стоимостных нормативов)_(Копия)_(Копия) (СН-2012 - 2024 г Сборник стоимостных нормативов)_(Копия) (СН-2012 - 2024 г (в ценах на 01.01.2024 г) Сбо_(Копия)_(Копия)_(Копия)_(Копия)_(Копия)</v>
      </c>
      <c r="G12" t="str">
        <f>Source!G12</f>
        <v>Консерватория им. П.И.Чайковского  ВОДА</v>
      </c>
      <c r="AB12" t="s">
        <v>3</v>
      </c>
      <c r="AC12" t="s">
        <v>3</v>
      </c>
      <c r="AD12" t="s">
        <v>3</v>
      </c>
      <c r="AE12" t="s">
        <v>3</v>
      </c>
      <c r="AF12" t="s">
        <v>3</v>
      </c>
      <c r="AG12" t="s">
        <v>3</v>
      </c>
      <c r="AH12" t="s">
        <v>3</v>
      </c>
      <c r="AI12" t="s">
        <v>3</v>
      </c>
      <c r="AJ12">
        <v>0</v>
      </c>
      <c r="AK12" t="s">
        <v>3</v>
      </c>
      <c r="AL12" t="s">
        <v>3</v>
      </c>
      <c r="AM12" t="s">
        <v>3</v>
      </c>
      <c r="CY12">
        <v>0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51"/>
  <sheetViews>
    <sheetView zoomScaleNormal="100" workbookViewId="0">
      <selection activeCell="A19" sqref="A19:E19"/>
    </sheetView>
  </sheetViews>
  <sheetFormatPr defaultRowHeight="12.75" x14ac:dyDescent="0.2"/>
  <cols>
    <col min="1" max="1" width="6.7109375" customWidth="1"/>
    <col min="2" max="2" width="75.7109375" customWidth="1"/>
    <col min="3" max="5" width="15.7109375" customWidth="1"/>
    <col min="30" max="30" width="114.7109375" hidden="1" customWidth="1"/>
    <col min="31" max="32" width="0" hidden="1" customWidth="1"/>
  </cols>
  <sheetData>
    <row r="1" spans="1:30" x14ac:dyDescent="0.2">
      <c r="A1" s="7" t="str">
        <f>Source!B1</f>
        <v>Smeta.RU Flash  (495) 974-1589</v>
      </c>
    </row>
    <row r="2" spans="1:30" ht="14.25" x14ac:dyDescent="0.2">
      <c r="C2" s="9"/>
      <c r="D2" s="9"/>
    </row>
    <row r="3" spans="1:30" ht="15" x14ac:dyDescent="0.25">
      <c r="C3" s="9"/>
      <c r="D3" s="25" t="s">
        <v>268</v>
      </c>
    </row>
    <row r="4" spans="1:30" ht="15" x14ac:dyDescent="0.25">
      <c r="C4" s="25"/>
      <c r="D4" s="25"/>
    </row>
    <row r="5" spans="1:30" ht="15" x14ac:dyDescent="0.25">
      <c r="C5" s="54" t="s">
        <v>303</v>
      </c>
      <c r="D5" s="54"/>
    </row>
    <row r="6" spans="1:30" ht="15" x14ac:dyDescent="0.25">
      <c r="C6" s="25"/>
      <c r="D6" s="25"/>
    </row>
    <row r="7" spans="1:30" ht="15" x14ac:dyDescent="0.25">
      <c r="C7" s="54" t="s">
        <v>303</v>
      </c>
      <c r="D7" s="54"/>
    </row>
    <row r="8" spans="1:30" ht="15" x14ac:dyDescent="0.25">
      <c r="C8" s="25"/>
      <c r="D8" s="25"/>
    </row>
    <row r="9" spans="1:30" ht="15" x14ac:dyDescent="0.25">
      <c r="C9" s="25" t="s">
        <v>304</v>
      </c>
      <c r="D9" s="9"/>
    </row>
    <row r="10" spans="1:30" ht="14.25" x14ac:dyDescent="0.2">
      <c r="A10" s="9"/>
      <c r="B10" s="9"/>
      <c r="C10" s="9"/>
      <c r="D10" s="9"/>
      <c r="E10" s="9"/>
    </row>
    <row r="11" spans="1:30" ht="15.75" x14ac:dyDescent="0.25">
      <c r="A11" s="72" t="str">
        <f>CONCATENATE("Дефектный акт ", IF(Source!AN15&lt;&gt;"", Source!AN15," "))</f>
        <v xml:space="preserve">Дефектный акт  </v>
      </c>
      <c r="B11" s="72"/>
      <c r="C11" s="72"/>
      <c r="D11" s="72"/>
      <c r="E11" s="9"/>
    </row>
    <row r="12" spans="1:30" ht="60" x14ac:dyDescent="0.25">
      <c r="A12" s="73"/>
      <c r="B12" s="73"/>
      <c r="C12" s="73"/>
      <c r="D12" s="73"/>
      <c r="E12" s="9"/>
      <c r="AD12" s="34" t="str">
        <f>CONCATENATE("На капитальный ремонт ", Source!F12, " ", Source!G12)</f>
        <v>На капитальный ремонт Стрелец  без НДС   (СН-2021) (СН-2012 - 2022 г Сборник стоимостных нормативов) (СН-2012 - 2023 г Сборник стоимостных нормативов)_(Копия)_(Копия) (СН-2012 - 2024 г Сборник стоимостных нормативов)_(Копия) (СН-2012 - 2024 г (в ценах на 01.01.2024 г) Сбо_(Копия)_(Копия)_(Копия)_(Копия)_(Копия) Консерватория им. П.И.Чайковского  ВОДА</v>
      </c>
    </row>
    <row r="13" spans="1:30" ht="14.25" x14ac:dyDescent="0.2">
      <c r="A13" s="9"/>
      <c r="B13" s="9"/>
      <c r="C13" s="9"/>
      <c r="D13" s="9"/>
      <c r="E13" s="9"/>
    </row>
    <row r="14" spans="1:30" ht="15" x14ac:dyDescent="0.2">
      <c r="A14" s="9"/>
      <c r="B14" s="35" t="s">
        <v>305</v>
      </c>
      <c r="C14" s="9"/>
      <c r="D14" s="9"/>
      <c r="E14" s="9"/>
    </row>
    <row r="15" spans="1:30" ht="15" x14ac:dyDescent="0.2">
      <c r="A15" s="9"/>
      <c r="B15" s="35" t="s">
        <v>306</v>
      </c>
      <c r="C15" s="9"/>
      <c r="D15" s="9"/>
      <c r="E15" s="9"/>
    </row>
    <row r="16" spans="1:30" ht="15" x14ac:dyDescent="0.2">
      <c r="A16" s="9"/>
      <c r="B16" s="35" t="s">
        <v>307</v>
      </c>
      <c r="C16" s="9"/>
      <c r="D16" s="9"/>
      <c r="E16" s="9"/>
    </row>
    <row r="17" spans="1:5" ht="28.5" x14ac:dyDescent="0.2">
      <c r="A17" s="18" t="s">
        <v>308</v>
      </c>
      <c r="B17" s="18" t="s">
        <v>281</v>
      </c>
      <c r="C17" s="18" t="s">
        <v>282</v>
      </c>
      <c r="D17" s="18" t="s">
        <v>309</v>
      </c>
      <c r="E17" s="16" t="s">
        <v>310</v>
      </c>
    </row>
    <row r="18" spans="1:5" ht="14.25" x14ac:dyDescent="0.2">
      <c r="A18" s="36">
        <v>1</v>
      </c>
      <c r="B18" s="36">
        <v>2</v>
      </c>
      <c r="C18" s="36">
        <v>3</v>
      </c>
      <c r="D18" s="36">
        <v>4</v>
      </c>
      <c r="E18" s="36">
        <v>5</v>
      </c>
    </row>
    <row r="19" spans="1:5" ht="16.5" x14ac:dyDescent="0.25">
      <c r="A19" s="71"/>
      <c r="B19" s="71"/>
      <c r="C19" s="71"/>
      <c r="D19" s="71"/>
      <c r="E19" s="71"/>
    </row>
    <row r="20" spans="1:5" ht="16.5" x14ac:dyDescent="0.25">
      <c r="A20" s="71" t="str">
        <f>CONCATENATE("Раздел: ", Source!G24)</f>
        <v>Раздел: Проектные работы</v>
      </c>
      <c r="B20" s="71"/>
      <c r="C20" s="71"/>
      <c r="D20" s="71"/>
      <c r="E20" s="71"/>
    </row>
    <row r="21" spans="1:5" ht="14.25" x14ac:dyDescent="0.2">
      <c r="A21" s="41">
        <v>1</v>
      </c>
      <c r="B21" s="42" t="str">
        <f>Source!G28</f>
        <v>Изготовление проектной документации</v>
      </c>
      <c r="C21" s="43" t="str">
        <f>Source!H28</f>
        <v>шт.</v>
      </c>
      <c r="D21" s="44">
        <f>Source!I28</f>
        <v>1</v>
      </c>
      <c r="E21" s="42"/>
    </row>
    <row r="22" spans="1:5" ht="16.5" x14ac:dyDescent="0.25">
      <c r="A22" s="71" t="str">
        <f>CONCATENATE("Раздел: ", Source!G60)</f>
        <v>Раздел: Автоматическая установка пожаротушения тонкораспыленной водой</v>
      </c>
      <c r="B22" s="71"/>
      <c r="C22" s="71"/>
      <c r="D22" s="71"/>
      <c r="E22" s="71"/>
    </row>
    <row r="23" spans="1:5" ht="16.5" x14ac:dyDescent="0.25">
      <c r="A23" s="71" t="str">
        <f>CONCATENATE("Подраздел: ", Source!G64)</f>
        <v>Подраздел: Монтажные работы</v>
      </c>
      <c r="B23" s="71"/>
      <c r="C23" s="71"/>
      <c r="D23" s="71"/>
      <c r="E23" s="71"/>
    </row>
    <row r="24" spans="1:5" ht="28.5" x14ac:dyDescent="0.2">
      <c r="A24" s="41">
        <v>2</v>
      </c>
      <c r="B24" s="42" t="str">
        <f>Source!G68</f>
        <v>Установка аппаратуры настенной (без стоимости материалов) (С2000-ПТ-1 шт.,БРИЗ-Т - 2 шт., С2000-СП2-2 шт.)</v>
      </c>
      <c r="C24" s="43" t="str">
        <f>Source!H68</f>
        <v>шт.</v>
      </c>
      <c r="D24" s="44">
        <f>Source!I68</f>
        <v>5</v>
      </c>
      <c r="E24" s="42"/>
    </row>
    <row r="25" spans="1:5" ht="42.75" x14ac:dyDescent="0.2">
      <c r="A25" s="41">
        <v>3</v>
      </c>
      <c r="B25" s="42" t="str">
        <f>Source!G69</f>
        <v>Установка механизмов исполнительных и узлов сочленения - механизм исполнительный массой до 20 кг (Модуль пожаротушения тонкораспыленной водой МУПТВ-13,5-ГЗ-ВД)</v>
      </c>
      <c r="C25" s="43" t="str">
        <f>Source!H69</f>
        <v>шт.</v>
      </c>
      <c r="D25" s="44">
        <f>Source!I69</f>
        <v>2</v>
      </c>
      <c r="E25" s="42"/>
    </row>
    <row r="26" spans="1:5" ht="42.75" x14ac:dyDescent="0.2">
      <c r="A26" s="41">
        <v>4</v>
      </c>
      <c r="B26" s="42" t="str">
        <f>Source!G70</f>
        <v>Установка пускателя ручного общего назначения на ток до 25 А отдельностоящего, на конструкции на стене или колонне (без стоимости материалов) (Устройство дистанционного пуска УДП513-3АМ)</v>
      </c>
      <c r="C26" s="43" t="str">
        <f>Source!H70</f>
        <v>шт.</v>
      </c>
      <c r="D26" s="44">
        <f>Source!I70</f>
        <v>1</v>
      </c>
      <c r="E26" s="42"/>
    </row>
    <row r="27" spans="1:5" ht="28.5" x14ac:dyDescent="0.2">
      <c r="A27" s="41">
        <v>5</v>
      </c>
      <c r="B27" s="42" t="str">
        <f>Source!G71</f>
        <v>Установка извещателя пожарного дымового оптико-электронного адресно-аналогового ИП 212-34А "ДИП-34А"  (ДИП-34А исп. 04)</v>
      </c>
      <c r="C27" s="43" t="str">
        <f>Source!H71</f>
        <v>шт.</v>
      </c>
      <c r="D27" s="44">
        <f>Source!I71</f>
        <v>2</v>
      </c>
      <c r="E27" s="42"/>
    </row>
    <row r="28" spans="1:5" ht="28.5" x14ac:dyDescent="0.2">
      <c r="A28" s="41">
        <v>6</v>
      </c>
      <c r="B28" s="42" t="str">
        <f>Source!G72</f>
        <v>Установка преобразователя или блока питания отдельно устанавливаемого (без стоимости материалов) (РИП-24 исп. 51)</v>
      </c>
      <c r="C28" s="43" t="str">
        <f>Source!H72</f>
        <v>шт.</v>
      </c>
      <c r="D28" s="44">
        <f>Source!I72</f>
        <v>1</v>
      </c>
      <c r="E28" s="42"/>
    </row>
    <row r="29" spans="1:5" ht="28.5" x14ac:dyDescent="0.2">
      <c r="A29" s="41">
        <v>7</v>
      </c>
      <c r="B29" s="42" t="str">
        <f>Source!G73</f>
        <v>Установка аккумулятора кислотного стационарного: С-1, СК-1 (без стоимости основных материалов) (Аккумуляторы 12 В, 7А/Ч)</v>
      </c>
      <c r="C29" s="43" t="str">
        <f>Source!H73</f>
        <v>шт.</v>
      </c>
      <c r="D29" s="44">
        <f>Source!I73</f>
        <v>2</v>
      </c>
      <c r="E29" s="42"/>
    </row>
    <row r="30" spans="1:5" ht="28.5" x14ac:dyDescent="0.2">
      <c r="A30" s="41">
        <v>8</v>
      </c>
      <c r="B30" s="42" t="str">
        <f>Source!G74</f>
        <v>Установка транспаранта светового (табло) (без стоимости материалов) (Табло светозвуковое МОЛНИЯ-24-3 "ПОЖАР")</v>
      </c>
      <c r="C30" s="43" t="str">
        <f>Source!H74</f>
        <v>шт.</v>
      </c>
      <c r="D30" s="44">
        <f>Source!I74</f>
        <v>2</v>
      </c>
      <c r="E30" s="42"/>
    </row>
    <row r="31" spans="1:5" ht="28.5" x14ac:dyDescent="0.2">
      <c r="A31" s="41">
        <v>9</v>
      </c>
      <c r="B31" s="42" t="str">
        <f>Source!G75</f>
        <v>Прокладка пластикового кабель-канала по бетонному основанию / сечение 20х12,5 мм</v>
      </c>
      <c r="C31" s="43" t="str">
        <f>Source!H75</f>
        <v>100 м</v>
      </c>
      <c r="D31" s="44">
        <f>Source!I75</f>
        <v>0.1</v>
      </c>
      <c r="E31" s="42"/>
    </row>
    <row r="32" spans="1:5" ht="14.25" x14ac:dyDescent="0.2">
      <c r="A32" s="41">
        <v>9.1</v>
      </c>
      <c r="B32" s="42" t="str">
        <f>Source!G76</f>
        <v>Кабель-каналы, размер 20х12,5 мм: кабель-каналы</v>
      </c>
      <c r="C32" s="43" t="str">
        <f>Source!H76</f>
        <v>м</v>
      </c>
      <c r="D32" s="44">
        <f>Source!I76</f>
        <v>-10</v>
      </c>
      <c r="E32" s="42"/>
    </row>
    <row r="33" spans="1:5" ht="14.25" x14ac:dyDescent="0.2">
      <c r="A33" s="41">
        <v>9.1999999999999993</v>
      </c>
      <c r="B33" s="42" t="str">
        <f>Source!G77</f>
        <v>Кабель-каналы, размер 20х12,5 мм: углы внутренние</v>
      </c>
      <c r="C33" s="43" t="str">
        <f>Source!H77</f>
        <v>1000 шт.</v>
      </c>
      <c r="D33" s="44">
        <f>Source!I77</f>
        <v>-2.0000000000000001E-4</v>
      </c>
      <c r="E33" s="42"/>
    </row>
    <row r="34" spans="1:5" ht="14.25" x14ac:dyDescent="0.2">
      <c r="A34" s="41">
        <v>9.3000000000000007</v>
      </c>
      <c r="B34" s="42" t="str">
        <f>Source!G78</f>
        <v>Кабель-каналы, размер 20х12,5 мм: углы наружные</v>
      </c>
      <c r="C34" s="43" t="str">
        <f>Source!H78</f>
        <v>1000 шт.</v>
      </c>
      <c r="D34" s="44">
        <f>Source!I78</f>
        <v>-1.5E-3</v>
      </c>
      <c r="E34" s="42"/>
    </row>
    <row r="35" spans="1:5" ht="14.25" x14ac:dyDescent="0.2">
      <c r="A35" s="41">
        <v>9.4</v>
      </c>
      <c r="B35" s="42" t="str">
        <f>Source!G79</f>
        <v>Кабель-каналы, размер 20х12,5 мм: углы плоские</v>
      </c>
      <c r="C35" s="43" t="str">
        <f>Source!H79</f>
        <v>1000 шт.</v>
      </c>
      <c r="D35" s="44">
        <f>Source!I79</f>
        <v>-2.0000000000000001E-4</v>
      </c>
      <c r="E35" s="42"/>
    </row>
    <row r="36" spans="1:5" ht="14.25" x14ac:dyDescent="0.2">
      <c r="A36" s="41">
        <v>9.5</v>
      </c>
      <c r="B36" s="42" t="str">
        <f>Source!G80</f>
        <v>Кабель-каналы, размер 20х12,5 мм: заглушки</v>
      </c>
      <c r="C36" s="43" t="str">
        <f>Source!H80</f>
        <v>1000 шт.</v>
      </c>
      <c r="D36" s="44">
        <f>Source!I80</f>
        <v>-1.5E-3</v>
      </c>
      <c r="E36" s="42"/>
    </row>
    <row r="37" spans="1:5" ht="14.25" x14ac:dyDescent="0.2">
      <c r="A37" s="41">
        <v>9.6</v>
      </c>
      <c r="B37" s="42" t="str">
        <f>Source!G81</f>
        <v>Кабель-каналы, размер 20х12,5 мм: ответвления Т-образные</v>
      </c>
      <c r="C37" s="43" t="str">
        <f>Source!H81</f>
        <v>1000 шт.</v>
      </c>
      <c r="D37" s="44">
        <f>Source!I81</f>
        <v>-2.0000000000000001E-4</v>
      </c>
      <c r="E37" s="42"/>
    </row>
    <row r="38" spans="1:5" ht="14.25" x14ac:dyDescent="0.2">
      <c r="A38" s="41">
        <v>9.6999999999999993</v>
      </c>
      <c r="B38" s="42" t="str">
        <f>Source!G82</f>
        <v>Кабель-каналы, размер 20х12,5 мм: накладки стыковые</v>
      </c>
      <c r="C38" s="43" t="str">
        <f>Source!H82</f>
        <v>1000 шт.</v>
      </c>
      <c r="D38" s="44">
        <f>Source!I82</f>
        <v>-4.0000000000000002E-4</v>
      </c>
      <c r="E38" s="42"/>
    </row>
    <row r="39" spans="1:5" ht="28.5" x14ac:dyDescent="0.2">
      <c r="A39" s="41">
        <v>10</v>
      </c>
      <c r="B39" s="42" t="str">
        <f>Source!G83</f>
        <v>Прокладка проводов и кабелей в коробах, провод сечением до 6 мм2  (Кабель КПСнг(А)-FRLS 2х2х0,75)</v>
      </c>
      <c r="C39" s="43" t="str">
        <f>Source!H83</f>
        <v>100 м</v>
      </c>
      <c r="D39" s="44">
        <f>Source!I83</f>
        <v>0.15</v>
      </c>
      <c r="E39" s="42"/>
    </row>
    <row r="40" spans="1:5" ht="42.75" x14ac:dyDescent="0.2">
      <c r="A40" s="41">
        <v>10.1</v>
      </c>
      <c r="B40" s="42" t="str">
        <f>Source!G84</f>
        <v>Провода силовые с медными жилами в поливинилхлоридной изоляции, марка ПуГВ, номинальное напряжение до 450 В, число жил и сечение 1х6 мм2</v>
      </c>
      <c r="C40" s="43" t="str">
        <f>Source!H84</f>
        <v>км</v>
      </c>
      <c r="D40" s="44">
        <f>Source!I84</f>
        <v>-1.545E-2</v>
      </c>
      <c r="E40" s="42"/>
    </row>
    <row r="41" spans="1:5" ht="57" x14ac:dyDescent="0.2">
      <c r="A41" s="41">
        <v>11</v>
      </c>
      <c r="B41" s="42" t="str">
        <f>Source!G85</f>
        <v>Прокладка труб гофрированных поливинилхлоридных, прокладываемых в труднодоступных местах с усиленным креплением накладными скобами и установкой соединительных коробок, по железобетонным стенам и потолкам, диаметром до 27 мм</v>
      </c>
      <c r="C41" s="43" t="str">
        <f>Source!H85</f>
        <v>100 м</v>
      </c>
      <c r="D41" s="44">
        <f>Source!I85</f>
        <v>0.4</v>
      </c>
      <c r="E41" s="42"/>
    </row>
    <row r="42" spans="1:5" ht="28.5" x14ac:dyDescent="0.2">
      <c r="A42" s="41">
        <v>11.1</v>
      </c>
      <c r="B42" s="42" t="str">
        <f>Source!G86</f>
        <v>Трубы электротехнические гофрированные, поливинилхлоридные, негорючие, с зондом, наружный диаметр 25 мм</v>
      </c>
      <c r="C42" s="43" t="str">
        <f>Source!H86</f>
        <v>м</v>
      </c>
      <c r="D42" s="44">
        <f>Source!I86</f>
        <v>-40.799999999999997</v>
      </c>
      <c r="E42" s="42"/>
    </row>
    <row r="43" spans="1:5" ht="57" x14ac:dyDescent="0.2">
      <c r="A43" s="41">
        <v>12</v>
      </c>
      <c r="B43" s="42" t="str">
        <f>Source!G87</f>
        <v>Затягивание проводов и кабелей в проложенные трубы и металлические рукава, провод первый одножильный или многожильный в общей оплетке, суммарное сечение до 2,5 мм2 (без стоимости материалов)  (Кабель КПСнг(А)-FRLS 1х2х0,75)</v>
      </c>
      <c r="C43" s="43" t="str">
        <f>Source!H87</f>
        <v>100 м</v>
      </c>
      <c r="D43" s="44">
        <f>Source!I87</f>
        <v>0.2</v>
      </c>
      <c r="E43" s="42"/>
    </row>
    <row r="44" spans="1:5" ht="57" x14ac:dyDescent="0.2">
      <c r="A44" s="41">
        <v>13</v>
      </c>
      <c r="B44" s="42" t="str">
        <f>Source!G88</f>
        <v>Затягивание проводов и кабелей в проложенные трубы и металлические рукава, провод первый одножильный или многожильный в общей оплетке, суммарное сечение до 6 мм2 (без стоимости материалов)  (Кабель КПСнг(А)-FRLS 1х2х1.5)</v>
      </c>
      <c r="C44" s="43" t="str">
        <f>Source!H88</f>
        <v>100 м</v>
      </c>
      <c r="D44" s="44">
        <f>Source!I88</f>
        <v>0.2</v>
      </c>
      <c r="E44" s="42"/>
    </row>
    <row r="45" spans="1:5" ht="28.5" x14ac:dyDescent="0.2">
      <c r="A45" s="41">
        <v>14</v>
      </c>
      <c r="B45" s="42" t="str">
        <f>Source!G89</f>
        <v>Настройка синхронных цифровых систем передачи, настройка системы контроля и управления, контрольные и приемо-сдаточные испытания</v>
      </c>
      <c r="C45" s="43" t="str">
        <f>Source!H89</f>
        <v>объект</v>
      </c>
      <c r="D45" s="44">
        <f>Source!I89</f>
        <v>1</v>
      </c>
      <c r="E45" s="42"/>
    </row>
    <row r="46" spans="1:5" ht="42.75" x14ac:dyDescent="0.2">
      <c r="A46" s="41">
        <v>15</v>
      </c>
      <c r="B46" s="42" t="str">
        <f>Source!G90</f>
        <v>Настройка синхронных цифровых систем передачи, настройка системы контроля и управления, конфигурация и настройка сетевых компонентов (мост, маршрутизатор, модем и т.п.)</v>
      </c>
      <c r="C46" s="43" t="str">
        <f>Source!H90</f>
        <v>шт.</v>
      </c>
      <c r="D46" s="44">
        <f>Source!I90</f>
        <v>4</v>
      </c>
      <c r="E46" s="42"/>
    </row>
    <row r="47" spans="1:5" ht="16.5" x14ac:dyDescent="0.25">
      <c r="A47" s="71" t="str">
        <f>CONCATENATE("Подраздел: ", Source!G122)</f>
        <v>Подраздел: Пусконаладочные работы</v>
      </c>
      <c r="B47" s="71"/>
      <c r="C47" s="71"/>
      <c r="D47" s="71"/>
      <c r="E47" s="71"/>
    </row>
    <row r="48" spans="1:5" ht="28.5" x14ac:dyDescent="0.2">
      <c r="A48" s="37">
        <v>16</v>
      </c>
      <c r="B48" s="38" t="str">
        <f>Source!G126</f>
        <v>Комплексная проверка работоспособности систем в автоматическом режиме</v>
      </c>
      <c r="C48" s="39" t="str">
        <f>Source!H126</f>
        <v>система</v>
      </c>
      <c r="D48" s="40">
        <f>Source!I126</f>
        <v>1</v>
      </c>
      <c r="E48" s="38"/>
    </row>
    <row r="51" spans="1:5" ht="15" x14ac:dyDescent="0.25">
      <c r="A51" s="28" t="s">
        <v>311</v>
      </c>
      <c r="B51" s="28"/>
      <c r="C51" s="28" t="s">
        <v>312</v>
      </c>
      <c r="D51" s="28"/>
      <c r="E51" s="28"/>
    </row>
  </sheetData>
  <mergeCells count="9">
    <mergeCell ref="A22:E22"/>
    <mergeCell ref="A23:E23"/>
    <mergeCell ref="A47:E47"/>
    <mergeCell ref="C5:D5"/>
    <mergeCell ref="C7:D7"/>
    <mergeCell ref="A11:D11"/>
    <mergeCell ref="A12:D12"/>
    <mergeCell ref="A19:E19"/>
    <mergeCell ref="A20:E20"/>
  </mergeCells>
  <pageMargins left="0.4" right="0.2" top="0.2" bottom="0.4" header="0.2" footer="0.2"/>
  <pageSetup paperSize="9" scale="77" fitToHeight="0" orientation="portrait" r:id="rId1"/>
  <headerFooter>
    <oddHeader>&amp;L&amp;8</oddHead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58"/>
  <sheetViews>
    <sheetView workbookViewId="0"/>
  </sheetViews>
  <sheetFormatPr defaultRowHeight="12.75" x14ac:dyDescent="0.2"/>
  <sheetData>
    <row r="1" spans="1:28" x14ac:dyDescent="0.2">
      <c r="A1" t="s">
        <v>341</v>
      </c>
      <c r="B1" t="s">
        <v>343</v>
      </c>
      <c r="C1" t="s">
        <v>344</v>
      </c>
      <c r="D1" t="s">
        <v>345</v>
      </c>
      <c r="E1" t="s">
        <v>346</v>
      </c>
      <c r="F1" t="s">
        <v>347</v>
      </c>
      <c r="G1" t="s">
        <v>348</v>
      </c>
      <c r="H1" t="s">
        <v>349</v>
      </c>
      <c r="I1" t="s">
        <v>350</v>
      </c>
      <c r="J1" t="s">
        <v>351</v>
      </c>
      <c r="K1" t="s">
        <v>352</v>
      </c>
      <c r="L1" t="s">
        <v>353</v>
      </c>
      <c r="M1" t="s">
        <v>354</v>
      </c>
      <c r="N1" t="s">
        <v>355</v>
      </c>
      <c r="O1" t="s">
        <v>342</v>
      </c>
    </row>
    <row r="2" spans="1:28" x14ac:dyDescent="0.2">
      <c r="A2">
        <v>1</v>
      </c>
      <c r="B2">
        <v>1</v>
      </c>
      <c r="C2">
        <v>1</v>
      </c>
      <c r="D2">
        <v>1</v>
      </c>
      <c r="E2">
        <v>1</v>
      </c>
      <c r="F2">
        <v>1</v>
      </c>
      <c r="G2">
        <v>1</v>
      </c>
      <c r="H2">
        <v>0</v>
      </c>
      <c r="I2">
        <v>1</v>
      </c>
      <c r="J2">
        <v>0</v>
      </c>
      <c r="K2">
        <v>1</v>
      </c>
      <c r="L2">
        <v>76395835</v>
      </c>
      <c r="M2">
        <v>0</v>
      </c>
      <c r="N2">
        <v>0</v>
      </c>
      <c r="O2">
        <v>0</v>
      </c>
    </row>
    <row r="4" spans="1:28" x14ac:dyDescent="0.2">
      <c r="A4" t="s">
        <v>313</v>
      </c>
      <c r="B4" t="s">
        <v>314</v>
      </c>
      <c r="C4" t="s">
        <v>315</v>
      </c>
      <c r="D4" t="s">
        <v>316</v>
      </c>
      <c r="E4" t="s">
        <v>317</v>
      </c>
      <c r="F4" t="s">
        <v>318</v>
      </c>
      <c r="G4" t="s">
        <v>319</v>
      </c>
      <c r="H4" t="s">
        <v>320</v>
      </c>
      <c r="I4" t="s">
        <v>321</v>
      </c>
      <c r="J4" t="s">
        <v>322</v>
      </c>
      <c r="K4" t="s">
        <v>323</v>
      </c>
      <c r="L4" t="s">
        <v>324</v>
      </c>
      <c r="M4" t="s">
        <v>325</v>
      </c>
      <c r="N4" t="s">
        <v>326</v>
      </c>
      <c r="O4" t="s">
        <v>327</v>
      </c>
      <c r="P4" t="s">
        <v>328</v>
      </c>
      <c r="Q4" t="s">
        <v>329</v>
      </c>
      <c r="R4" t="s">
        <v>330</v>
      </c>
      <c r="S4" t="s">
        <v>331</v>
      </c>
      <c r="T4" t="s">
        <v>332</v>
      </c>
      <c r="U4" t="s">
        <v>336</v>
      </c>
      <c r="V4" t="s">
        <v>337</v>
      </c>
      <c r="W4" t="s">
        <v>338</v>
      </c>
      <c r="X4" t="s">
        <v>339</v>
      </c>
      <c r="Y4" t="s">
        <v>340</v>
      </c>
      <c r="Z4" t="s">
        <v>333</v>
      </c>
      <c r="AA4" t="s">
        <v>334</v>
      </c>
      <c r="AB4" t="s">
        <v>335</v>
      </c>
    </row>
    <row r="6" spans="1:28" x14ac:dyDescent="0.2">
      <c r="A6">
        <f>Source!A20</f>
        <v>3</v>
      </c>
      <c r="B6">
        <v>20</v>
      </c>
      <c r="G6" t="str">
        <f>Source!G20</f>
        <v>Пожаротуш.</v>
      </c>
    </row>
    <row r="7" spans="1:28" x14ac:dyDescent="0.2">
      <c r="A7">
        <f>Source!A24</f>
        <v>4</v>
      </c>
      <c r="B7">
        <v>24</v>
      </c>
      <c r="G7" t="str">
        <f>Source!G24</f>
        <v>Проектные работы</v>
      </c>
    </row>
    <row r="8" spans="1:28" x14ac:dyDescent="0.2">
      <c r="A8">
        <f>Source!A60</f>
        <v>4</v>
      </c>
      <c r="B8">
        <v>60</v>
      </c>
      <c r="G8" t="str">
        <f>Source!G60</f>
        <v>Автоматическая установка пожаротушения тонкораспыленной водой</v>
      </c>
    </row>
    <row r="9" spans="1:28" x14ac:dyDescent="0.2">
      <c r="A9">
        <f>Source!A64</f>
        <v>5</v>
      </c>
      <c r="B9">
        <v>64</v>
      </c>
      <c r="G9" t="str">
        <f>Source!G64</f>
        <v>Монтажные работы</v>
      </c>
    </row>
    <row r="10" spans="1:28" x14ac:dyDescent="0.2">
      <c r="A10">
        <v>20</v>
      </c>
      <c r="B10">
        <v>5</v>
      </c>
      <c r="C10">
        <v>2</v>
      </c>
      <c r="D10">
        <v>0</v>
      </c>
      <c r="E10">
        <f>SmtRes!AV5</f>
        <v>0</v>
      </c>
      <c r="F10" t="str">
        <f>SmtRes!I5</f>
        <v>22.1-30-102</v>
      </c>
      <c r="G10" t="str">
        <f>SmtRes!K5</f>
        <v>Дрели электрические, двухскоростные, мощностью 600 Вт</v>
      </c>
      <c r="H10" t="str">
        <f>SmtRes!O5</f>
        <v>маш.-ч</v>
      </c>
      <c r="I10">
        <f>SmtRes!Y5*Source!I70</f>
        <v>0.04</v>
      </c>
      <c r="J10">
        <f>SmtRes!AO5</f>
        <v>1</v>
      </c>
      <c r="K10">
        <f>SmtRes!AF5</f>
        <v>4.72</v>
      </c>
      <c r="L10">
        <f>SmtRes!DB5</f>
        <v>0.19</v>
      </c>
      <c r="M10">
        <f>ROUND(ROUND(L10*Source!I70, 6)*1, 2)</f>
        <v>0.19</v>
      </c>
      <c r="N10">
        <f>SmtRes!AB5</f>
        <v>4.72</v>
      </c>
      <c r="O10">
        <f>ROUND(ROUND(L10*Source!I70, 6)*SmtRes!DA5, 2)</f>
        <v>0.19</v>
      </c>
      <c r="P10">
        <f>SmtRes!AG5</f>
        <v>0.1</v>
      </c>
      <c r="Q10">
        <f>SmtRes!DC5</f>
        <v>0</v>
      </c>
      <c r="R10">
        <f>ROUND(ROUND(Q10*Source!I70, 6)*1, 2)</f>
        <v>0</v>
      </c>
      <c r="S10">
        <f>SmtRes!AC5</f>
        <v>0.1</v>
      </c>
      <c r="T10">
        <f>ROUND(ROUND(Q10*Source!I70, 6)*SmtRes!AK5, 2)</f>
        <v>0</v>
      </c>
      <c r="U10">
        <v>2</v>
      </c>
      <c r="Z10">
        <f>SmtRes!X5</f>
        <v>-1817365194</v>
      </c>
      <c r="AA10">
        <v>994397835</v>
      </c>
      <c r="AB10">
        <v>994397835</v>
      </c>
    </row>
    <row r="11" spans="1:28" x14ac:dyDescent="0.2">
      <c r="A11">
        <v>20</v>
      </c>
      <c r="B11">
        <v>4</v>
      </c>
      <c r="C11">
        <v>2</v>
      </c>
      <c r="D11">
        <v>0</v>
      </c>
      <c r="E11">
        <f>SmtRes!AV4</f>
        <v>0</v>
      </c>
      <c r="F11" t="str">
        <f>SmtRes!I4</f>
        <v>22.1-13-15</v>
      </c>
      <c r="G11" t="str">
        <f>SmtRes!K4</f>
        <v>Аппараты сварочные</v>
      </c>
      <c r="H11" t="str">
        <f>SmtRes!O4</f>
        <v>маш.-ч</v>
      </c>
      <c r="I11">
        <f>SmtRes!Y4*Source!I70</f>
        <v>0.14000000000000001</v>
      </c>
      <c r="J11">
        <f>SmtRes!AO4</f>
        <v>1</v>
      </c>
      <c r="K11">
        <f>SmtRes!AF4</f>
        <v>456.39</v>
      </c>
      <c r="L11">
        <f>SmtRes!DB4</f>
        <v>63.89</v>
      </c>
      <c r="M11">
        <f>ROUND(ROUND(L11*Source!I70, 6)*1, 2)</f>
        <v>63.89</v>
      </c>
      <c r="N11">
        <f>SmtRes!AB4</f>
        <v>456.39</v>
      </c>
      <c r="O11">
        <f>ROUND(ROUND(L11*Source!I70, 6)*SmtRes!DA4, 2)</f>
        <v>63.89</v>
      </c>
      <c r="P11">
        <f>SmtRes!AG4</f>
        <v>1.4</v>
      </c>
      <c r="Q11">
        <f>SmtRes!DC4</f>
        <v>0.2</v>
      </c>
      <c r="R11">
        <f>ROUND(ROUND(Q11*Source!I70, 6)*1, 2)</f>
        <v>0.2</v>
      </c>
      <c r="S11">
        <f>SmtRes!AC4</f>
        <v>1.4</v>
      </c>
      <c r="T11">
        <f>ROUND(ROUND(Q11*Source!I70, 6)*SmtRes!AK4, 2)</f>
        <v>0.2</v>
      </c>
      <c r="U11">
        <v>2</v>
      </c>
      <c r="Z11">
        <f>SmtRes!X4</f>
        <v>-1503072827</v>
      </c>
      <c r="AA11">
        <v>-1753771339</v>
      </c>
      <c r="AB11">
        <v>-1753771339</v>
      </c>
    </row>
    <row r="12" spans="1:28" x14ac:dyDescent="0.2">
      <c r="A12">
        <v>20</v>
      </c>
      <c r="B12">
        <v>10</v>
      </c>
      <c r="C12">
        <v>3</v>
      </c>
      <c r="D12">
        <v>0</v>
      </c>
      <c r="E12">
        <f>SmtRes!AV10</f>
        <v>0</v>
      </c>
      <c r="F12" t="str">
        <f>SmtRes!I10</f>
        <v>21.1-11-198</v>
      </c>
      <c r="G12" t="str">
        <f>SmtRes!K10</f>
        <v>Дюбели пластмассовые</v>
      </c>
      <c r="H12" t="str">
        <f>SmtRes!O10</f>
        <v>шт.</v>
      </c>
      <c r="I12">
        <f>SmtRes!Y10*Source!I71</f>
        <v>4</v>
      </c>
      <c r="J12">
        <f>SmtRes!AO10</f>
        <v>1</v>
      </c>
      <c r="K12">
        <f>SmtRes!AE10</f>
        <v>1.23</v>
      </c>
      <c r="L12">
        <f>SmtRes!DB10</f>
        <v>2.46</v>
      </c>
      <c r="M12">
        <f>ROUND(ROUND(L12*Source!I71, 6)*1, 2)</f>
        <v>4.92</v>
      </c>
      <c r="N12">
        <f>SmtRes!AA10</f>
        <v>1.23</v>
      </c>
      <c r="O12">
        <f>ROUND(ROUND(L12*Source!I71, 6)*SmtRes!DA10, 2)</f>
        <v>4.92</v>
      </c>
      <c r="P12">
        <f>SmtRes!AG10</f>
        <v>0</v>
      </c>
      <c r="Q12">
        <f>SmtRes!DC10</f>
        <v>0</v>
      </c>
      <c r="R12">
        <f>ROUND(ROUND(Q12*Source!I71, 6)*1, 2)</f>
        <v>0</v>
      </c>
      <c r="S12">
        <f>SmtRes!AC10</f>
        <v>0</v>
      </c>
      <c r="T12">
        <f>ROUND(ROUND(Q12*Source!I71, 6)*SmtRes!AK10, 2)</f>
        <v>0</v>
      </c>
      <c r="U12">
        <v>3</v>
      </c>
      <c r="Z12">
        <f>SmtRes!X10</f>
        <v>136717287</v>
      </c>
      <c r="AA12">
        <v>798392207</v>
      </c>
      <c r="AB12">
        <v>798392207</v>
      </c>
    </row>
    <row r="13" spans="1:28" x14ac:dyDescent="0.2">
      <c r="A13">
        <v>20</v>
      </c>
      <c r="B13">
        <v>9</v>
      </c>
      <c r="C13">
        <v>3</v>
      </c>
      <c r="D13">
        <v>0</v>
      </c>
      <c r="E13">
        <f>SmtRes!AV9</f>
        <v>0</v>
      </c>
      <c r="F13" t="str">
        <f>SmtRes!I9</f>
        <v>21.1-11-108</v>
      </c>
      <c r="G13" t="str">
        <f>SmtRes!K9</f>
        <v>Шурупы-саморезы, размер 3,5х45 мм</v>
      </c>
      <c r="H13" t="str">
        <f>SmtRes!O9</f>
        <v>кг</v>
      </c>
      <c r="I13">
        <f>SmtRes!Y9*Source!I71</f>
        <v>7.7999999999999996E-3</v>
      </c>
      <c r="J13">
        <f>SmtRes!AO9</f>
        <v>1</v>
      </c>
      <c r="K13">
        <f>SmtRes!AE9</f>
        <v>190.54033999999999</v>
      </c>
      <c r="L13">
        <f>SmtRes!DB9</f>
        <v>0.74</v>
      </c>
      <c r="M13">
        <f>ROUND(ROUND(L13*Source!I71, 6)*1, 2)</f>
        <v>1.48</v>
      </c>
      <c r="N13">
        <f>SmtRes!AA9</f>
        <v>190.54</v>
      </c>
      <c r="O13">
        <f>ROUND(ROUND(L13*Source!I71, 6)*SmtRes!DA9, 2)</f>
        <v>1.48</v>
      </c>
      <c r="P13">
        <f>SmtRes!AG9</f>
        <v>0</v>
      </c>
      <c r="Q13">
        <f>SmtRes!DC9</f>
        <v>0</v>
      </c>
      <c r="R13">
        <f>ROUND(ROUND(Q13*Source!I71, 6)*1, 2)</f>
        <v>0</v>
      </c>
      <c r="S13">
        <f>SmtRes!AC9</f>
        <v>0</v>
      </c>
      <c r="T13">
        <f>ROUND(ROUND(Q13*Source!I71, 6)*SmtRes!AK9, 2)</f>
        <v>0</v>
      </c>
      <c r="U13">
        <v>3</v>
      </c>
      <c r="Z13">
        <f>SmtRes!X9</f>
        <v>2087173100</v>
      </c>
      <c r="AA13">
        <v>-776989609</v>
      </c>
      <c r="AB13">
        <v>1119842531</v>
      </c>
    </row>
    <row r="14" spans="1:28" x14ac:dyDescent="0.2">
      <c r="A14">
        <v>20</v>
      </c>
      <c r="B14">
        <v>8</v>
      </c>
      <c r="C14">
        <v>2</v>
      </c>
      <c r="D14">
        <v>0</v>
      </c>
      <c r="E14">
        <f>SmtRes!AV8</f>
        <v>0</v>
      </c>
      <c r="F14" t="str">
        <f>SmtRes!I8</f>
        <v>22.1-30-56</v>
      </c>
      <c r="G14" t="str">
        <f>SmtRes!K8</f>
        <v>Шуруповерты</v>
      </c>
      <c r="H14" t="str">
        <f>SmtRes!O8</f>
        <v>маш.-ч</v>
      </c>
      <c r="I14">
        <f>SmtRes!Y8*Source!I71</f>
        <v>0.02</v>
      </c>
      <c r="J14">
        <f>SmtRes!AO8</f>
        <v>1</v>
      </c>
      <c r="K14">
        <f>SmtRes!AF8</f>
        <v>10.76</v>
      </c>
      <c r="L14">
        <f>SmtRes!DB8</f>
        <v>0.11</v>
      </c>
      <c r="M14">
        <f>ROUND(ROUND(L14*Source!I71, 6)*1, 2)</f>
        <v>0.22</v>
      </c>
      <c r="N14">
        <f>SmtRes!AB8</f>
        <v>10.76</v>
      </c>
      <c r="O14">
        <f>ROUND(ROUND(L14*Source!I71, 6)*SmtRes!DA8, 2)</f>
        <v>0.22</v>
      </c>
      <c r="P14">
        <f>SmtRes!AG8</f>
        <v>0.12</v>
      </c>
      <c r="Q14">
        <f>SmtRes!DC8</f>
        <v>0</v>
      </c>
      <c r="R14">
        <f>ROUND(ROUND(Q14*Source!I71, 6)*1, 2)</f>
        <v>0</v>
      </c>
      <c r="S14">
        <f>SmtRes!AC8</f>
        <v>0.12</v>
      </c>
      <c r="T14">
        <f>ROUND(ROUND(Q14*Source!I71, 6)*SmtRes!AK8, 2)</f>
        <v>0</v>
      </c>
      <c r="U14">
        <v>2</v>
      </c>
      <c r="Z14">
        <f>SmtRes!X8</f>
        <v>1110016624</v>
      </c>
      <c r="AA14">
        <v>1895918326</v>
      </c>
      <c r="AB14">
        <v>1895918326</v>
      </c>
    </row>
    <row r="15" spans="1:28" x14ac:dyDescent="0.2">
      <c r="A15">
        <v>20</v>
      </c>
      <c r="B15">
        <v>7</v>
      </c>
      <c r="C15">
        <v>2</v>
      </c>
      <c r="D15">
        <v>0</v>
      </c>
      <c r="E15">
        <f>SmtRes!AV7</f>
        <v>0</v>
      </c>
      <c r="F15" t="str">
        <f>SmtRes!I7</f>
        <v>22.1-30-10</v>
      </c>
      <c r="G15" t="str">
        <f>SmtRes!K7</f>
        <v>Перфораторы электрические, мощность до 500 Вт</v>
      </c>
      <c r="H15" t="str">
        <f>SmtRes!O7</f>
        <v>маш.-ч</v>
      </c>
      <c r="I15">
        <f>SmtRes!Y7*Source!I71</f>
        <v>0.06</v>
      </c>
      <c r="J15">
        <f>SmtRes!AO7</f>
        <v>1</v>
      </c>
      <c r="K15">
        <f>SmtRes!AF7</f>
        <v>5.13</v>
      </c>
      <c r="L15">
        <f>SmtRes!DB7</f>
        <v>0.15</v>
      </c>
      <c r="M15">
        <f>ROUND(ROUND(L15*Source!I71, 6)*1, 2)</f>
        <v>0.3</v>
      </c>
      <c r="N15">
        <f>SmtRes!AB7</f>
        <v>5.13</v>
      </c>
      <c r="O15">
        <f>ROUND(ROUND(L15*Source!I71, 6)*SmtRes!DA7, 2)</f>
        <v>0.3</v>
      </c>
      <c r="P15">
        <f>SmtRes!AG7</f>
        <v>7.0000000000000007E-2</v>
      </c>
      <c r="Q15">
        <f>SmtRes!DC7</f>
        <v>0</v>
      </c>
      <c r="R15">
        <f>ROUND(ROUND(Q15*Source!I71, 6)*1, 2)</f>
        <v>0</v>
      </c>
      <c r="S15">
        <f>SmtRes!AC7</f>
        <v>7.0000000000000007E-2</v>
      </c>
      <c r="T15">
        <f>ROUND(ROUND(Q15*Source!I71, 6)*SmtRes!AK7, 2)</f>
        <v>0</v>
      </c>
      <c r="U15">
        <v>2</v>
      </c>
      <c r="Z15">
        <f>SmtRes!X7</f>
        <v>71529876</v>
      </c>
      <c r="AA15">
        <v>1905737043</v>
      </c>
      <c r="AB15">
        <v>1905737043</v>
      </c>
    </row>
    <row r="16" spans="1:28" x14ac:dyDescent="0.2">
      <c r="A16">
        <v>20</v>
      </c>
      <c r="B16">
        <v>12</v>
      </c>
      <c r="C16">
        <v>2</v>
      </c>
      <c r="D16">
        <v>0</v>
      </c>
      <c r="E16">
        <f>SmtRes!AV12</f>
        <v>0</v>
      </c>
      <c r="F16" t="str">
        <f>SmtRes!I12</f>
        <v>22.1-4-12</v>
      </c>
      <c r="G16" t="str">
        <f>SmtRes!K12</f>
        <v>Погрузчики на автомобильном ходу, грузоподъемность до 5 т</v>
      </c>
      <c r="H16" t="str">
        <f>SmtRes!O12</f>
        <v>маш.-ч</v>
      </c>
      <c r="I16">
        <f>SmtRes!Y12*Source!I72</f>
        <v>0.5</v>
      </c>
      <c r="J16">
        <f>SmtRes!AO12</f>
        <v>1</v>
      </c>
      <c r="K16">
        <f>SmtRes!AF12</f>
        <v>1509.66</v>
      </c>
      <c r="L16">
        <f>SmtRes!DB12</f>
        <v>754.83</v>
      </c>
      <c r="M16">
        <f>ROUND(ROUND(L16*Source!I72, 6)*1, 2)</f>
        <v>754.83</v>
      </c>
      <c r="N16">
        <f>SmtRes!AB12</f>
        <v>1509.66</v>
      </c>
      <c r="O16">
        <f>ROUND(ROUND(L16*Source!I72, 6)*SmtRes!DA12, 2)</f>
        <v>754.83</v>
      </c>
      <c r="P16">
        <f>SmtRes!AG12</f>
        <v>837.61</v>
      </c>
      <c r="Q16">
        <f>SmtRes!DC12</f>
        <v>418.81</v>
      </c>
      <c r="R16">
        <f>ROUND(ROUND(Q16*Source!I72, 6)*1, 2)</f>
        <v>418.81</v>
      </c>
      <c r="S16">
        <f>SmtRes!AC12</f>
        <v>837.61</v>
      </c>
      <c r="T16">
        <f>ROUND(ROUND(Q16*Source!I72, 6)*SmtRes!AK12, 2)</f>
        <v>418.81</v>
      </c>
      <c r="U16">
        <v>2</v>
      </c>
      <c r="Z16">
        <f>SmtRes!X12</f>
        <v>-776807079</v>
      </c>
      <c r="AA16">
        <v>1034730832</v>
      </c>
      <c r="AB16">
        <v>1034730832</v>
      </c>
    </row>
    <row r="17" spans="1:28" x14ac:dyDescent="0.2">
      <c r="A17">
        <v>20</v>
      </c>
      <c r="B17">
        <v>17</v>
      </c>
      <c r="C17">
        <v>3</v>
      </c>
      <c r="D17">
        <v>0</v>
      </c>
      <c r="E17">
        <f>SmtRes!AV17</f>
        <v>0</v>
      </c>
      <c r="F17" t="str">
        <f>SmtRes!I17</f>
        <v>21.1-25-14</v>
      </c>
      <c r="G17" t="str">
        <f>SmtRes!K17</f>
        <v>Вода дистиллированная</v>
      </c>
      <c r="H17" t="str">
        <f>SmtRes!O17</f>
        <v>л</v>
      </c>
      <c r="I17">
        <f>SmtRes!Y17*Source!I73</f>
        <v>5.6</v>
      </c>
      <c r="J17">
        <f>SmtRes!AO17</f>
        <v>1</v>
      </c>
      <c r="K17">
        <f>SmtRes!AE17</f>
        <v>25.47</v>
      </c>
      <c r="L17">
        <f>SmtRes!DB17</f>
        <v>71.319999999999993</v>
      </c>
      <c r="M17">
        <f>ROUND(ROUND(L17*Source!I73, 6)*1, 2)</f>
        <v>142.63999999999999</v>
      </c>
      <c r="N17">
        <f>SmtRes!AA17</f>
        <v>25.47</v>
      </c>
      <c r="O17">
        <f>ROUND(ROUND(L17*Source!I73, 6)*SmtRes!DA17, 2)</f>
        <v>142.63999999999999</v>
      </c>
      <c r="P17">
        <f>SmtRes!AG17</f>
        <v>0</v>
      </c>
      <c r="Q17">
        <f>SmtRes!DC17</f>
        <v>0</v>
      </c>
      <c r="R17">
        <f>ROUND(ROUND(Q17*Source!I73, 6)*1, 2)</f>
        <v>0</v>
      </c>
      <c r="S17">
        <f>SmtRes!AC17</f>
        <v>0</v>
      </c>
      <c r="T17">
        <f>ROUND(ROUND(Q17*Source!I73, 6)*SmtRes!AK17, 2)</f>
        <v>0</v>
      </c>
      <c r="U17">
        <v>3</v>
      </c>
      <c r="Z17">
        <f>SmtRes!X17</f>
        <v>649513730</v>
      </c>
      <c r="AA17">
        <v>1695956316</v>
      </c>
      <c r="AB17">
        <v>1695956316</v>
      </c>
    </row>
    <row r="18" spans="1:28" x14ac:dyDescent="0.2">
      <c r="A18">
        <v>20</v>
      </c>
      <c r="B18">
        <v>16</v>
      </c>
      <c r="C18">
        <v>3</v>
      </c>
      <c r="D18">
        <v>0</v>
      </c>
      <c r="E18">
        <f>SmtRes!AV16</f>
        <v>0</v>
      </c>
      <c r="F18" t="str">
        <f>SmtRes!I16</f>
        <v>21.1-16-65</v>
      </c>
      <c r="G18" t="str">
        <f>SmtRes!K16</f>
        <v>Натрий едкий, жидкий</v>
      </c>
      <c r="H18" t="str">
        <f>SmtRes!O16</f>
        <v>кг</v>
      </c>
      <c r="I18">
        <f>SmtRes!Y16*Source!I73</f>
        <v>0.22</v>
      </c>
      <c r="J18">
        <f>SmtRes!AO16</f>
        <v>1</v>
      </c>
      <c r="K18">
        <f>SmtRes!AE16</f>
        <v>43.58</v>
      </c>
      <c r="L18">
        <f>SmtRes!DB16</f>
        <v>4.79</v>
      </c>
      <c r="M18">
        <f>ROUND(ROUND(L18*Source!I73, 6)*1, 2)</f>
        <v>9.58</v>
      </c>
      <c r="N18">
        <f>SmtRes!AA16</f>
        <v>43.58</v>
      </c>
      <c r="O18">
        <f>ROUND(ROUND(L18*Source!I73, 6)*SmtRes!DA16, 2)</f>
        <v>9.58</v>
      </c>
      <c r="P18">
        <f>SmtRes!AG16</f>
        <v>0</v>
      </c>
      <c r="Q18">
        <f>SmtRes!DC16</f>
        <v>0</v>
      </c>
      <c r="R18">
        <f>ROUND(ROUND(Q18*Source!I73, 6)*1, 2)</f>
        <v>0</v>
      </c>
      <c r="S18">
        <f>SmtRes!AC16</f>
        <v>0</v>
      </c>
      <c r="T18">
        <f>ROUND(ROUND(Q18*Source!I73, 6)*SmtRes!AK16, 2)</f>
        <v>0</v>
      </c>
      <c r="U18">
        <v>3</v>
      </c>
      <c r="Z18">
        <f>SmtRes!X16</f>
        <v>-1122085600</v>
      </c>
      <c r="AA18">
        <v>-927147046</v>
      </c>
      <c r="AB18">
        <v>-927147046</v>
      </c>
    </row>
    <row r="19" spans="1:28" x14ac:dyDescent="0.2">
      <c r="A19">
        <v>20</v>
      </c>
      <c r="B19">
        <v>15</v>
      </c>
      <c r="C19">
        <v>3</v>
      </c>
      <c r="D19">
        <v>0</v>
      </c>
      <c r="E19">
        <f>SmtRes!AV15</f>
        <v>0</v>
      </c>
      <c r="F19" t="str">
        <f>SmtRes!I15</f>
        <v>21.1-16-50</v>
      </c>
      <c r="G19" t="str">
        <f>SmtRes!K15</f>
        <v>Кислота серная техническая</v>
      </c>
      <c r="H19" t="str">
        <f>SmtRes!O15</f>
        <v>т</v>
      </c>
      <c r="I19">
        <f>SmtRes!Y15*Source!I73</f>
        <v>2E-3</v>
      </c>
      <c r="J19">
        <f>SmtRes!AO15</f>
        <v>1</v>
      </c>
      <c r="K19">
        <f>SmtRes!AE15</f>
        <v>32121.53</v>
      </c>
      <c r="L19">
        <f>SmtRes!DB15</f>
        <v>32.119999999999997</v>
      </c>
      <c r="M19">
        <f>ROUND(ROUND(L19*Source!I73, 6)*1, 2)</f>
        <v>64.239999999999995</v>
      </c>
      <c r="N19">
        <f>SmtRes!AA15</f>
        <v>32121.53</v>
      </c>
      <c r="O19">
        <f>ROUND(ROUND(L19*Source!I73, 6)*SmtRes!DA15, 2)</f>
        <v>64.239999999999995</v>
      </c>
      <c r="P19">
        <f>SmtRes!AG15</f>
        <v>0</v>
      </c>
      <c r="Q19">
        <f>SmtRes!DC15</f>
        <v>0</v>
      </c>
      <c r="R19">
        <f>ROUND(ROUND(Q19*Source!I73, 6)*1, 2)</f>
        <v>0</v>
      </c>
      <c r="S19">
        <f>SmtRes!AC15</f>
        <v>0</v>
      </c>
      <c r="T19">
        <f>ROUND(ROUND(Q19*Source!I73, 6)*SmtRes!AK15, 2)</f>
        <v>0</v>
      </c>
      <c r="U19">
        <v>3</v>
      </c>
      <c r="Z19">
        <f>SmtRes!X15</f>
        <v>-676281798</v>
      </c>
      <c r="AA19">
        <v>-133445556</v>
      </c>
      <c r="AB19">
        <v>-133445556</v>
      </c>
    </row>
    <row r="20" spans="1:28" x14ac:dyDescent="0.2">
      <c r="A20">
        <v>20</v>
      </c>
      <c r="B20">
        <v>38</v>
      </c>
      <c r="C20">
        <v>3</v>
      </c>
      <c r="D20">
        <v>0</v>
      </c>
      <c r="E20">
        <f>SmtRes!AV38</f>
        <v>0</v>
      </c>
      <c r="F20" t="str">
        <f>SmtRes!I38</f>
        <v>21.7-3-54</v>
      </c>
      <c r="G20" t="str">
        <f>SmtRes!K38</f>
        <v>Сверло с алмазным покрытием, диаметр 6 мм</v>
      </c>
      <c r="H20" t="str">
        <f>SmtRes!O38</f>
        <v>шт.</v>
      </c>
      <c r="I20">
        <f>SmtRes!Y38*Source!I75</f>
        <v>0.4</v>
      </c>
      <c r="J20">
        <f>SmtRes!AO38</f>
        <v>1</v>
      </c>
      <c r="K20">
        <f>SmtRes!AE38</f>
        <v>1555.5</v>
      </c>
      <c r="L20">
        <f>SmtRes!DB38</f>
        <v>6222</v>
      </c>
      <c r="M20">
        <f>ROUND(ROUND(L20*Source!I75, 6)*1, 2)</f>
        <v>622.20000000000005</v>
      </c>
      <c r="N20">
        <f>SmtRes!AA38</f>
        <v>1555.5</v>
      </c>
      <c r="O20">
        <f>ROUND(ROUND(L20*Source!I75, 6)*SmtRes!DA38, 2)</f>
        <v>622.20000000000005</v>
      </c>
      <c r="P20">
        <f>SmtRes!AG38</f>
        <v>0</v>
      </c>
      <c r="Q20">
        <f>SmtRes!DC38</f>
        <v>0</v>
      </c>
      <c r="R20">
        <f>ROUND(ROUND(Q20*Source!I75, 6)*1, 2)</f>
        <v>0</v>
      </c>
      <c r="S20">
        <f>SmtRes!AC38</f>
        <v>0</v>
      </c>
      <c r="T20">
        <f>ROUND(ROUND(Q20*Source!I75, 6)*SmtRes!AK38, 2)</f>
        <v>0</v>
      </c>
      <c r="U20">
        <v>3</v>
      </c>
      <c r="Z20">
        <f>SmtRes!X38</f>
        <v>1662095060</v>
      </c>
      <c r="AA20">
        <v>-618828638</v>
      </c>
      <c r="AB20">
        <v>-618828638</v>
      </c>
    </row>
    <row r="21" spans="1:28" x14ac:dyDescent="0.2">
      <c r="A21">
        <v>20</v>
      </c>
      <c r="B21">
        <v>36</v>
      </c>
      <c r="C21">
        <v>3</v>
      </c>
      <c r="D21">
        <v>0</v>
      </c>
      <c r="E21">
        <f>SmtRes!AV36</f>
        <v>0</v>
      </c>
      <c r="F21" t="str">
        <f>SmtRes!I36</f>
        <v>21.1-25-764</v>
      </c>
      <c r="G21" t="str">
        <f>SmtRes!K36</f>
        <v>Кабель-каналы, размер 20х12,5 мм: накладки стыковые</v>
      </c>
      <c r="H21" t="str">
        <f>SmtRes!O36</f>
        <v>1000 шт.</v>
      </c>
      <c r="I21">
        <f>SmtRes!Y36*Source!I75</f>
        <v>4.0000000000000002E-4</v>
      </c>
      <c r="J21">
        <f>SmtRes!AO36</f>
        <v>1</v>
      </c>
      <c r="K21">
        <f>SmtRes!AE36</f>
        <v>20680.189999999999</v>
      </c>
      <c r="L21">
        <f>SmtRes!DB36</f>
        <v>82.72</v>
      </c>
      <c r="M21">
        <f>ROUND(ROUND(L21*Source!I75, 6)*1, 2)</f>
        <v>8.27</v>
      </c>
      <c r="N21">
        <f>SmtRes!AA36</f>
        <v>20680.189999999999</v>
      </c>
      <c r="O21">
        <f>ROUND(ROUND(L21*Source!I75, 6)*SmtRes!DA36, 2)</f>
        <v>8.27</v>
      </c>
      <c r="P21">
        <f>SmtRes!AG36</f>
        <v>0</v>
      </c>
      <c r="Q21">
        <f>SmtRes!DC36</f>
        <v>0</v>
      </c>
      <c r="R21">
        <f>ROUND(ROUND(Q21*Source!I75, 6)*1, 2)</f>
        <v>0</v>
      </c>
      <c r="S21">
        <f>SmtRes!AC36</f>
        <v>0</v>
      </c>
      <c r="T21">
        <f>ROUND(ROUND(Q21*Source!I75, 6)*SmtRes!AK36, 2)</f>
        <v>0</v>
      </c>
      <c r="U21">
        <v>3</v>
      </c>
      <c r="Z21">
        <f>SmtRes!X36</f>
        <v>2018493704</v>
      </c>
      <c r="AA21">
        <v>730580190</v>
      </c>
      <c r="AB21">
        <v>730580190</v>
      </c>
    </row>
    <row r="22" spans="1:28" x14ac:dyDescent="0.2">
      <c r="A22">
        <v>20</v>
      </c>
      <c r="B22">
        <v>34</v>
      </c>
      <c r="C22">
        <v>3</v>
      </c>
      <c r="D22">
        <v>0</v>
      </c>
      <c r="E22">
        <f>SmtRes!AV34</f>
        <v>0</v>
      </c>
      <c r="F22" t="str">
        <f>SmtRes!I34</f>
        <v>21.1-25-763</v>
      </c>
      <c r="G22" t="str">
        <f>SmtRes!K34</f>
        <v>Кабель-каналы, размер 20х12,5 мм: ответвления Т-образные</v>
      </c>
      <c r="H22" t="str">
        <f>SmtRes!O34</f>
        <v>1000 шт.</v>
      </c>
      <c r="I22">
        <f>SmtRes!Y34*Source!I75</f>
        <v>2.0000000000000001E-4</v>
      </c>
      <c r="J22">
        <f>SmtRes!AO34</f>
        <v>1</v>
      </c>
      <c r="K22">
        <f>SmtRes!AE34</f>
        <v>50599.41</v>
      </c>
      <c r="L22">
        <f>SmtRes!DB34</f>
        <v>101.2</v>
      </c>
      <c r="M22">
        <f>ROUND(ROUND(L22*Source!I75, 6)*1, 2)</f>
        <v>10.119999999999999</v>
      </c>
      <c r="N22">
        <f>SmtRes!AA34</f>
        <v>50599.41</v>
      </c>
      <c r="O22">
        <f>ROUND(ROUND(L22*Source!I75, 6)*SmtRes!DA34, 2)</f>
        <v>10.119999999999999</v>
      </c>
      <c r="P22">
        <f>SmtRes!AG34</f>
        <v>0</v>
      </c>
      <c r="Q22">
        <f>SmtRes!DC34</f>
        <v>0</v>
      </c>
      <c r="R22">
        <f>ROUND(ROUND(Q22*Source!I75, 6)*1, 2)</f>
        <v>0</v>
      </c>
      <c r="S22">
        <f>SmtRes!AC34</f>
        <v>0</v>
      </c>
      <c r="T22">
        <f>ROUND(ROUND(Q22*Source!I75, 6)*SmtRes!AK34, 2)</f>
        <v>0</v>
      </c>
      <c r="U22">
        <v>3</v>
      </c>
      <c r="Z22">
        <f>SmtRes!X34</f>
        <v>-1262690695</v>
      </c>
      <c r="AA22">
        <v>-683420265</v>
      </c>
      <c r="AB22">
        <v>-683420265</v>
      </c>
    </row>
    <row r="23" spans="1:28" x14ac:dyDescent="0.2">
      <c r="A23">
        <v>20</v>
      </c>
      <c r="B23">
        <v>32</v>
      </c>
      <c r="C23">
        <v>3</v>
      </c>
      <c r="D23">
        <v>0</v>
      </c>
      <c r="E23">
        <f>SmtRes!AV32</f>
        <v>0</v>
      </c>
      <c r="F23" t="str">
        <f>SmtRes!I32</f>
        <v>21.1-25-762</v>
      </c>
      <c r="G23" t="str">
        <f>SmtRes!K32</f>
        <v>Кабель-каналы, размер 20х12,5 мм: заглушки</v>
      </c>
      <c r="H23" t="str">
        <f>SmtRes!O32</f>
        <v>1000 шт.</v>
      </c>
      <c r="I23">
        <f>SmtRes!Y32*Source!I75</f>
        <v>1.5E-3</v>
      </c>
      <c r="J23">
        <f>SmtRes!AO32</f>
        <v>1</v>
      </c>
      <c r="K23">
        <f>SmtRes!AE32</f>
        <v>35547.599999999999</v>
      </c>
      <c r="L23">
        <f>SmtRes!DB32</f>
        <v>533.21</v>
      </c>
      <c r="M23">
        <f>ROUND(ROUND(L23*Source!I75, 6)*1, 2)</f>
        <v>53.32</v>
      </c>
      <c r="N23">
        <f>SmtRes!AA32</f>
        <v>35547.599999999999</v>
      </c>
      <c r="O23">
        <f>ROUND(ROUND(L23*Source!I75, 6)*SmtRes!DA32, 2)</f>
        <v>53.32</v>
      </c>
      <c r="P23">
        <f>SmtRes!AG32</f>
        <v>0</v>
      </c>
      <c r="Q23">
        <f>SmtRes!DC32</f>
        <v>0</v>
      </c>
      <c r="R23">
        <f>ROUND(ROUND(Q23*Source!I75, 6)*1, 2)</f>
        <v>0</v>
      </c>
      <c r="S23">
        <f>SmtRes!AC32</f>
        <v>0</v>
      </c>
      <c r="T23">
        <f>ROUND(ROUND(Q23*Source!I75, 6)*SmtRes!AK32, 2)</f>
        <v>0</v>
      </c>
      <c r="U23">
        <v>3</v>
      </c>
      <c r="Z23">
        <f>SmtRes!X32</f>
        <v>1865267899</v>
      </c>
      <c r="AA23">
        <v>-1374876318</v>
      </c>
      <c r="AB23">
        <v>-1374876318</v>
      </c>
    </row>
    <row r="24" spans="1:28" x14ac:dyDescent="0.2">
      <c r="A24">
        <v>20</v>
      </c>
      <c r="B24">
        <v>30</v>
      </c>
      <c r="C24">
        <v>3</v>
      </c>
      <c r="D24">
        <v>0</v>
      </c>
      <c r="E24">
        <f>SmtRes!AV30</f>
        <v>0</v>
      </c>
      <c r="F24" t="str">
        <f>SmtRes!I30</f>
        <v>21.1-25-761</v>
      </c>
      <c r="G24" t="str">
        <f>SmtRes!K30</f>
        <v>Кабель-каналы, размер 20х12,5 мм: углы плоские</v>
      </c>
      <c r="H24" t="str">
        <f>SmtRes!O30</f>
        <v>1000 шт.</v>
      </c>
      <c r="I24">
        <f>SmtRes!Y30*Source!I75</f>
        <v>2.0000000000000001E-4</v>
      </c>
      <c r="J24">
        <f>SmtRes!AO30</f>
        <v>1</v>
      </c>
      <c r="K24">
        <f>SmtRes!AE30</f>
        <v>49894.85</v>
      </c>
      <c r="L24">
        <f>SmtRes!DB30</f>
        <v>99.79</v>
      </c>
      <c r="M24">
        <f>ROUND(ROUND(L24*Source!I75, 6)*1, 2)</f>
        <v>9.98</v>
      </c>
      <c r="N24">
        <f>SmtRes!AA30</f>
        <v>49894.85</v>
      </c>
      <c r="O24">
        <f>ROUND(ROUND(L24*Source!I75, 6)*SmtRes!DA30, 2)</f>
        <v>9.98</v>
      </c>
      <c r="P24">
        <f>SmtRes!AG30</f>
        <v>0</v>
      </c>
      <c r="Q24">
        <f>SmtRes!DC30</f>
        <v>0</v>
      </c>
      <c r="R24">
        <f>ROUND(ROUND(Q24*Source!I75, 6)*1, 2)</f>
        <v>0</v>
      </c>
      <c r="S24">
        <f>SmtRes!AC30</f>
        <v>0</v>
      </c>
      <c r="T24">
        <f>ROUND(ROUND(Q24*Source!I75, 6)*SmtRes!AK30, 2)</f>
        <v>0</v>
      </c>
      <c r="U24">
        <v>3</v>
      </c>
      <c r="Z24">
        <f>SmtRes!X30</f>
        <v>1974258039</v>
      </c>
      <c r="AA24">
        <v>989801447</v>
      </c>
      <c r="AB24">
        <v>989801447</v>
      </c>
    </row>
    <row r="25" spans="1:28" x14ac:dyDescent="0.2">
      <c r="A25">
        <v>20</v>
      </c>
      <c r="B25">
        <v>28</v>
      </c>
      <c r="C25">
        <v>3</v>
      </c>
      <c r="D25">
        <v>0</v>
      </c>
      <c r="E25">
        <f>SmtRes!AV28</f>
        <v>0</v>
      </c>
      <c r="F25" t="str">
        <f>SmtRes!I28</f>
        <v>21.1-25-760</v>
      </c>
      <c r="G25" t="str">
        <f>SmtRes!K28</f>
        <v>Кабель-каналы, размер 20х12,5 мм: углы наружные</v>
      </c>
      <c r="H25" t="str">
        <f>SmtRes!O28</f>
        <v>1000 шт.</v>
      </c>
      <c r="I25">
        <f>SmtRes!Y28*Source!I75</f>
        <v>1.5E-3</v>
      </c>
      <c r="J25">
        <f>SmtRes!AO28</f>
        <v>1</v>
      </c>
      <c r="K25">
        <f>SmtRes!AE28</f>
        <v>47663.58</v>
      </c>
      <c r="L25">
        <f>SmtRes!DB28</f>
        <v>714.95</v>
      </c>
      <c r="M25">
        <f>ROUND(ROUND(L25*Source!I75, 6)*1, 2)</f>
        <v>71.5</v>
      </c>
      <c r="N25">
        <f>SmtRes!AA28</f>
        <v>47663.58</v>
      </c>
      <c r="O25">
        <f>ROUND(ROUND(L25*Source!I75, 6)*SmtRes!DA28, 2)</f>
        <v>71.5</v>
      </c>
      <c r="P25">
        <f>SmtRes!AG28</f>
        <v>0</v>
      </c>
      <c r="Q25">
        <f>SmtRes!DC28</f>
        <v>0</v>
      </c>
      <c r="R25">
        <f>ROUND(ROUND(Q25*Source!I75, 6)*1, 2)</f>
        <v>0</v>
      </c>
      <c r="S25">
        <f>SmtRes!AC28</f>
        <v>0</v>
      </c>
      <c r="T25">
        <f>ROUND(ROUND(Q25*Source!I75, 6)*SmtRes!AK28, 2)</f>
        <v>0</v>
      </c>
      <c r="U25">
        <v>3</v>
      </c>
      <c r="Z25">
        <f>SmtRes!X28</f>
        <v>1788884033</v>
      </c>
      <c r="AA25">
        <v>878306581</v>
      </c>
      <c r="AB25">
        <v>878306581</v>
      </c>
    </row>
    <row r="26" spans="1:28" x14ac:dyDescent="0.2">
      <c r="A26">
        <v>20</v>
      </c>
      <c r="B26">
        <v>26</v>
      </c>
      <c r="C26">
        <v>3</v>
      </c>
      <c r="D26">
        <v>0</v>
      </c>
      <c r="E26">
        <f>SmtRes!AV26</f>
        <v>0</v>
      </c>
      <c r="F26" t="str">
        <f>SmtRes!I26</f>
        <v>21.1-25-759</v>
      </c>
      <c r="G26" t="str">
        <f>SmtRes!K26</f>
        <v>Кабель-каналы, размер 20х12,5 мм: углы внутренние</v>
      </c>
      <c r="H26" t="str">
        <f>SmtRes!O26</f>
        <v>1000 шт.</v>
      </c>
      <c r="I26">
        <f>SmtRes!Y26*Source!I75</f>
        <v>2.0000000000000001E-4</v>
      </c>
      <c r="J26">
        <f>SmtRes!AO26</f>
        <v>1</v>
      </c>
      <c r="K26">
        <f>SmtRes!AE26</f>
        <v>46130.16</v>
      </c>
      <c r="L26">
        <f>SmtRes!DB26</f>
        <v>92.26</v>
      </c>
      <c r="M26">
        <f>ROUND(ROUND(L26*Source!I75, 6)*1, 2)</f>
        <v>9.23</v>
      </c>
      <c r="N26">
        <f>SmtRes!AA26</f>
        <v>46130.16</v>
      </c>
      <c r="O26">
        <f>ROUND(ROUND(L26*Source!I75, 6)*SmtRes!DA26, 2)</f>
        <v>9.23</v>
      </c>
      <c r="P26">
        <f>SmtRes!AG26</f>
        <v>0</v>
      </c>
      <c r="Q26">
        <f>SmtRes!DC26</f>
        <v>0</v>
      </c>
      <c r="R26">
        <f>ROUND(ROUND(Q26*Source!I75, 6)*1, 2)</f>
        <v>0</v>
      </c>
      <c r="S26">
        <f>SmtRes!AC26</f>
        <v>0</v>
      </c>
      <c r="T26">
        <f>ROUND(ROUND(Q26*Source!I75, 6)*SmtRes!AK26, 2)</f>
        <v>0</v>
      </c>
      <c r="U26">
        <v>3</v>
      </c>
      <c r="Z26">
        <f>SmtRes!X26</f>
        <v>2135828952</v>
      </c>
      <c r="AA26">
        <v>1715765445</v>
      </c>
      <c r="AB26">
        <v>1715765445</v>
      </c>
    </row>
    <row r="27" spans="1:28" x14ac:dyDescent="0.2">
      <c r="A27">
        <v>20</v>
      </c>
      <c r="B27">
        <v>24</v>
      </c>
      <c r="C27">
        <v>3</v>
      </c>
      <c r="D27">
        <v>0</v>
      </c>
      <c r="E27">
        <f>SmtRes!AV24</f>
        <v>0</v>
      </c>
      <c r="F27" t="str">
        <f>SmtRes!I24</f>
        <v>21.1-25-758</v>
      </c>
      <c r="G27" t="str">
        <f>SmtRes!K24</f>
        <v>Кабель-каналы, размер 20х12,5 мм: кабель-каналы</v>
      </c>
      <c r="H27" t="str">
        <f>SmtRes!O24</f>
        <v>м</v>
      </c>
      <c r="I27">
        <f>SmtRes!Y24*Source!I75</f>
        <v>10</v>
      </c>
      <c r="J27">
        <f>SmtRes!AO24</f>
        <v>1</v>
      </c>
      <c r="K27">
        <f>SmtRes!AE24</f>
        <v>45.22</v>
      </c>
      <c r="L27">
        <f>SmtRes!DB24</f>
        <v>4522</v>
      </c>
      <c r="M27">
        <f>ROUND(ROUND(L27*Source!I75, 6)*1, 2)</f>
        <v>452.2</v>
      </c>
      <c r="N27">
        <f>SmtRes!AA24</f>
        <v>45.22</v>
      </c>
      <c r="O27">
        <f>ROUND(ROUND(L27*Source!I75, 6)*SmtRes!DA24, 2)</f>
        <v>452.2</v>
      </c>
      <c r="P27">
        <f>SmtRes!AG24</f>
        <v>0</v>
      </c>
      <c r="Q27">
        <f>SmtRes!DC24</f>
        <v>0</v>
      </c>
      <c r="R27">
        <f>ROUND(ROUND(Q27*Source!I75, 6)*1, 2)</f>
        <v>0</v>
      </c>
      <c r="S27">
        <f>SmtRes!AC24</f>
        <v>0</v>
      </c>
      <c r="T27">
        <f>ROUND(ROUND(Q27*Source!I75, 6)*SmtRes!AK24, 2)</f>
        <v>0</v>
      </c>
      <c r="U27">
        <v>3</v>
      </c>
      <c r="Z27">
        <f>SmtRes!X24</f>
        <v>346125033</v>
      </c>
      <c r="AA27">
        <v>858105807</v>
      </c>
      <c r="AB27">
        <v>858105807</v>
      </c>
    </row>
    <row r="28" spans="1:28" x14ac:dyDescent="0.2">
      <c r="A28">
        <v>20</v>
      </c>
      <c r="B28">
        <v>23</v>
      </c>
      <c r="C28">
        <v>3</v>
      </c>
      <c r="D28">
        <v>0</v>
      </c>
      <c r="E28">
        <f>SmtRes!AV23</f>
        <v>0</v>
      </c>
      <c r="F28" t="str">
        <f>SmtRes!I23</f>
        <v>21.1-11-81</v>
      </c>
      <c r="G28" t="str">
        <f>SmtRes!K23</f>
        <v>Патроны, калибр 6,8/11 М для дюбеля</v>
      </c>
      <c r="H28" t="str">
        <f>SmtRes!O23</f>
        <v>100 шт.</v>
      </c>
      <c r="I28">
        <f>SmtRes!Y23*Source!I75</f>
        <v>0.4</v>
      </c>
      <c r="J28">
        <f>SmtRes!AO23</f>
        <v>1</v>
      </c>
      <c r="K28">
        <f>SmtRes!AE23</f>
        <v>997.35</v>
      </c>
      <c r="L28">
        <f>SmtRes!DB23</f>
        <v>3989.4</v>
      </c>
      <c r="M28">
        <f>ROUND(ROUND(L28*Source!I75, 6)*1, 2)</f>
        <v>398.94</v>
      </c>
      <c r="N28">
        <f>SmtRes!AA23</f>
        <v>997.35</v>
      </c>
      <c r="O28">
        <f>ROUND(ROUND(L28*Source!I75, 6)*SmtRes!DA23, 2)</f>
        <v>398.94</v>
      </c>
      <c r="P28">
        <f>SmtRes!AG23</f>
        <v>0</v>
      </c>
      <c r="Q28">
        <f>SmtRes!DC23</f>
        <v>0</v>
      </c>
      <c r="R28">
        <f>ROUND(ROUND(Q28*Source!I75, 6)*1, 2)</f>
        <v>0</v>
      </c>
      <c r="S28">
        <f>SmtRes!AC23</f>
        <v>0</v>
      </c>
      <c r="T28">
        <f>ROUND(ROUND(Q28*Source!I75, 6)*SmtRes!AK23, 2)</f>
        <v>0</v>
      </c>
      <c r="U28">
        <v>3</v>
      </c>
      <c r="Z28">
        <f>SmtRes!X23</f>
        <v>1583670906</v>
      </c>
      <c r="AA28">
        <v>-274985448</v>
      </c>
      <c r="AB28">
        <v>-274985448</v>
      </c>
    </row>
    <row r="29" spans="1:28" x14ac:dyDescent="0.2">
      <c r="A29">
        <v>20</v>
      </c>
      <c r="B29">
        <v>22</v>
      </c>
      <c r="C29">
        <v>3</v>
      </c>
      <c r="D29">
        <v>0</v>
      </c>
      <c r="E29">
        <f>SmtRes!AV22</f>
        <v>0</v>
      </c>
      <c r="F29" t="str">
        <f>SmtRes!I22</f>
        <v>21.1-11-108</v>
      </c>
      <c r="G29" t="str">
        <f>SmtRes!K22</f>
        <v>Шурупы-саморезы, размер 3,5х45 мм</v>
      </c>
      <c r="H29" t="str">
        <f>SmtRes!O22</f>
        <v>т</v>
      </c>
      <c r="I29">
        <f>SmtRes!Y22*Source!I75</f>
        <v>7.400000000000001E-5</v>
      </c>
      <c r="J29">
        <f>SmtRes!AO22</f>
        <v>1</v>
      </c>
      <c r="K29">
        <f>SmtRes!AE22</f>
        <v>190540.34</v>
      </c>
      <c r="L29">
        <f>SmtRes!DB22</f>
        <v>141</v>
      </c>
      <c r="M29">
        <f>ROUND(ROUND(L29*Source!I75, 6)*1, 2)</f>
        <v>14.1</v>
      </c>
      <c r="N29">
        <f>SmtRes!AA22</f>
        <v>190540.34</v>
      </c>
      <c r="O29">
        <f>ROUND(ROUND(L29*Source!I75, 6)*SmtRes!DA22, 2)</f>
        <v>14.1</v>
      </c>
      <c r="P29">
        <f>SmtRes!AG22</f>
        <v>0</v>
      </c>
      <c r="Q29">
        <f>SmtRes!DC22</f>
        <v>0</v>
      </c>
      <c r="R29">
        <f>ROUND(ROUND(Q29*Source!I75, 6)*1, 2)</f>
        <v>0</v>
      </c>
      <c r="S29">
        <f>SmtRes!AC22</f>
        <v>0</v>
      </c>
      <c r="T29">
        <f>ROUND(ROUND(Q29*Source!I75, 6)*SmtRes!AK22, 2)</f>
        <v>0</v>
      </c>
      <c r="U29">
        <v>3</v>
      </c>
      <c r="Z29">
        <f>SmtRes!X22</f>
        <v>-181271767</v>
      </c>
      <c r="AA29">
        <v>-2066596354</v>
      </c>
      <c r="AB29">
        <v>-2066596354</v>
      </c>
    </row>
    <row r="30" spans="1:28" x14ac:dyDescent="0.2">
      <c r="A30">
        <v>20</v>
      </c>
      <c r="B30">
        <v>21</v>
      </c>
      <c r="C30">
        <v>2</v>
      </c>
      <c r="D30">
        <v>0</v>
      </c>
      <c r="E30">
        <f>SmtRes!AV21</f>
        <v>0</v>
      </c>
      <c r="F30" t="str">
        <f>SmtRes!I21</f>
        <v>22.1-30-102</v>
      </c>
      <c r="G30" t="str">
        <f>SmtRes!K21</f>
        <v>Дрели электрические, двухскоростные, мощностью 600 Вт</v>
      </c>
      <c r="H30" t="str">
        <f>SmtRes!O21</f>
        <v>маш.-ч</v>
      </c>
      <c r="I30">
        <f>SmtRes!Y21*Source!I75</f>
        <v>1.4999999999999999E-2</v>
      </c>
      <c r="J30">
        <f>SmtRes!AO21</f>
        <v>1</v>
      </c>
      <c r="K30">
        <f>SmtRes!AF21</f>
        <v>4.72</v>
      </c>
      <c r="L30">
        <f>SmtRes!DB21</f>
        <v>0.71</v>
      </c>
      <c r="M30">
        <f>ROUND(ROUND(L30*Source!I75, 6)*1, 2)</f>
        <v>7.0000000000000007E-2</v>
      </c>
      <c r="N30">
        <f>SmtRes!AB21</f>
        <v>4.72</v>
      </c>
      <c r="O30">
        <f>ROUND(ROUND(L30*Source!I75, 6)*SmtRes!DA21, 2)</f>
        <v>7.0000000000000007E-2</v>
      </c>
      <c r="P30">
        <f>SmtRes!AG21</f>
        <v>0.1</v>
      </c>
      <c r="Q30">
        <f>SmtRes!DC21</f>
        <v>0.02</v>
      </c>
      <c r="R30">
        <f>ROUND(ROUND(Q30*Source!I75, 6)*1, 2)</f>
        <v>0</v>
      </c>
      <c r="S30">
        <f>SmtRes!AC21</f>
        <v>0.1</v>
      </c>
      <c r="T30">
        <f>ROUND(ROUND(Q30*Source!I75, 6)*SmtRes!AK21, 2)</f>
        <v>0</v>
      </c>
      <c r="U30">
        <v>2</v>
      </c>
      <c r="Z30">
        <f>SmtRes!X21</f>
        <v>-1817365194</v>
      </c>
      <c r="AA30">
        <v>994397835</v>
      </c>
      <c r="AB30">
        <v>994397835</v>
      </c>
    </row>
    <row r="31" spans="1:28" x14ac:dyDescent="0.2">
      <c r="A31">
        <v>20</v>
      </c>
      <c r="B31">
        <v>20</v>
      </c>
      <c r="C31">
        <v>2</v>
      </c>
      <c r="D31">
        <v>0</v>
      </c>
      <c r="E31">
        <f>SmtRes!AV20</f>
        <v>0</v>
      </c>
      <c r="F31" t="str">
        <f>SmtRes!I20</f>
        <v>22.1-30-10</v>
      </c>
      <c r="G31" t="str">
        <f>SmtRes!K20</f>
        <v>Перфораторы электрические, мощность до 500 Вт</v>
      </c>
      <c r="H31" t="str">
        <f>SmtRes!O20</f>
        <v>маш.-ч</v>
      </c>
      <c r="I31">
        <f>SmtRes!Y20*Source!I75</f>
        <v>1.3</v>
      </c>
      <c r="J31">
        <f>SmtRes!AO20</f>
        <v>1</v>
      </c>
      <c r="K31">
        <f>SmtRes!AF20</f>
        <v>5.13</v>
      </c>
      <c r="L31">
        <f>SmtRes!DB20</f>
        <v>66.69</v>
      </c>
      <c r="M31">
        <f>ROUND(ROUND(L31*Source!I75, 6)*1, 2)</f>
        <v>6.67</v>
      </c>
      <c r="N31">
        <f>SmtRes!AB20</f>
        <v>5.13</v>
      </c>
      <c r="O31">
        <f>ROUND(ROUND(L31*Source!I75, 6)*SmtRes!DA20, 2)</f>
        <v>6.67</v>
      </c>
      <c r="P31">
        <f>SmtRes!AG20</f>
        <v>7.0000000000000007E-2</v>
      </c>
      <c r="Q31">
        <f>SmtRes!DC20</f>
        <v>0.91</v>
      </c>
      <c r="R31">
        <f>ROUND(ROUND(Q31*Source!I75, 6)*1, 2)</f>
        <v>0.09</v>
      </c>
      <c r="S31">
        <f>SmtRes!AC20</f>
        <v>7.0000000000000007E-2</v>
      </c>
      <c r="T31">
        <f>ROUND(ROUND(Q31*Source!I75, 6)*SmtRes!AK20, 2)</f>
        <v>0.09</v>
      </c>
      <c r="U31">
        <v>2</v>
      </c>
      <c r="Z31">
        <f>SmtRes!X20</f>
        <v>71529876</v>
      </c>
      <c r="AA31">
        <v>1905737043</v>
      </c>
      <c r="AB31">
        <v>1905737043</v>
      </c>
    </row>
    <row r="32" spans="1:28" x14ac:dyDescent="0.2">
      <c r="A32">
        <f>Source!A76</f>
        <v>18</v>
      </c>
      <c r="B32">
        <v>76</v>
      </c>
      <c r="C32">
        <v>3</v>
      </c>
      <c r="D32">
        <f>Source!BI76</f>
        <v>4</v>
      </c>
      <c r="E32">
        <f>Source!FS76</f>
        <v>0</v>
      </c>
      <c r="F32" t="str">
        <f>Source!F76</f>
        <v>21.1-25-758</v>
      </c>
      <c r="G32" t="str">
        <f>Source!G76</f>
        <v>Кабель-каналы, размер 20х12,5 мм: кабель-каналы</v>
      </c>
      <c r="H32" t="str">
        <f>Source!H76</f>
        <v>м</v>
      </c>
      <c r="I32">
        <f>Source!I76</f>
        <v>-10</v>
      </c>
      <c r="J32">
        <v>1</v>
      </c>
      <c r="K32">
        <f>Source!AC76</f>
        <v>45.22</v>
      </c>
      <c r="M32">
        <f t="shared" ref="M32:M38" si="0">ROUND(K32*I32, 2)</f>
        <v>-452.2</v>
      </c>
      <c r="N32">
        <f>Source!AC76*IF(Source!BC76&lt;&gt; 0, Source!BC76, 1)</f>
        <v>45.22</v>
      </c>
      <c r="O32">
        <f t="shared" ref="O32:O38" si="1">ROUND(N32*I32, 2)</f>
        <v>-452.2</v>
      </c>
      <c r="P32">
        <f>Source!AE76</f>
        <v>0</v>
      </c>
      <c r="R32">
        <f t="shared" ref="R32:R38" si="2">ROUND(P32*I32, 2)</f>
        <v>0</v>
      </c>
      <c r="S32">
        <f>Source!AE76*IF(Source!BS76&lt;&gt; 0, Source!BS76, 1)</f>
        <v>0</v>
      </c>
      <c r="T32">
        <f t="shared" ref="T32:T38" si="3">ROUND(S32*I32, 2)</f>
        <v>0</v>
      </c>
      <c r="U32">
        <v>3</v>
      </c>
      <c r="Z32">
        <f>Source!GF76</f>
        <v>346125033</v>
      </c>
      <c r="AA32">
        <v>858105807</v>
      </c>
      <c r="AB32">
        <v>858105807</v>
      </c>
    </row>
    <row r="33" spans="1:28" x14ac:dyDescent="0.2">
      <c r="A33">
        <f>Source!A77</f>
        <v>18</v>
      </c>
      <c r="B33">
        <v>77</v>
      </c>
      <c r="C33">
        <v>3</v>
      </c>
      <c r="D33">
        <f>Source!BI77</f>
        <v>4</v>
      </c>
      <c r="E33">
        <f>Source!FS77</f>
        <v>0</v>
      </c>
      <c r="F33" t="str">
        <f>Source!F77</f>
        <v>21.1-25-759</v>
      </c>
      <c r="G33" t="str">
        <f>Source!G77</f>
        <v>Кабель-каналы, размер 20х12,5 мм: углы внутренние</v>
      </c>
      <c r="H33" t="str">
        <f>Source!H77</f>
        <v>1000 шт.</v>
      </c>
      <c r="I33">
        <f>Source!I77</f>
        <v>-2.0000000000000001E-4</v>
      </c>
      <c r="J33">
        <v>1</v>
      </c>
      <c r="K33">
        <f>Source!AC77</f>
        <v>46130.16</v>
      </c>
      <c r="M33">
        <f t="shared" si="0"/>
        <v>-9.23</v>
      </c>
      <c r="N33">
        <f>Source!AC77*IF(Source!BC77&lt;&gt; 0, Source!BC77, 1)</f>
        <v>46130.16</v>
      </c>
      <c r="O33">
        <f t="shared" si="1"/>
        <v>-9.23</v>
      </c>
      <c r="P33">
        <f>Source!AE77</f>
        <v>0</v>
      </c>
      <c r="R33">
        <f t="shared" si="2"/>
        <v>0</v>
      </c>
      <c r="S33">
        <f>Source!AE77*IF(Source!BS77&lt;&gt; 0, Source!BS77, 1)</f>
        <v>0</v>
      </c>
      <c r="T33">
        <f t="shared" si="3"/>
        <v>0</v>
      </c>
      <c r="U33">
        <v>3</v>
      </c>
      <c r="Z33">
        <f>Source!GF77</f>
        <v>2135828952</v>
      </c>
      <c r="AA33">
        <v>1715765445</v>
      </c>
      <c r="AB33">
        <v>1715765445</v>
      </c>
    </row>
    <row r="34" spans="1:28" x14ac:dyDescent="0.2">
      <c r="A34">
        <f>Source!A78</f>
        <v>18</v>
      </c>
      <c r="B34">
        <v>78</v>
      </c>
      <c r="C34">
        <v>3</v>
      </c>
      <c r="D34">
        <f>Source!BI78</f>
        <v>4</v>
      </c>
      <c r="E34">
        <f>Source!FS78</f>
        <v>0</v>
      </c>
      <c r="F34" t="str">
        <f>Source!F78</f>
        <v>21.1-25-760</v>
      </c>
      <c r="G34" t="str">
        <f>Source!G78</f>
        <v>Кабель-каналы, размер 20х12,5 мм: углы наружные</v>
      </c>
      <c r="H34" t="str">
        <f>Source!H78</f>
        <v>1000 шт.</v>
      </c>
      <c r="I34">
        <f>Source!I78</f>
        <v>-1.5E-3</v>
      </c>
      <c r="J34">
        <v>1</v>
      </c>
      <c r="K34">
        <f>Source!AC78</f>
        <v>47663.58</v>
      </c>
      <c r="M34">
        <f t="shared" si="0"/>
        <v>-71.5</v>
      </c>
      <c r="N34">
        <f>Source!AC78*IF(Source!BC78&lt;&gt; 0, Source!BC78, 1)</f>
        <v>47663.58</v>
      </c>
      <c r="O34">
        <f t="shared" si="1"/>
        <v>-71.5</v>
      </c>
      <c r="P34">
        <f>Source!AE78</f>
        <v>0</v>
      </c>
      <c r="R34">
        <f t="shared" si="2"/>
        <v>0</v>
      </c>
      <c r="S34">
        <f>Source!AE78*IF(Source!BS78&lt;&gt; 0, Source!BS78, 1)</f>
        <v>0</v>
      </c>
      <c r="T34">
        <f t="shared" si="3"/>
        <v>0</v>
      </c>
      <c r="U34">
        <v>3</v>
      </c>
      <c r="Z34">
        <f>Source!GF78</f>
        <v>1788884033</v>
      </c>
      <c r="AA34">
        <v>878306581</v>
      </c>
      <c r="AB34">
        <v>878306581</v>
      </c>
    </row>
    <row r="35" spans="1:28" x14ac:dyDescent="0.2">
      <c r="A35">
        <f>Source!A79</f>
        <v>18</v>
      </c>
      <c r="B35">
        <v>79</v>
      </c>
      <c r="C35">
        <v>3</v>
      </c>
      <c r="D35">
        <f>Source!BI79</f>
        <v>4</v>
      </c>
      <c r="E35">
        <f>Source!FS79</f>
        <v>0</v>
      </c>
      <c r="F35" t="str">
        <f>Source!F79</f>
        <v>21.1-25-761</v>
      </c>
      <c r="G35" t="str">
        <f>Source!G79</f>
        <v>Кабель-каналы, размер 20х12,5 мм: углы плоские</v>
      </c>
      <c r="H35" t="str">
        <f>Source!H79</f>
        <v>1000 шт.</v>
      </c>
      <c r="I35">
        <f>Source!I79</f>
        <v>-2.0000000000000001E-4</v>
      </c>
      <c r="J35">
        <v>1</v>
      </c>
      <c r="K35">
        <f>Source!AC79</f>
        <v>49894.85</v>
      </c>
      <c r="M35">
        <f t="shared" si="0"/>
        <v>-9.98</v>
      </c>
      <c r="N35">
        <f>Source!AC79*IF(Source!BC79&lt;&gt; 0, Source!BC79, 1)</f>
        <v>49894.85</v>
      </c>
      <c r="O35">
        <f t="shared" si="1"/>
        <v>-9.98</v>
      </c>
      <c r="P35">
        <f>Source!AE79</f>
        <v>0</v>
      </c>
      <c r="R35">
        <f t="shared" si="2"/>
        <v>0</v>
      </c>
      <c r="S35">
        <f>Source!AE79*IF(Source!BS79&lt;&gt; 0, Source!BS79, 1)</f>
        <v>0</v>
      </c>
      <c r="T35">
        <f t="shared" si="3"/>
        <v>0</v>
      </c>
      <c r="U35">
        <v>3</v>
      </c>
      <c r="Z35">
        <f>Source!GF79</f>
        <v>1974258039</v>
      </c>
      <c r="AA35">
        <v>989801447</v>
      </c>
      <c r="AB35">
        <v>989801447</v>
      </c>
    </row>
    <row r="36" spans="1:28" x14ac:dyDescent="0.2">
      <c r="A36">
        <f>Source!A80</f>
        <v>18</v>
      </c>
      <c r="B36">
        <v>80</v>
      </c>
      <c r="C36">
        <v>3</v>
      </c>
      <c r="D36">
        <f>Source!BI80</f>
        <v>4</v>
      </c>
      <c r="E36">
        <f>Source!FS80</f>
        <v>0</v>
      </c>
      <c r="F36" t="str">
        <f>Source!F80</f>
        <v>21.1-25-762</v>
      </c>
      <c r="G36" t="str">
        <f>Source!G80</f>
        <v>Кабель-каналы, размер 20х12,5 мм: заглушки</v>
      </c>
      <c r="H36" t="str">
        <f>Source!H80</f>
        <v>1000 шт.</v>
      </c>
      <c r="I36">
        <f>Source!I80</f>
        <v>-1.5E-3</v>
      </c>
      <c r="J36">
        <v>1</v>
      </c>
      <c r="K36">
        <f>Source!AC80</f>
        <v>35547.599999999999</v>
      </c>
      <c r="M36">
        <f t="shared" si="0"/>
        <v>-53.32</v>
      </c>
      <c r="N36">
        <f>Source!AC80*IF(Source!BC80&lt;&gt; 0, Source!BC80, 1)</f>
        <v>35547.599999999999</v>
      </c>
      <c r="O36">
        <f t="shared" si="1"/>
        <v>-53.32</v>
      </c>
      <c r="P36">
        <f>Source!AE80</f>
        <v>0</v>
      </c>
      <c r="R36">
        <f t="shared" si="2"/>
        <v>0</v>
      </c>
      <c r="S36">
        <f>Source!AE80*IF(Source!BS80&lt;&gt; 0, Source!BS80, 1)</f>
        <v>0</v>
      </c>
      <c r="T36">
        <f t="shared" si="3"/>
        <v>0</v>
      </c>
      <c r="U36">
        <v>3</v>
      </c>
      <c r="Z36">
        <f>Source!GF80</f>
        <v>1865267899</v>
      </c>
      <c r="AA36">
        <v>-1374876318</v>
      </c>
      <c r="AB36">
        <v>-1374876318</v>
      </c>
    </row>
    <row r="37" spans="1:28" x14ac:dyDescent="0.2">
      <c r="A37">
        <f>Source!A81</f>
        <v>18</v>
      </c>
      <c r="B37">
        <v>81</v>
      </c>
      <c r="C37">
        <v>3</v>
      </c>
      <c r="D37">
        <f>Source!BI81</f>
        <v>4</v>
      </c>
      <c r="E37">
        <f>Source!FS81</f>
        <v>0</v>
      </c>
      <c r="F37" t="str">
        <f>Source!F81</f>
        <v>21.1-25-763</v>
      </c>
      <c r="G37" t="str">
        <f>Source!G81</f>
        <v>Кабель-каналы, размер 20х12,5 мм: ответвления Т-образные</v>
      </c>
      <c r="H37" t="str">
        <f>Source!H81</f>
        <v>1000 шт.</v>
      </c>
      <c r="I37">
        <f>Source!I81</f>
        <v>-2.0000000000000001E-4</v>
      </c>
      <c r="J37">
        <v>1</v>
      </c>
      <c r="K37">
        <f>Source!AC81</f>
        <v>50599.41</v>
      </c>
      <c r="M37">
        <f t="shared" si="0"/>
        <v>-10.119999999999999</v>
      </c>
      <c r="N37">
        <f>Source!AC81*IF(Source!BC81&lt;&gt; 0, Source!BC81, 1)</f>
        <v>50599.41</v>
      </c>
      <c r="O37">
        <f t="shared" si="1"/>
        <v>-10.119999999999999</v>
      </c>
      <c r="P37">
        <f>Source!AE81</f>
        <v>0</v>
      </c>
      <c r="R37">
        <f t="shared" si="2"/>
        <v>0</v>
      </c>
      <c r="S37">
        <f>Source!AE81*IF(Source!BS81&lt;&gt; 0, Source!BS81, 1)</f>
        <v>0</v>
      </c>
      <c r="T37">
        <f t="shared" si="3"/>
        <v>0</v>
      </c>
      <c r="U37">
        <v>3</v>
      </c>
      <c r="Z37">
        <f>Source!GF81</f>
        <v>-1262690695</v>
      </c>
      <c r="AA37">
        <v>-683420265</v>
      </c>
      <c r="AB37">
        <v>-683420265</v>
      </c>
    </row>
    <row r="38" spans="1:28" x14ac:dyDescent="0.2">
      <c r="A38">
        <f>Source!A82</f>
        <v>18</v>
      </c>
      <c r="B38">
        <v>82</v>
      </c>
      <c r="C38">
        <v>3</v>
      </c>
      <c r="D38">
        <f>Source!BI82</f>
        <v>4</v>
      </c>
      <c r="E38">
        <f>Source!FS82</f>
        <v>0</v>
      </c>
      <c r="F38" t="str">
        <f>Source!F82</f>
        <v>21.1-25-764</v>
      </c>
      <c r="G38" t="str">
        <f>Source!G82</f>
        <v>Кабель-каналы, размер 20х12,5 мм: накладки стыковые</v>
      </c>
      <c r="H38" t="str">
        <f>Source!H82</f>
        <v>1000 шт.</v>
      </c>
      <c r="I38">
        <f>Source!I82</f>
        <v>-4.0000000000000002E-4</v>
      </c>
      <c r="J38">
        <v>1</v>
      </c>
      <c r="K38">
        <f>Source!AC82</f>
        <v>20680.189999999999</v>
      </c>
      <c r="M38">
        <f t="shared" si="0"/>
        <v>-8.27</v>
      </c>
      <c r="N38">
        <f>Source!AC82*IF(Source!BC82&lt;&gt; 0, Source!BC82, 1)</f>
        <v>20680.189999999999</v>
      </c>
      <c r="O38">
        <f t="shared" si="1"/>
        <v>-8.27</v>
      </c>
      <c r="P38">
        <f>Source!AE82</f>
        <v>0</v>
      </c>
      <c r="R38">
        <f t="shared" si="2"/>
        <v>0</v>
      </c>
      <c r="S38">
        <f>Source!AE82*IF(Source!BS82&lt;&gt; 0, Source!BS82, 1)</f>
        <v>0</v>
      </c>
      <c r="T38">
        <f t="shared" si="3"/>
        <v>0</v>
      </c>
      <c r="U38">
        <v>3</v>
      </c>
      <c r="Z38">
        <f>Source!GF82</f>
        <v>2018493704</v>
      </c>
      <c r="AA38">
        <v>730580190</v>
      </c>
      <c r="AB38">
        <v>730580190</v>
      </c>
    </row>
    <row r="39" spans="1:28" x14ac:dyDescent="0.2">
      <c r="A39">
        <v>20</v>
      </c>
      <c r="B39">
        <v>46</v>
      </c>
      <c r="C39">
        <v>3</v>
      </c>
      <c r="D39">
        <v>0</v>
      </c>
      <c r="E39">
        <f>SmtRes!AV46</f>
        <v>0</v>
      </c>
      <c r="F39" t="str">
        <f>SmtRes!I46</f>
        <v>21.23-13-14</v>
      </c>
      <c r="G39" t="str">
        <f>SmtRes!K46</f>
        <v>Провода силовые с медными жилами в поливинилхлоридной изоляции, марка ПуГВ, номинальное напряжение до 450 В, число жил и сечение 1х6 мм2</v>
      </c>
      <c r="H39" t="str">
        <f>SmtRes!O46</f>
        <v>км</v>
      </c>
      <c r="I39">
        <f>SmtRes!Y46*Source!I83</f>
        <v>1.5449999999999998E-2</v>
      </c>
      <c r="J39">
        <f>SmtRes!AO46</f>
        <v>1</v>
      </c>
      <c r="K39">
        <f>SmtRes!AE46</f>
        <v>99643.05</v>
      </c>
      <c r="L39">
        <f>SmtRes!DB46</f>
        <v>10263.23</v>
      </c>
      <c r="M39">
        <f>ROUND(ROUND(L39*Source!I83, 6)*1, 2)</f>
        <v>1539.48</v>
      </c>
      <c r="N39">
        <f>SmtRes!AA46</f>
        <v>99643.05</v>
      </c>
      <c r="O39">
        <f>ROUND(ROUND(L39*Source!I83, 6)*SmtRes!DA46, 2)</f>
        <v>1539.48</v>
      </c>
      <c r="P39">
        <f>SmtRes!AG46</f>
        <v>0</v>
      </c>
      <c r="Q39">
        <f>SmtRes!DC46</f>
        <v>0</v>
      </c>
      <c r="R39">
        <f>ROUND(ROUND(Q39*Source!I83, 6)*1, 2)</f>
        <v>0</v>
      </c>
      <c r="S39">
        <f>SmtRes!AC46</f>
        <v>0</v>
      </c>
      <c r="T39">
        <f>ROUND(ROUND(Q39*Source!I83, 6)*SmtRes!AK46, 2)</f>
        <v>0</v>
      </c>
      <c r="U39">
        <v>3</v>
      </c>
      <c r="Z39">
        <f>SmtRes!X46</f>
        <v>1173250179</v>
      </c>
      <c r="AA39">
        <v>-458052105</v>
      </c>
      <c r="AB39">
        <v>-458052105</v>
      </c>
    </row>
    <row r="40" spans="1:28" x14ac:dyDescent="0.2">
      <c r="A40">
        <v>20</v>
      </c>
      <c r="B40">
        <v>45</v>
      </c>
      <c r="C40">
        <v>3</v>
      </c>
      <c r="D40">
        <v>0</v>
      </c>
      <c r="E40">
        <f>SmtRes!AV45</f>
        <v>0</v>
      </c>
      <c r="F40" t="str">
        <f>SmtRes!I45</f>
        <v>21.21-5-44</v>
      </c>
      <c r="G40" t="str">
        <f>SmtRes!K45</f>
        <v>Кнопки для ленты ЛМ, тип 3,5</v>
      </c>
      <c r="H40" t="str">
        <f>SmtRes!O45</f>
        <v>1000 шт.</v>
      </c>
      <c r="I40">
        <f>SmtRes!Y45*Source!I83</f>
        <v>3.0000000000000001E-3</v>
      </c>
      <c r="J40">
        <f>SmtRes!AO45</f>
        <v>1</v>
      </c>
      <c r="K40">
        <f>SmtRes!AE45</f>
        <v>258.44</v>
      </c>
      <c r="L40">
        <f>SmtRes!DB45</f>
        <v>5.17</v>
      </c>
      <c r="M40">
        <f>ROUND(ROUND(L40*Source!I83, 6)*1, 2)</f>
        <v>0.78</v>
      </c>
      <c r="N40">
        <f>SmtRes!AA45</f>
        <v>258.44</v>
      </c>
      <c r="O40">
        <f>ROUND(ROUND(L40*Source!I83, 6)*SmtRes!DA45, 2)</f>
        <v>0.78</v>
      </c>
      <c r="P40">
        <f>SmtRes!AG45</f>
        <v>0</v>
      </c>
      <c r="Q40">
        <f>SmtRes!DC45</f>
        <v>0</v>
      </c>
      <c r="R40">
        <f>ROUND(ROUND(Q40*Source!I83, 6)*1, 2)</f>
        <v>0</v>
      </c>
      <c r="S40">
        <f>SmtRes!AC45</f>
        <v>0</v>
      </c>
      <c r="T40">
        <f>ROUND(ROUND(Q40*Source!I83, 6)*SmtRes!AK45, 2)</f>
        <v>0</v>
      </c>
      <c r="U40">
        <v>3</v>
      </c>
      <c r="Z40">
        <f>SmtRes!X45</f>
        <v>-1680055193</v>
      </c>
      <c r="AA40">
        <v>-2054620093</v>
      </c>
      <c r="AB40">
        <v>-2054620093</v>
      </c>
    </row>
    <row r="41" spans="1:28" x14ac:dyDescent="0.2">
      <c r="A41">
        <v>20</v>
      </c>
      <c r="B41">
        <v>44</v>
      </c>
      <c r="C41">
        <v>3</v>
      </c>
      <c r="D41">
        <v>0</v>
      </c>
      <c r="E41">
        <f>SmtRes!AV44</f>
        <v>0</v>
      </c>
      <c r="F41" t="str">
        <f>SmtRes!I44</f>
        <v>21.21-5-342</v>
      </c>
      <c r="G41" t="str">
        <f>SmtRes!K44</f>
        <v>Хомуты (стяжки) кабельные из полиамида, размеры 3,6х200 мм</v>
      </c>
      <c r="H41" t="str">
        <f>SmtRes!O44</f>
        <v>100 шт.</v>
      </c>
      <c r="I41">
        <f>SmtRes!Y44*Source!I83</f>
        <v>3.9E-2</v>
      </c>
      <c r="J41">
        <f>SmtRes!AO44</f>
        <v>1</v>
      </c>
      <c r="K41">
        <f>SmtRes!AE44</f>
        <v>127.48</v>
      </c>
      <c r="L41">
        <f>SmtRes!DB44</f>
        <v>33.14</v>
      </c>
      <c r="M41">
        <f>ROUND(ROUND(L41*Source!I83, 6)*1, 2)</f>
        <v>4.97</v>
      </c>
      <c r="N41">
        <f>SmtRes!AA44</f>
        <v>127.48</v>
      </c>
      <c r="O41">
        <f>ROUND(ROUND(L41*Source!I83, 6)*SmtRes!DA44, 2)</f>
        <v>4.97</v>
      </c>
      <c r="P41">
        <f>SmtRes!AG44</f>
        <v>0</v>
      </c>
      <c r="Q41">
        <f>SmtRes!DC44</f>
        <v>0</v>
      </c>
      <c r="R41">
        <f>ROUND(ROUND(Q41*Source!I83, 6)*1, 2)</f>
        <v>0</v>
      </c>
      <c r="S41">
        <f>SmtRes!AC44</f>
        <v>0</v>
      </c>
      <c r="T41">
        <f>ROUND(ROUND(Q41*Source!I83, 6)*SmtRes!AK44, 2)</f>
        <v>0</v>
      </c>
      <c r="U41">
        <v>3</v>
      </c>
      <c r="Z41">
        <f>SmtRes!X44</f>
        <v>527662241</v>
      </c>
      <c r="AA41">
        <v>-1533345047</v>
      </c>
      <c r="AB41">
        <v>-1533345047</v>
      </c>
    </row>
    <row r="42" spans="1:28" x14ac:dyDescent="0.2">
      <c r="A42">
        <v>20</v>
      </c>
      <c r="B42">
        <v>43</v>
      </c>
      <c r="C42">
        <v>3</v>
      </c>
      <c r="D42">
        <v>0</v>
      </c>
      <c r="E42">
        <f>SmtRes!AV43</f>
        <v>0</v>
      </c>
      <c r="F42" t="str">
        <f>SmtRes!I43</f>
        <v>21.21-5-305</v>
      </c>
      <c r="G42" t="str">
        <f>SmtRes!K43</f>
        <v>Сжимы, тип У731М для проводников магистральных сечением от 4 до 10 мм2 и ответвительных от 1,5 до 10 мм2</v>
      </c>
      <c r="H42" t="str">
        <f>SmtRes!O43</f>
        <v>шт.</v>
      </c>
      <c r="I42">
        <f>SmtRes!Y43*Source!I83</f>
        <v>1.5</v>
      </c>
      <c r="J42">
        <f>SmtRes!AO43</f>
        <v>1</v>
      </c>
      <c r="K42">
        <f>SmtRes!AE43</f>
        <v>29.36</v>
      </c>
      <c r="L42">
        <f>SmtRes!DB43</f>
        <v>293.60000000000002</v>
      </c>
      <c r="M42">
        <f>ROUND(ROUND(L42*Source!I83, 6)*1, 2)</f>
        <v>44.04</v>
      </c>
      <c r="N42">
        <f>SmtRes!AA43</f>
        <v>29.36</v>
      </c>
      <c r="O42">
        <f>ROUND(ROUND(L42*Source!I83, 6)*SmtRes!DA43, 2)</f>
        <v>44.04</v>
      </c>
      <c r="P42">
        <f>SmtRes!AG43</f>
        <v>0</v>
      </c>
      <c r="Q42">
        <f>SmtRes!DC43</f>
        <v>0</v>
      </c>
      <c r="R42">
        <f>ROUND(ROUND(Q42*Source!I83, 6)*1, 2)</f>
        <v>0</v>
      </c>
      <c r="S42">
        <f>SmtRes!AC43</f>
        <v>0</v>
      </c>
      <c r="T42">
        <f>ROUND(ROUND(Q42*Source!I83, 6)*SmtRes!AK43, 2)</f>
        <v>0</v>
      </c>
      <c r="U42">
        <v>3</v>
      </c>
      <c r="Z42">
        <f>SmtRes!X43</f>
        <v>1884843886</v>
      </c>
      <c r="AA42">
        <v>1143219249</v>
      </c>
      <c r="AB42">
        <v>1143219249</v>
      </c>
    </row>
    <row r="43" spans="1:28" x14ac:dyDescent="0.2">
      <c r="A43">
        <v>20</v>
      </c>
      <c r="B43">
        <v>42</v>
      </c>
      <c r="C43">
        <v>3</v>
      </c>
      <c r="D43">
        <v>0</v>
      </c>
      <c r="E43">
        <f>SmtRes!AV42</f>
        <v>0</v>
      </c>
      <c r="F43" t="str">
        <f>SmtRes!I42</f>
        <v>21.21-5-2</v>
      </c>
      <c r="G43" t="str">
        <f>SmtRes!K42</f>
        <v>Бирки маркировочные для кабелей и проводов, тип У153 У3,5</v>
      </c>
      <c r="H43" t="str">
        <f>SmtRes!O42</f>
        <v>1000 шт.</v>
      </c>
      <c r="I43">
        <f>SmtRes!Y42*Source!I83</f>
        <v>7.5000000000000002E-4</v>
      </c>
      <c r="J43">
        <f>SmtRes!AO42</f>
        <v>1</v>
      </c>
      <c r="K43">
        <f>SmtRes!AE42</f>
        <v>718.56</v>
      </c>
      <c r="L43">
        <f>SmtRes!DB42</f>
        <v>3.59</v>
      </c>
      <c r="M43">
        <f>ROUND(ROUND(L43*Source!I83, 6)*1, 2)</f>
        <v>0.54</v>
      </c>
      <c r="N43">
        <f>SmtRes!AA42</f>
        <v>718.56</v>
      </c>
      <c r="O43">
        <f>ROUND(ROUND(L43*Source!I83, 6)*SmtRes!DA42, 2)</f>
        <v>0.54</v>
      </c>
      <c r="P43">
        <f>SmtRes!AG42</f>
        <v>0</v>
      </c>
      <c r="Q43">
        <f>SmtRes!DC42</f>
        <v>0</v>
      </c>
      <c r="R43">
        <f>ROUND(ROUND(Q43*Source!I83, 6)*1, 2)</f>
        <v>0</v>
      </c>
      <c r="S43">
        <f>SmtRes!AC42</f>
        <v>0</v>
      </c>
      <c r="T43">
        <f>ROUND(ROUND(Q43*Source!I83, 6)*SmtRes!AK42, 2)</f>
        <v>0</v>
      </c>
      <c r="U43">
        <v>3</v>
      </c>
      <c r="Z43">
        <f>SmtRes!X42</f>
        <v>-1948375318</v>
      </c>
      <c r="AA43">
        <v>299589489</v>
      </c>
      <c r="AB43">
        <v>299589489</v>
      </c>
    </row>
    <row r="44" spans="1:28" x14ac:dyDescent="0.2">
      <c r="A44">
        <v>20</v>
      </c>
      <c r="B44">
        <v>41</v>
      </c>
      <c r="C44">
        <v>3</v>
      </c>
      <c r="D44">
        <v>0</v>
      </c>
      <c r="E44">
        <f>SmtRes!AV41</f>
        <v>0</v>
      </c>
      <c r="F44" t="str">
        <f>SmtRes!I41</f>
        <v>21.21-5-114</v>
      </c>
      <c r="G44" t="str">
        <f>SmtRes!K41</f>
        <v>Лента монтажная, тип ЛМ-5</v>
      </c>
      <c r="H44" t="str">
        <f>SmtRes!O41</f>
        <v>м</v>
      </c>
      <c r="I44">
        <f>SmtRes!Y41*Source!I83</f>
        <v>0.75</v>
      </c>
      <c r="J44">
        <f>SmtRes!AO41</f>
        <v>1</v>
      </c>
      <c r="K44">
        <f>SmtRes!AE41</f>
        <v>5.71</v>
      </c>
      <c r="L44">
        <f>SmtRes!DB41</f>
        <v>28.55</v>
      </c>
      <c r="M44">
        <f>ROUND(ROUND(L44*Source!I83, 6)*1, 2)</f>
        <v>4.28</v>
      </c>
      <c r="N44">
        <f>SmtRes!AA41</f>
        <v>5.71</v>
      </c>
      <c r="O44">
        <f>ROUND(ROUND(L44*Source!I83, 6)*SmtRes!DA41, 2)</f>
        <v>4.28</v>
      </c>
      <c r="P44">
        <f>SmtRes!AG41</f>
        <v>0</v>
      </c>
      <c r="Q44">
        <f>SmtRes!DC41</f>
        <v>0</v>
      </c>
      <c r="R44">
        <f>ROUND(ROUND(Q44*Source!I83, 6)*1, 2)</f>
        <v>0</v>
      </c>
      <c r="S44">
        <f>SmtRes!AC41</f>
        <v>0</v>
      </c>
      <c r="T44">
        <f>ROUND(ROUND(Q44*Source!I83, 6)*SmtRes!AK41, 2)</f>
        <v>0</v>
      </c>
      <c r="U44">
        <v>3</v>
      </c>
      <c r="Z44">
        <f>SmtRes!X41</f>
        <v>-1189895200</v>
      </c>
      <c r="AA44">
        <v>193152040</v>
      </c>
      <c r="AB44">
        <v>193152040</v>
      </c>
    </row>
    <row r="45" spans="1:28" x14ac:dyDescent="0.2">
      <c r="A45">
        <v>20</v>
      </c>
      <c r="B45">
        <v>40</v>
      </c>
      <c r="C45">
        <v>3</v>
      </c>
      <c r="D45">
        <v>0</v>
      </c>
      <c r="E45">
        <f>SmtRes!AV40</f>
        <v>0</v>
      </c>
      <c r="F45" t="str">
        <f>SmtRes!I40</f>
        <v>21.1-20-10</v>
      </c>
      <c r="G45" t="str">
        <f>SmtRes!K40</f>
        <v>Лента изоляционная хлопчатобумажная</v>
      </c>
      <c r="H45" t="str">
        <f>SmtRes!O40</f>
        <v>кг</v>
      </c>
      <c r="I45">
        <f>SmtRes!Y40*Source!I83</f>
        <v>2.4E-2</v>
      </c>
      <c r="J45">
        <f>SmtRes!AO40</f>
        <v>1</v>
      </c>
      <c r="K45">
        <f>SmtRes!AE40</f>
        <v>363.22</v>
      </c>
      <c r="L45">
        <f>SmtRes!DB40</f>
        <v>58.12</v>
      </c>
      <c r="M45">
        <f>ROUND(ROUND(L45*Source!I83, 6)*1, 2)</f>
        <v>8.7200000000000006</v>
      </c>
      <c r="N45">
        <f>SmtRes!AA40</f>
        <v>363.22</v>
      </c>
      <c r="O45">
        <f>ROUND(ROUND(L45*Source!I83, 6)*SmtRes!DA40, 2)</f>
        <v>8.7200000000000006</v>
      </c>
      <c r="P45">
        <f>SmtRes!AG40</f>
        <v>0</v>
      </c>
      <c r="Q45">
        <f>SmtRes!DC40</f>
        <v>0</v>
      </c>
      <c r="R45">
        <f>ROUND(ROUND(Q45*Source!I83, 6)*1, 2)</f>
        <v>0</v>
      </c>
      <c r="S45">
        <f>SmtRes!AC40</f>
        <v>0</v>
      </c>
      <c r="T45">
        <f>ROUND(ROUND(Q45*Source!I83, 6)*SmtRes!AK40, 2)</f>
        <v>0</v>
      </c>
      <c r="U45">
        <v>3</v>
      </c>
      <c r="Z45">
        <f>SmtRes!X40</f>
        <v>1719425291</v>
      </c>
      <c r="AA45">
        <v>-1596111638</v>
      </c>
      <c r="AB45">
        <v>-1596111638</v>
      </c>
    </row>
    <row r="46" spans="1:28" x14ac:dyDescent="0.2">
      <c r="A46">
        <f>Source!A84</f>
        <v>18</v>
      </c>
      <c r="B46">
        <v>84</v>
      </c>
      <c r="C46">
        <v>3</v>
      </c>
      <c r="D46">
        <f>Source!BI84</f>
        <v>4</v>
      </c>
      <c r="E46">
        <f>Source!FS84</f>
        <v>0</v>
      </c>
      <c r="F46" t="str">
        <f>Source!F84</f>
        <v>21.23-13-14</v>
      </c>
      <c r="G46" t="str">
        <f>Source!G84</f>
        <v>Провода силовые с медными жилами в поливинилхлоридной изоляции, марка ПуГВ, номинальное напряжение до 450 В, число жил и сечение 1х6 мм2</v>
      </c>
      <c r="H46" t="str">
        <f>Source!H84</f>
        <v>км</v>
      </c>
      <c r="I46">
        <f>Source!I84</f>
        <v>-1.545E-2</v>
      </c>
      <c r="J46">
        <v>1</v>
      </c>
      <c r="K46">
        <f>Source!AC84</f>
        <v>99643.05</v>
      </c>
      <c r="M46">
        <f>ROUND(K46*I46, 2)</f>
        <v>-1539.49</v>
      </c>
      <c r="N46">
        <f>Source!AC84*IF(Source!BC84&lt;&gt; 0, Source!BC84, 1)</f>
        <v>99643.05</v>
      </c>
      <c r="O46">
        <f>ROUND(N46*I46, 2)</f>
        <v>-1539.49</v>
      </c>
      <c r="P46">
        <f>Source!AE84</f>
        <v>0</v>
      </c>
      <c r="R46">
        <f>ROUND(P46*I46, 2)</f>
        <v>0</v>
      </c>
      <c r="S46">
        <f>Source!AE84*IF(Source!BS84&lt;&gt; 0, Source!BS84, 1)</f>
        <v>0</v>
      </c>
      <c r="T46">
        <f>ROUND(S46*I46, 2)</f>
        <v>0</v>
      </c>
      <c r="U46">
        <v>3</v>
      </c>
      <c r="Z46">
        <f>Source!GF84</f>
        <v>1173250179</v>
      </c>
      <c r="AA46">
        <v>-458052105</v>
      </c>
      <c r="AB46">
        <v>-458052105</v>
      </c>
    </row>
    <row r="47" spans="1:28" x14ac:dyDescent="0.2">
      <c r="A47">
        <v>20</v>
      </c>
      <c r="B47">
        <v>57</v>
      </c>
      <c r="C47">
        <v>3</v>
      </c>
      <c r="D47">
        <v>0</v>
      </c>
      <c r="E47">
        <f>SmtRes!AV57</f>
        <v>0</v>
      </c>
      <c r="F47" t="str">
        <f>SmtRes!I57</f>
        <v>21.7-3-2</v>
      </c>
      <c r="G47" t="str">
        <f>SmtRes!K57</f>
        <v>Буры с победитовым наконечником, с хвостовиком SDS-plus, размеры 10х160 мм</v>
      </c>
      <c r="H47" t="str">
        <f>SmtRes!O57</f>
        <v>шт.</v>
      </c>
      <c r="I47">
        <f>SmtRes!Y57*Source!I85</f>
        <v>2.9000000000000004</v>
      </c>
      <c r="J47">
        <f>SmtRes!AO57</f>
        <v>1</v>
      </c>
      <c r="K47">
        <f>SmtRes!AE57</f>
        <v>371.45</v>
      </c>
      <c r="L47">
        <f>SmtRes!DB57</f>
        <v>2693.01</v>
      </c>
      <c r="M47">
        <f>ROUND(ROUND(L47*Source!I85, 6)*1, 2)</f>
        <v>1077.2</v>
      </c>
      <c r="N47">
        <f>SmtRes!AA57</f>
        <v>371.45</v>
      </c>
      <c r="O47">
        <f>ROUND(ROUND(L47*Source!I85, 6)*SmtRes!DA57, 2)</f>
        <v>1077.2</v>
      </c>
      <c r="P47">
        <f>SmtRes!AG57</f>
        <v>0</v>
      </c>
      <c r="Q47">
        <f>SmtRes!DC57</f>
        <v>0</v>
      </c>
      <c r="R47">
        <f>ROUND(ROUND(Q47*Source!I85, 6)*1, 2)</f>
        <v>0</v>
      </c>
      <c r="S47">
        <f>SmtRes!AC57</f>
        <v>0</v>
      </c>
      <c r="T47">
        <f>ROUND(ROUND(Q47*Source!I85, 6)*SmtRes!AK57, 2)</f>
        <v>0</v>
      </c>
      <c r="U47">
        <v>3</v>
      </c>
      <c r="Z47">
        <f>SmtRes!X57</f>
        <v>740785112</v>
      </c>
      <c r="AA47">
        <v>-429156869</v>
      </c>
      <c r="AB47">
        <v>-429156869</v>
      </c>
    </row>
    <row r="48" spans="1:28" x14ac:dyDescent="0.2">
      <c r="A48">
        <v>20</v>
      </c>
      <c r="B48">
        <v>56</v>
      </c>
      <c r="C48">
        <v>3</v>
      </c>
      <c r="D48">
        <v>0</v>
      </c>
      <c r="E48">
        <f>SmtRes!AV56</f>
        <v>0</v>
      </c>
      <c r="F48" t="str">
        <f>SmtRes!I56</f>
        <v>21.21-5-61</v>
      </c>
      <c r="G48" t="str">
        <f>SmtRes!K56</f>
        <v>Коробки для выполнения соединений и ответвлений электрических кабелей и проводов сечением до 4 мм2, прокладываемых в неметаллических трубах, тип КОР-73 УЗ</v>
      </c>
      <c r="H48" t="str">
        <f>SmtRes!O56</f>
        <v>шт.</v>
      </c>
      <c r="I48">
        <f>SmtRes!Y56*Source!I85</f>
        <v>4</v>
      </c>
      <c r="J48">
        <f>SmtRes!AO56</f>
        <v>1</v>
      </c>
      <c r="K48">
        <f>SmtRes!AE56</f>
        <v>58.95</v>
      </c>
      <c r="L48">
        <f>SmtRes!DB56</f>
        <v>589.5</v>
      </c>
      <c r="M48">
        <f>ROUND(ROUND(L48*Source!I85, 6)*1, 2)</f>
        <v>235.8</v>
      </c>
      <c r="N48">
        <f>SmtRes!AA56</f>
        <v>58.95</v>
      </c>
      <c r="O48">
        <f>ROUND(ROUND(L48*Source!I85, 6)*SmtRes!DA56, 2)</f>
        <v>235.8</v>
      </c>
      <c r="P48">
        <f>SmtRes!AG56</f>
        <v>0</v>
      </c>
      <c r="Q48">
        <f>SmtRes!DC56</f>
        <v>0</v>
      </c>
      <c r="R48">
        <f>ROUND(ROUND(Q48*Source!I85, 6)*1, 2)</f>
        <v>0</v>
      </c>
      <c r="S48">
        <f>SmtRes!AC56</f>
        <v>0</v>
      </c>
      <c r="T48">
        <f>ROUND(ROUND(Q48*Source!I85, 6)*SmtRes!AK56, 2)</f>
        <v>0</v>
      </c>
      <c r="U48">
        <v>3</v>
      </c>
      <c r="Z48">
        <f>SmtRes!X56</f>
        <v>1218472550</v>
      </c>
      <c r="AA48">
        <v>-204898668</v>
      </c>
      <c r="AB48">
        <v>-204898668</v>
      </c>
    </row>
    <row r="49" spans="1:28" x14ac:dyDescent="0.2">
      <c r="A49">
        <v>20</v>
      </c>
      <c r="B49">
        <v>55</v>
      </c>
      <c r="C49">
        <v>3</v>
      </c>
      <c r="D49">
        <v>0</v>
      </c>
      <c r="E49">
        <f>SmtRes!AV55</f>
        <v>0</v>
      </c>
      <c r="F49" t="str">
        <f>SmtRes!I55</f>
        <v>21.21-5-315</v>
      </c>
      <c r="G49" t="str">
        <f>SmtRes!K55</f>
        <v>Скобы крепежные оцинкованные двухлапковые, диаметр 25 мм</v>
      </c>
      <c r="H49" t="str">
        <f>SmtRes!O55</f>
        <v>шт.</v>
      </c>
      <c r="I49">
        <f>SmtRes!Y55*Source!I85</f>
        <v>116</v>
      </c>
      <c r="J49">
        <f>SmtRes!AO55</f>
        <v>1</v>
      </c>
      <c r="K49">
        <f>SmtRes!AE55</f>
        <v>3.44</v>
      </c>
      <c r="L49">
        <f>SmtRes!DB55</f>
        <v>997.6</v>
      </c>
      <c r="M49">
        <f>ROUND(ROUND(L49*Source!I85, 6)*1, 2)</f>
        <v>399.04</v>
      </c>
      <c r="N49">
        <f>SmtRes!AA55</f>
        <v>3.44</v>
      </c>
      <c r="O49">
        <f>ROUND(ROUND(L49*Source!I85, 6)*SmtRes!DA55, 2)</f>
        <v>399.04</v>
      </c>
      <c r="P49">
        <f>SmtRes!AG55</f>
        <v>0</v>
      </c>
      <c r="Q49">
        <f>SmtRes!DC55</f>
        <v>0</v>
      </c>
      <c r="R49">
        <f>ROUND(ROUND(Q49*Source!I85, 6)*1, 2)</f>
        <v>0</v>
      </c>
      <c r="S49">
        <f>SmtRes!AC55</f>
        <v>0</v>
      </c>
      <c r="T49">
        <f>ROUND(ROUND(Q49*Source!I85, 6)*SmtRes!AK55, 2)</f>
        <v>0</v>
      </c>
      <c r="U49">
        <v>3</v>
      </c>
      <c r="Z49">
        <f>SmtRes!X55</f>
        <v>-1036617086</v>
      </c>
      <c r="AA49">
        <v>-380947877</v>
      </c>
      <c r="AB49">
        <v>-380947877</v>
      </c>
    </row>
    <row r="50" spans="1:28" x14ac:dyDescent="0.2">
      <c r="A50">
        <v>20</v>
      </c>
      <c r="B50">
        <v>53</v>
      </c>
      <c r="C50">
        <v>3</v>
      </c>
      <c r="D50">
        <v>0</v>
      </c>
      <c r="E50">
        <f>SmtRes!AV53</f>
        <v>0</v>
      </c>
      <c r="F50" t="str">
        <f>SmtRes!I53</f>
        <v>21.12-5-137</v>
      </c>
      <c r="G50" t="str">
        <f>SmtRes!K53</f>
        <v>Трубы электротехнические гофрированные, поливинилхлоридные, негорючие, с зондом, наружный диаметр 25 мм</v>
      </c>
      <c r="H50" t="str">
        <f>SmtRes!O53</f>
        <v>м</v>
      </c>
      <c r="I50">
        <f>SmtRes!Y53*Source!I85</f>
        <v>40.800000000000004</v>
      </c>
      <c r="J50">
        <f>SmtRes!AO53</f>
        <v>1</v>
      </c>
      <c r="K50">
        <f>SmtRes!AE53</f>
        <v>33.31</v>
      </c>
      <c r="L50">
        <f>SmtRes!DB53</f>
        <v>3397.62</v>
      </c>
      <c r="M50">
        <f>ROUND(ROUND(L50*Source!I85, 6)*1, 2)</f>
        <v>1359.05</v>
      </c>
      <c r="N50">
        <f>SmtRes!AA53</f>
        <v>33.31</v>
      </c>
      <c r="O50">
        <f>ROUND(ROUND(L50*Source!I85, 6)*SmtRes!DA53, 2)</f>
        <v>1359.05</v>
      </c>
      <c r="P50">
        <f>SmtRes!AG53</f>
        <v>0</v>
      </c>
      <c r="Q50">
        <f>SmtRes!DC53</f>
        <v>0</v>
      </c>
      <c r="R50">
        <f>ROUND(ROUND(Q50*Source!I85, 6)*1, 2)</f>
        <v>0</v>
      </c>
      <c r="S50">
        <f>SmtRes!AC53</f>
        <v>0</v>
      </c>
      <c r="T50">
        <f>ROUND(ROUND(Q50*Source!I85, 6)*SmtRes!AK53, 2)</f>
        <v>0</v>
      </c>
      <c r="U50">
        <v>3</v>
      </c>
      <c r="Z50">
        <f>SmtRes!X53</f>
        <v>-153682322</v>
      </c>
      <c r="AA50">
        <v>391782304</v>
      </c>
      <c r="AB50">
        <v>391782304</v>
      </c>
    </row>
    <row r="51" spans="1:28" x14ac:dyDescent="0.2">
      <c r="A51">
        <v>20</v>
      </c>
      <c r="B51">
        <v>52</v>
      </c>
      <c r="C51">
        <v>3</v>
      </c>
      <c r="D51">
        <v>0</v>
      </c>
      <c r="E51">
        <f>SmtRes!AV52</f>
        <v>0</v>
      </c>
      <c r="F51" t="str">
        <f>SmtRes!I52</f>
        <v>21.1-11-198</v>
      </c>
      <c r="G51" t="str">
        <f>SmtRes!K52</f>
        <v>Дюбели пластмассовые</v>
      </c>
      <c r="H51" t="str">
        <f>SmtRes!O52</f>
        <v>шт.</v>
      </c>
      <c r="I51">
        <f>SmtRes!Y52*Source!I85</f>
        <v>232</v>
      </c>
      <c r="J51">
        <f>SmtRes!AO52</f>
        <v>1</v>
      </c>
      <c r="K51">
        <f>SmtRes!AE52</f>
        <v>1.23</v>
      </c>
      <c r="L51">
        <f>SmtRes!DB52</f>
        <v>713.4</v>
      </c>
      <c r="M51">
        <f>ROUND(ROUND(L51*Source!I85, 6)*1, 2)</f>
        <v>285.36</v>
      </c>
      <c r="N51">
        <f>SmtRes!AA52</f>
        <v>1.23</v>
      </c>
      <c r="O51">
        <f>ROUND(ROUND(L51*Source!I85, 6)*SmtRes!DA52, 2)</f>
        <v>285.36</v>
      </c>
      <c r="P51">
        <f>SmtRes!AG52</f>
        <v>0</v>
      </c>
      <c r="Q51">
        <f>SmtRes!DC52</f>
        <v>0</v>
      </c>
      <c r="R51">
        <f>ROUND(ROUND(Q51*Source!I85, 6)*1, 2)</f>
        <v>0</v>
      </c>
      <c r="S51">
        <f>SmtRes!AC52</f>
        <v>0</v>
      </c>
      <c r="T51">
        <f>ROUND(ROUND(Q51*Source!I85, 6)*SmtRes!AK52, 2)</f>
        <v>0</v>
      </c>
      <c r="U51">
        <v>3</v>
      </c>
      <c r="Z51">
        <f>SmtRes!X52</f>
        <v>136717287</v>
      </c>
      <c r="AA51">
        <v>798392207</v>
      </c>
      <c r="AB51">
        <v>798392207</v>
      </c>
    </row>
    <row r="52" spans="1:28" x14ac:dyDescent="0.2">
      <c r="A52">
        <v>20</v>
      </c>
      <c r="B52">
        <v>51</v>
      </c>
      <c r="C52">
        <v>3</v>
      </c>
      <c r="D52">
        <v>0</v>
      </c>
      <c r="E52">
        <f>SmtRes!AV51</f>
        <v>0</v>
      </c>
      <c r="F52" t="str">
        <f>SmtRes!I51</f>
        <v>21.1-11-128</v>
      </c>
      <c r="G52" t="str">
        <f>SmtRes!K51</f>
        <v>Шурупы-саморезы с полусферической головкой, с прессшайбой, наконечник острый, оцинкованные, размер 4,2х14 мм, для крепления листового металла</v>
      </c>
      <c r="H52" t="str">
        <f>SmtRes!O51</f>
        <v>кг</v>
      </c>
      <c r="I52">
        <f>SmtRes!Y51*Source!I85</f>
        <v>0.38640000000000002</v>
      </c>
      <c r="J52">
        <f>SmtRes!AO51</f>
        <v>1</v>
      </c>
      <c r="K52">
        <f>SmtRes!AE51</f>
        <v>139.9</v>
      </c>
      <c r="L52">
        <f>SmtRes!DB51</f>
        <v>135.13999999999999</v>
      </c>
      <c r="M52">
        <f>ROUND(ROUND(L52*Source!I85, 6)*1, 2)</f>
        <v>54.06</v>
      </c>
      <c r="N52">
        <f>SmtRes!AA51</f>
        <v>139.9</v>
      </c>
      <c r="O52">
        <f>ROUND(ROUND(L52*Source!I85, 6)*SmtRes!DA51, 2)</f>
        <v>54.06</v>
      </c>
      <c r="P52">
        <f>SmtRes!AG51</f>
        <v>0</v>
      </c>
      <c r="Q52">
        <f>SmtRes!DC51</f>
        <v>0</v>
      </c>
      <c r="R52">
        <f>ROUND(ROUND(Q52*Source!I85, 6)*1, 2)</f>
        <v>0</v>
      </c>
      <c r="S52">
        <f>SmtRes!AC51</f>
        <v>0</v>
      </c>
      <c r="T52">
        <f>ROUND(ROUND(Q52*Source!I85, 6)*SmtRes!AK51, 2)</f>
        <v>0</v>
      </c>
      <c r="U52">
        <v>3</v>
      </c>
      <c r="Z52">
        <f>SmtRes!X51</f>
        <v>310133432</v>
      </c>
      <c r="AA52">
        <v>38641588</v>
      </c>
      <c r="AB52">
        <v>38641588</v>
      </c>
    </row>
    <row r="53" spans="1:28" x14ac:dyDescent="0.2">
      <c r="A53">
        <v>20</v>
      </c>
      <c r="B53">
        <v>50</v>
      </c>
      <c r="C53">
        <v>3</v>
      </c>
      <c r="D53">
        <v>0</v>
      </c>
      <c r="E53">
        <f>SmtRes!AV50</f>
        <v>0</v>
      </c>
      <c r="F53" t="str">
        <f>SmtRes!I50</f>
        <v>21.1-10-12</v>
      </c>
      <c r="G53" t="str">
        <f>SmtRes!K50</f>
        <v>Проволока стальная вязальная</v>
      </c>
      <c r="H53" t="str">
        <f>SmtRes!O50</f>
        <v>т</v>
      </c>
      <c r="I53">
        <f>SmtRes!Y50*Source!I85</f>
        <v>8.2400000000000008E-3</v>
      </c>
      <c r="J53">
        <f>SmtRes!AO50</f>
        <v>1</v>
      </c>
      <c r="K53">
        <f>SmtRes!AE50</f>
        <v>75003.520000000004</v>
      </c>
      <c r="L53">
        <f>SmtRes!DB50</f>
        <v>1545.07</v>
      </c>
      <c r="M53">
        <f>ROUND(ROUND(L53*Source!I85, 6)*1, 2)</f>
        <v>618.03</v>
      </c>
      <c r="N53">
        <f>SmtRes!AA50</f>
        <v>75003.520000000004</v>
      </c>
      <c r="O53">
        <f>ROUND(ROUND(L53*Source!I85, 6)*SmtRes!DA50, 2)</f>
        <v>618.03</v>
      </c>
      <c r="P53">
        <f>SmtRes!AG50</f>
        <v>0</v>
      </c>
      <c r="Q53">
        <f>SmtRes!DC50</f>
        <v>0</v>
      </c>
      <c r="R53">
        <f>ROUND(ROUND(Q53*Source!I85, 6)*1, 2)</f>
        <v>0</v>
      </c>
      <c r="S53">
        <f>SmtRes!AC50</f>
        <v>0</v>
      </c>
      <c r="T53">
        <f>ROUND(ROUND(Q53*Source!I85, 6)*SmtRes!AK50, 2)</f>
        <v>0</v>
      </c>
      <c r="U53">
        <v>3</v>
      </c>
      <c r="Z53">
        <f>SmtRes!X50</f>
        <v>1717267166</v>
      </c>
      <c r="AA53">
        <v>-1116672863</v>
      </c>
      <c r="AB53">
        <v>-1116672863</v>
      </c>
    </row>
    <row r="54" spans="1:28" x14ac:dyDescent="0.2">
      <c r="A54">
        <v>20</v>
      </c>
      <c r="B54">
        <v>49</v>
      </c>
      <c r="C54">
        <v>2</v>
      </c>
      <c r="D54">
        <v>0</v>
      </c>
      <c r="E54">
        <f>SmtRes!AV49</f>
        <v>0</v>
      </c>
      <c r="F54" t="str">
        <f>SmtRes!I49</f>
        <v>22.1-30-10</v>
      </c>
      <c r="G54" t="str">
        <f>SmtRes!K49</f>
        <v>Перфораторы электрические, мощность до 500 Вт</v>
      </c>
      <c r="H54" t="str">
        <f>SmtRes!O49</f>
        <v>маш.-ч</v>
      </c>
      <c r="I54">
        <f>SmtRes!Y49*Source!I85</f>
        <v>9.6640000000000015</v>
      </c>
      <c r="J54">
        <f>SmtRes!AO49</f>
        <v>1</v>
      </c>
      <c r="K54">
        <f>SmtRes!AF49</f>
        <v>5.13</v>
      </c>
      <c r="L54">
        <f>SmtRes!DB49</f>
        <v>123.94</v>
      </c>
      <c r="M54">
        <f>ROUND(ROUND(L54*Source!I85, 6)*1, 2)</f>
        <v>49.58</v>
      </c>
      <c r="N54">
        <f>SmtRes!AB49</f>
        <v>5.13</v>
      </c>
      <c r="O54">
        <f>ROUND(ROUND(L54*Source!I85, 6)*SmtRes!DA49, 2)</f>
        <v>49.58</v>
      </c>
      <c r="P54">
        <f>SmtRes!AG49</f>
        <v>7.0000000000000007E-2</v>
      </c>
      <c r="Q54">
        <f>SmtRes!DC49</f>
        <v>1.69</v>
      </c>
      <c r="R54">
        <f>ROUND(ROUND(Q54*Source!I85, 6)*1, 2)</f>
        <v>0.68</v>
      </c>
      <c r="S54">
        <f>SmtRes!AC49</f>
        <v>7.0000000000000007E-2</v>
      </c>
      <c r="T54">
        <f>ROUND(ROUND(Q54*Source!I85, 6)*SmtRes!AK49, 2)</f>
        <v>0.68</v>
      </c>
      <c r="U54">
        <v>2</v>
      </c>
      <c r="Z54">
        <f>SmtRes!X49</f>
        <v>71529876</v>
      </c>
      <c r="AA54">
        <v>1905737043</v>
      </c>
      <c r="AB54">
        <v>1905737043</v>
      </c>
    </row>
    <row r="55" spans="1:28" x14ac:dyDescent="0.2">
      <c r="A55">
        <f>Source!A86</f>
        <v>18</v>
      </c>
      <c r="B55">
        <v>86</v>
      </c>
      <c r="C55">
        <v>3</v>
      </c>
      <c r="D55">
        <f>Source!BI86</f>
        <v>4</v>
      </c>
      <c r="E55">
        <f>Source!FS86</f>
        <v>0</v>
      </c>
      <c r="F55" t="str">
        <f>Source!F86</f>
        <v>21.12-5-137</v>
      </c>
      <c r="G55" t="str">
        <f>Source!G86</f>
        <v>Трубы электротехнические гофрированные, поливинилхлоридные, негорючие, с зондом, наружный диаметр 25 мм</v>
      </c>
      <c r="H55" t="str">
        <f>Source!H86</f>
        <v>м</v>
      </c>
      <c r="I55">
        <f>Source!I86</f>
        <v>-40.799999999999997</v>
      </c>
      <c r="J55">
        <v>1</v>
      </c>
      <c r="K55">
        <f>Source!AC86</f>
        <v>33.31</v>
      </c>
      <c r="M55">
        <f>ROUND(K55*I55, 2)</f>
        <v>-1359.05</v>
      </c>
      <c r="N55">
        <f>Source!AC86*IF(Source!BC86&lt;&gt; 0, Source!BC86, 1)</f>
        <v>33.31</v>
      </c>
      <c r="O55">
        <f>ROUND(N55*I55, 2)</f>
        <v>-1359.05</v>
      </c>
      <c r="P55">
        <f>Source!AE86</f>
        <v>0</v>
      </c>
      <c r="R55">
        <f>ROUND(P55*I55, 2)</f>
        <v>0</v>
      </c>
      <c r="S55">
        <f>Source!AE86*IF(Source!BS86&lt;&gt; 0, Source!BS86, 1)</f>
        <v>0</v>
      </c>
      <c r="T55">
        <f>ROUND(S55*I55, 2)</f>
        <v>0</v>
      </c>
      <c r="U55">
        <v>3</v>
      </c>
      <c r="Z55">
        <f>Source!GF86</f>
        <v>-153682322</v>
      </c>
      <c r="AA55">
        <v>391782304</v>
      </c>
      <c r="AB55">
        <v>391782304</v>
      </c>
    </row>
    <row r="56" spans="1:28" x14ac:dyDescent="0.2">
      <c r="A56">
        <v>20</v>
      </c>
      <c r="B56">
        <v>61</v>
      </c>
      <c r="C56">
        <v>2</v>
      </c>
      <c r="D56">
        <v>0</v>
      </c>
      <c r="E56">
        <f>SmtRes!AV61</f>
        <v>0</v>
      </c>
      <c r="F56" t="str">
        <f>SmtRes!I61</f>
        <v>22.1-8-1</v>
      </c>
      <c r="G56" t="str">
        <f>SmtRes!K61</f>
        <v>Машины монтажные для кабельных работ на автомобиле</v>
      </c>
      <c r="H56" t="str">
        <f>SmtRes!O61</f>
        <v>маш.-ч</v>
      </c>
      <c r="I56">
        <f>SmtRes!Y61*Source!I89</f>
        <v>25.04</v>
      </c>
      <c r="J56">
        <f>SmtRes!AO61</f>
        <v>1</v>
      </c>
      <c r="K56">
        <f>SmtRes!AF61</f>
        <v>1906.73</v>
      </c>
      <c r="L56">
        <f>SmtRes!DB61</f>
        <v>47744.52</v>
      </c>
      <c r="M56">
        <f>ROUND(ROUND(L56*Source!I89, 6)*1, 2)</f>
        <v>47744.52</v>
      </c>
      <c r="N56">
        <f>SmtRes!AB61</f>
        <v>1906.73</v>
      </c>
      <c r="O56">
        <f>ROUND(ROUND(L56*Source!I89, 6)*SmtRes!DA61, 2)</f>
        <v>47744.52</v>
      </c>
      <c r="P56">
        <f>SmtRes!AG61</f>
        <v>943.69</v>
      </c>
      <c r="Q56">
        <f>SmtRes!DC61</f>
        <v>23630</v>
      </c>
      <c r="R56">
        <f>ROUND(ROUND(Q56*Source!I89, 6)*1, 2)</f>
        <v>23630</v>
      </c>
      <c r="S56">
        <f>SmtRes!AC61</f>
        <v>943.69</v>
      </c>
      <c r="T56">
        <f>ROUND(ROUND(Q56*Source!I89, 6)*SmtRes!AK61, 2)</f>
        <v>23630</v>
      </c>
      <c r="U56">
        <v>2</v>
      </c>
      <c r="Z56">
        <f>SmtRes!X61</f>
        <v>-1981576532</v>
      </c>
      <c r="AA56">
        <v>35461705</v>
      </c>
      <c r="AB56">
        <v>35461705</v>
      </c>
    </row>
    <row r="57" spans="1:28" x14ac:dyDescent="0.2">
      <c r="A57">
        <f>Source!A122</f>
        <v>5</v>
      </c>
      <c r="B57">
        <v>122</v>
      </c>
      <c r="G57" t="str">
        <f>Source!G122</f>
        <v>Пусконаладочные работы</v>
      </c>
    </row>
    <row r="58" spans="1:28" x14ac:dyDescent="0.2">
      <c r="A58">
        <v>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Q42"/>
  <sheetViews>
    <sheetView workbookViewId="0">
      <selection activeCell="A8" sqref="A8:F8"/>
    </sheetView>
  </sheetViews>
  <sheetFormatPr defaultRowHeight="12.75" x14ac:dyDescent="0.2"/>
  <cols>
    <col min="1" max="1" width="18.7109375" customWidth="1"/>
    <col min="2" max="2" width="40.7109375" customWidth="1"/>
    <col min="3" max="6" width="12.7109375" customWidth="1"/>
    <col min="15" max="15" width="54.28515625" hidden="1" customWidth="1"/>
    <col min="16" max="18" width="0" hidden="1" customWidth="1"/>
  </cols>
  <sheetData>
    <row r="2" spans="1:17" ht="16.5" x14ac:dyDescent="0.2">
      <c r="A2" s="78" t="s">
        <v>356</v>
      </c>
      <c r="B2" s="79"/>
      <c r="C2" s="79"/>
      <c r="D2" s="79"/>
      <c r="E2" s="79"/>
      <c r="F2" s="79"/>
    </row>
    <row r="3" spans="1:17" ht="33" x14ac:dyDescent="0.2">
      <c r="A3" s="78"/>
      <c r="B3" s="79"/>
      <c r="C3" s="79"/>
      <c r="D3" s="79"/>
      <c r="E3" s="79"/>
      <c r="F3" s="79"/>
      <c r="O3" s="45" t="s">
        <v>357</v>
      </c>
    </row>
    <row r="4" spans="1:17" x14ac:dyDescent="0.2">
      <c r="A4" s="58" t="s">
        <v>358</v>
      </c>
      <c r="B4" s="58" t="s">
        <v>359</v>
      </c>
      <c r="C4" s="58" t="s">
        <v>282</v>
      </c>
      <c r="D4" s="58" t="s">
        <v>360</v>
      </c>
      <c r="E4" s="81" t="s">
        <v>361</v>
      </c>
      <c r="F4" s="82"/>
    </row>
    <row r="5" spans="1:17" x14ac:dyDescent="0.2">
      <c r="A5" s="59"/>
      <c r="B5" s="59"/>
      <c r="C5" s="59"/>
      <c r="D5" s="59"/>
      <c r="E5" s="83"/>
      <c r="F5" s="84"/>
    </row>
    <row r="6" spans="1:17" ht="14.25" x14ac:dyDescent="0.2">
      <c r="A6" s="80"/>
      <c r="B6" s="80"/>
      <c r="C6" s="80"/>
      <c r="D6" s="80"/>
      <c r="E6" s="18" t="s">
        <v>362</v>
      </c>
      <c r="F6" s="18" t="s">
        <v>363</v>
      </c>
    </row>
    <row r="7" spans="1:17" ht="14.25" x14ac:dyDescent="0.2">
      <c r="A7" s="18">
        <v>1</v>
      </c>
      <c r="B7" s="18">
        <v>2</v>
      </c>
      <c r="C7" s="18">
        <v>3</v>
      </c>
      <c r="D7" s="18">
        <v>4</v>
      </c>
      <c r="E7" s="18">
        <v>5</v>
      </c>
      <c r="F7" s="18">
        <v>6</v>
      </c>
    </row>
    <row r="8" spans="1:17" ht="16.5" x14ac:dyDescent="0.2">
      <c r="A8" s="78"/>
      <c r="B8" s="79"/>
      <c r="C8" s="79"/>
      <c r="D8" s="79"/>
      <c r="E8" s="79"/>
      <c r="F8" s="79"/>
    </row>
    <row r="9" spans="1:17" ht="16.5" x14ac:dyDescent="0.2">
      <c r="A9" s="78" t="str">
        <f>CONCATENATE("Раздел: ",IF(Source!G26&lt;&gt;"Новый раздел", Source!G26, ""))</f>
        <v>Раздел: Проектные работы</v>
      </c>
      <c r="B9" s="79"/>
      <c r="C9" s="79"/>
      <c r="D9" s="79"/>
      <c r="E9" s="79"/>
      <c r="F9" s="79"/>
    </row>
    <row r="10" spans="1:17" ht="16.5" x14ac:dyDescent="0.2">
      <c r="A10" s="78" t="str">
        <f>CONCATENATE("Раздел: ",IF(Source!G62&lt;&gt;"Новый раздел", Source!G62, ""))</f>
        <v>Раздел: Автоматическая установка пожаротушения тонкораспыленной водой</v>
      </c>
      <c r="B10" s="79"/>
      <c r="C10" s="79"/>
      <c r="D10" s="79"/>
      <c r="E10" s="79"/>
      <c r="F10" s="79"/>
    </row>
    <row r="11" spans="1:17" ht="16.5" x14ac:dyDescent="0.2">
      <c r="A11" s="78" t="str">
        <f>CONCATENATE("Подраздел: ",IF(Source!G66&lt;&gt;"Новый подраздел", Source!G66, ""))</f>
        <v>Подраздел: Монтажные работы</v>
      </c>
      <c r="B11" s="79"/>
      <c r="C11" s="79"/>
      <c r="D11" s="79"/>
      <c r="E11" s="79"/>
      <c r="F11" s="79"/>
    </row>
    <row r="12" spans="1:17" ht="14.25" x14ac:dyDescent="0.2">
      <c r="A12" s="74" t="s">
        <v>364</v>
      </c>
      <c r="B12" s="75"/>
      <c r="C12" s="75"/>
      <c r="D12" s="75"/>
      <c r="E12" s="75"/>
      <c r="F12" s="75"/>
    </row>
    <row r="13" spans="1:17" ht="14.25" x14ac:dyDescent="0.2">
      <c r="A13" s="46" t="s">
        <v>187</v>
      </c>
      <c r="B13" s="38" t="s">
        <v>189</v>
      </c>
      <c r="C13" s="38" t="s">
        <v>190</v>
      </c>
      <c r="D13" s="39">
        <f>ROUND(SUMIF(RV_DATA!AA10:AA56, -1753771339, RV_DATA!I10:I56), 6)</f>
        <v>0.14000000000000001</v>
      </c>
      <c r="E13" s="47">
        <f>ROUND(RV_DATA!K11, 6)</f>
        <v>456.39</v>
      </c>
      <c r="F13" s="47">
        <f>ROUND(SUMIF(RV_DATA!AA10:AA56, -1753771339, RV_DATA!M10:M56), 6)</f>
        <v>63.89</v>
      </c>
      <c r="Q13">
        <v>2</v>
      </c>
    </row>
    <row r="14" spans="1:17" ht="28.5" x14ac:dyDescent="0.2">
      <c r="A14" s="46" t="s">
        <v>194</v>
      </c>
      <c r="B14" s="38" t="s">
        <v>196</v>
      </c>
      <c r="C14" s="38" t="s">
        <v>190</v>
      </c>
      <c r="D14" s="39">
        <f>ROUND(SUMIF(RV_DATA!AA10:AA56, 1905737043, RV_DATA!I10:I56), 6)</f>
        <v>11.023999999999999</v>
      </c>
      <c r="E14" s="47">
        <f>ROUND(RV_DATA!K15, 6)</f>
        <v>5.13</v>
      </c>
      <c r="F14" s="47">
        <f>ROUND(SUMIF(RV_DATA!AA10:AA56, 1905737043, RV_DATA!M10:M56), 6)</f>
        <v>56.55</v>
      </c>
      <c r="Q14">
        <v>2</v>
      </c>
    </row>
    <row r="15" spans="1:17" ht="28.5" x14ac:dyDescent="0.2">
      <c r="A15" s="46" t="s">
        <v>191</v>
      </c>
      <c r="B15" s="38" t="s">
        <v>193</v>
      </c>
      <c r="C15" s="38" t="s">
        <v>190</v>
      </c>
      <c r="D15" s="39">
        <f>ROUND(SUMIF(RV_DATA!AA10:AA56, 994397835, RV_DATA!I10:I56), 6)</f>
        <v>5.5E-2</v>
      </c>
      <c r="E15" s="47">
        <f>ROUND(RV_DATA!K10, 6)</f>
        <v>4.72</v>
      </c>
      <c r="F15" s="47">
        <f>ROUND(SUMIF(RV_DATA!AA10:AA56, 994397835, RV_DATA!M10:M56), 6)</f>
        <v>0.26</v>
      </c>
      <c r="Q15">
        <v>2</v>
      </c>
    </row>
    <row r="16" spans="1:17" ht="14.25" x14ac:dyDescent="0.2">
      <c r="A16" s="46" t="s">
        <v>197</v>
      </c>
      <c r="B16" s="38" t="s">
        <v>199</v>
      </c>
      <c r="C16" s="38" t="s">
        <v>190</v>
      </c>
      <c r="D16" s="39">
        <f>ROUND(SUMIF(RV_DATA!AA10:AA56, 1895918326, RV_DATA!I10:I56), 6)</f>
        <v>0.02</v>
      </c>
      <c r="E16" s="47">
        <f>ROUND(RV_DATA!K14, 6)</f>
        <v>10.76</v>
      </c>
      <c r="F16" s="47">
        <f>ROUND(SUMIF(RV_DATA!AA10:AA56, 1895918326, RV_DATA!M10:M56), 6)</f>
        <v>0.22</v>
      </c>
      <c r="Q16">
        <v>2</v>
      </c>
    </row>
    <row r="17" spans="1:17" ht="28.5" x14ac:dyDescent="0.2">
      <c r="A17" s="46" t="s">
        <v>206</v>
      </c>
      <c r="B17" s="38" t="s">
        <v>208</v>
      </c>
      <c r="C17" s="38" t="s">
        <v>190</v>
      </c>
      <c r="D17" s="39">
        <f>ROUND(SUMIF(RV_DATA!AA10:AA56, 1034730832, RV_DATA!I10:I56), 6)</f>
        <v>0.5</v>
      </c>
      <c r="E17" s="47">
        <f>ROUND(RV_DATA!K16, 6)</f>
        <v>1509.66</v>
      </c>
      <c r="F17" s="47">
        <f>ROUND(SUMIF(RV_DATA!AA10:AA56, 1034730832, RV_DATA!M10:M56), 6)</f>
        <v>754.83</v>
      </c>
      <c r="Q17">
        <v>2</v>
      </c>
    </row>
    <row r="18" spans="1:17" ht="28.5" x14ac:dyDescent="0.2">
      <c r="A18" s="46" t="s">
        <v>263</v>
      </c>
      <c r="B18" s="38" t="s">
        <v>265</v>
      </c>
      <c r="C18" s="38" t="s">
        <v>190</v>
      </c>
      <c r="D18" s="39">
        <f>ROUND(SUMIF(RV_DATA!AA10:AA56, 35461705, RV_DATA!I10:I56), 6)</f>
        <v>25.04</v>
      </c>
      <c r="E18" s="47">
        <f>ROUND(RV_DATA!K56, 6)</f>
        <v>1906.73</v>
      </c>
      <c r="F18" s="47">
        <f>ROUND(SUMIF(RV_DATA!AA10:AA56, 35461705, RV_DATA!M10:M56), 6)</f>
        <v>47744.52</v>
      </c>
      <c r="Q18">
        <v>2</v>
      </c>
    </row>
    <row r="19" spans="1:17" ht="15" x14ac:dyDescent="0.25">
      <c r="A19" s="76" t="s">
        <v>365</v>
      </c>
      <c r="B19" s="76"/>
      <c r="C19" s="76"/>
      <c r="D19" s="76"/>
      <c r="E19" s="77">
        <f>SUMIF(Q13:Q18, 2, F13:F18)</f>
        <v>48620.27</v>
      </c>
      <c r="F19" s="77"/>
    </row>
    <row r="20" spans="1:17" ht="14.25" x14ac:dyDescent="0.2">
      <c r="A20" s="74" t="s">
        <v>366</v>
      </c>
      <c r="B20" s="75"/>
      <c r="C20" s="75"/>
      <c r="D20" s="75"/>
      <c r="E20" s="75"/>
      <c r="F20" s="75"/>
    </row>
    <row r="21" spans="1:17" ht="14.25" x14ac:dyDescent="0.2">
      <c r="A21" s="46" t="s">
        <v>248</v>
      </c>
      <c r="B21" s="38" t="s">
        <v>250</v>
      </c>
      <c r="C21" s="38" t="s">
        <v>211</v>
      </c>
      <c r="D21" s="39">
        <f>ROUND(SUMIF(RV_DATA!AA10:AA56, -1116672863, RV_DATA!I10:I56), 6)</f>
        <v>8.2400000000000008E-3</v>
      </c>
      <c r="E21" s="47">
        <f>ROUND(RV_DATA!K53, 6)</f>
        <v>75003.520000000004</v>
      </c>
      <c r="F21" s="47">
        <f>ROUND(SUMIF(RV_DATA!AA10:AA56, -1116672863, RV_DATA!M10:M56), 6)</f>
        <v>618.03</v>
      </c>
      <c r="Q21">
        <v>3</v>
      </c>
    </row>
    <row r="22" spans="1:17" ht="14.25" x14ac:dyDescent="0.2">
      <c r="A22" s="46" t="s">
        <v>200</v>
      </c>
      <c r="B22" s="38" t="s">
        <v>201</v>
      </c>
      <c r="C22" s="38" t="s">
        <v>202</v>
      </c>
      <c r="D22" s="39">
        <f>ROUND(SUMIF(RV_DATA!AA10:AA56, -776989609, RV_DATA!I10:I56), 6)</f>
        <v>7.7999999999999996E-3</v>
      </c>
      <c r="E22" s="47">
        <f>ROUND(RV_DATA!K13, 6)</f>
        <v>190.54033999999999</v>
      </c>
      <c r="F22" s="47">
        <f>ROUND(SUMIF(RV_DATA!AA10:AA56, -776989609, RV_DATA!M10:M56), 6)</f>
        <v>1.48</v>
      </c>
      <c r="Q22">
        <v>3</v>
      </c>
    </row>
    <row r="23" spans="1:17" ht="14.25" x14ac:dyDescent="0.2">
      <c r="A23" s="46" t="s">
        <v>200</v>
      </c>
      <c r="B23" s="38" t="s">
        <v>201</v>
      </c>
      <c r="C23" s="38" t="s">
        <v>211</v>
      </c>
      <c r="D23" s="39">
        <f>ROUND(SUMIF(RV_DATA!AA10:AA56, -2066596354, RV_DATA!I10:I56), 6)</f>
        <v>7.3999999999999996E-5</v>
      </c>
      <c r="E23" s="47">
        <f>ROUND(RV_DATA!K29, 6)</f>
        <v>190540.34</v>
      </c>
      <c r="F23" s="47">
        <f>ROUND(SUMIF(RV_DATA!AA10:AA56, -2066596354, RV_DATA!M10:M56), 6)</f>
        <v>14.1</v>
      </c>
      <c r="Q23">
        <v>3</v>
      </c>
    </row>
    <row r="24" spans="1:17" ht="57" x14ac:dyDescent="0.2">
      <c r="A24" s="46" t="s">
        <v>251</v>
      </c>
      <c r="B24" s="38" t="s">
        <v>253</v>
      </c>
      <c r="C24" s="38" t="s">
        <v>202</v>
      </c>
      <c r="D24" s="39">
        <f>ROUND(SUMIF(RV_DATA!AA10:AA56, 38641588, RV_DATA!I10:I56), 6)</f>
        <v>0.38640000000000002</v>
      </c>
      <c r="E24" s="47">
        <f>ROUND(RV_DATA!K52, 6)</f>
        <v>139.9</v>
      </c>
      <c r="F24" s="47">
        <f>ROUND(SUMIF(RV_DATA!AA10:AA56, 38641588, RV_DATA!M10:M56), 6)</f>
        <v>54.06</v>
      </c>
      <c r="Q24">
        <v>3</v>
      </c>
    </row>
    <row r="25" spans="1:17" ht="14.25" x14ac:dyDescent="0.2">
      <c r="A25" s="46" t="s">
        <v>203</v>
      </c>
      <c r="B25" s="38" t="s">
        <v>205</v>
      </c>
      <c r="C25" s="38" t="s">
        <v>18</v>
      </c>
      <c r="D25" s="39">
        <f>ROUND(SUMIF(RV_DATA!AA10:AA56, 798392207, RV_DATA!I10:I56), 6)</f>
        <v>236</v>
      </c>
      <c r="E25" s="47">
        <f>ROUND(RV_DATA!K12, 6)</f>
        <v>1.23</v>
      </c>
      <c r="F25" s="47">
        <f>ROUND(SUMIF(RV_DATA!AA10:AA56, 798392207, RV_DATA!M10:M56), 6)</f>
        <v>290.27999999999997</v>
      </c>
      <c r="Q25">
        <v>3</v>
      </c>
    </row>
    <row r="26" spans="1:17" ht="14.25" x14ac:dyDescent="0.2">
      <c r="A26" s="46" t="s">
        <v>223</v>
      </c>
      <c r="B26" s="38" t="s">
        <v>225</v>
      </c>
      <c r="C26" s="38" t="s">
        <v>226</v>
      </c>
      <c r="D26" s="39">
        <f>ROUND(SUMIF(RV_DATA!AA10:AA56, -274985448, RV_DATA!I10:I56), 6)</f>
        <v>0.4</v>
      </c>
      <c r="E26" s="47">
        <f>ROUND(RV_DATA!K28, 6)</f>
        <v>997.35</v>
      </c>
      <c r="F26" s="47">
        <f>ROUND(SUMIF(RV_DATA!AA10:AA56, -274985448, RV_DATA!M10:M56), 6)</f>
        <v>398.94</v>
      </c>
      <c r="Q26">
        <v>3</v>
      </c>
    </row>
    <row r="27" spans="1:17" ht="14.25" x14ac:dyDescent="0.2">
      <c r="A27" s="46" t="s">
        <v>212</v>
      </c>
      <c r="B27" s="38" t="s">
        <v>214</v>
      </c>
      <c r="C27" s="38" t="s">
        <v>211</v>
      </c>
      <c r="D27" s="39">
        <f>ROUND(SUMIF(RV_DATA!AA10:AA56, -133445556, RV_DATA!I10:I56), 6)</f>
        <v>2E-3</v>
      </c>
      <c r="E27" s="47">
        <f>ROUND(RV_DATA!K19, 6)</f>
        <v>32121.53</v>
      </c>
      <c r="F27" s="47">
        <f>ROUND(SUMIF(RV_DATA!AA10:AA56, -133445556, RV_DATA!M10:M56), 6)</f>
        <v>64.239999999999995</v>
      </c>
      <c r="Q27">
        <v>3</v>
      </c>
    </row>
    <row r="28" spans="1:17" ht="14.25" x14ac:dyDescent="0.2">
      <c r="A28" s="46" t="s">
        <v>215</v>
      </c>
      <c r="B28" s="38" t="s">
        <v>217</v>
      </c>
      <c r="C28" s="38" t="s">
        <v>202</v>
      </c>
      <c r="D28" s="39">
        <f>ROUND(SUMIF(RV_DATA!AA10:AA56, -927147046, RV_DATA!I10:I56), 6)</f>
        <v>0.22</v>
      </c>
      <c r="E28" s="47">
        <f>ROUND(RV_DATA!K18, 6)</f>
        <v>43.58</v>
      </c>
      <c r="F28" s="47">
        <f>ROUND(SUMIF(RV_DATA!AA10:AA56, -927147046, RV_DATA!M10:M56), 6)</f>
        <v>9.58</v>
      </c>
      <c r="Q28">
        <v>3</v>
      </c>
    </row>
    <row r="29" spans="1:17" ht="28.5" x14ac:dyDescent="0.2">
      <c r="A29" s="46" t="s">
        <v>230</v>
      </c>
      <c r="B29" s="38" t="s">
        <v>232</v>
      </c>
      <c r="C29" s="38" t="s">
        <v>202</v>
      </c>
      <c r="D29" s="39">
        <f>ROUND(SUMIF(RV_DATA!AA10:AA56, -1596111638, RV_DATA!I10:I56), 6)</f>
        <v>2.4E-2</v>
      </c>
      <c r="E29" s="47">
        <f>ROUND(RV_DATA!K45, 6)</f>
        <v>363.22</v>
      </c>
      <c r="F29" s="47">
        <f>ROUND(SUMIF(RV_DATA!AA10:AA56, -1596111638, RV_DATA!M10:M56), 6)</f>
        <v>8.7200000000000006</v>
      </c>
      <c r="Q29">
        <v>3</v>
      </c>
    </row>
    <row r="30" spans="1:17" ht="14.25" x14ac:dyDescent="0.2">
      <c r="A30" s="46" t="s">
        <v>218</v>
      </c>
      <c r="B30" s="38" t="s">
        <v>220</v>
      </c>
      <c r="C30" s="38" t="s">
        <v>221</v>
      </c>
      <c r="D30" s="39">
        <f>ROUND(SUMIF(RV_DATA!AA10:AA56, 1695956316, RV_DATA!I10:I56), 6)</f>
        <v>5.6</v>
      </c>
      <c r="E30" s="47">
        <f>ROUND(RV_DATA!K17, 6)</f>
        <v>25.47</v>
      </c>
      <c r="F30" s="47">
        <f>ROUND(SUMIF(RV_DATA!AA10:AA56, 1695956316, RV_DATA!M10:M56), 6)</f>
        <v>142.63999999999999</v>
      </c>
      <c r="Q30">
        <v>3</v>
      </c>
    </row>
    <row r="31" spans="1:17" ht="14.25" x14ac:dyDescent="0.2">
      <c r="A31" s="46" t="s">
        <v>233</v>
      </c>
      <c r="B31" s="38" t="s">
        <v>235</v>
      </c>
      <c r="C31" s="38" t="s">
        <v>115</v>
      </c>
      <c r="D31" s="39">
        <f>ROUND(SUMIF(RV_DATA!AA10:AA56, 193152040, RV_DATA!I10:I56), 6)</f>
        <v>0.75</v>
      </c>
      <c r="E31" s="47">
        <f>ROUND(RV_DATA!K44, 6)</f>
        <v>5.71</v>
      </c>
      <c r="F31" s="47">
        <f>ROUND(SUMIF(RV_DATA!AA10:AA56, 193152040, RV_DATA!M10:M56), 6)</f>
        <v>4.28</v>
      </c>
      <c r="Q31">
        <v>3</v>
      </c>
    </row>
    <row r="32" spans="1:17" ht="28.5" x14ac:dyDescent="0.2">
      <c r="A32" s="46" t="s">
        <v>236</v>
      </c>
      <c r="B32" s="38" t="s">
        <v>238</v>
      </c>
      <c r="C32" s="38" t="s">
        <v>120</v>
      </c>
      <c r="D32" s="39">
        <f>ROUND(SUMIF(RV_DATA!AA10:AA56, 299589489, RV_DATA!I10:I56), 6)</f>
        <v>7.5000000000000002E-4</v>
      </c>
      <c r="E32" s="47">
        <f>ROUND(RV_DATA!K43, 6)</f>
        <v>718.56</v>
      </c>
      <c r="F32" s="47">
        <f>ROUND(SUMIF(RV_DATA!AA10:AA56, 299589489, RV_DATA!M10:M56), 6)</f>
        <v>0.54</v>
      </c>
      <c r="Q32">
        <v>3</v>
      </c>
    </row>
    <row r="33" spans="1:17" ht="42.75" x14ac:dyDescent="0.2">
      <c r="A33" s="46" t="s">
        <v>239</v>
      </c>
      <c r="B33" s="38" t="s">
        <v>241</v>
      </c>
      <c r="C33" s="38" t="s">
        <v>18</v>
      </c>
      <c r="D33" s="39">
        <f>ROUND(SUMIF(RV_DATA!AA10:AA56, 1143219249, RV_DATA!I10:I56), 6)</f>
        <v>1.5</v>
      </c>
      <c r="E33" s="47">
        <f>ROUND(RV_DATA!K42, 6)</f>
        <v>29.36</v>
      </c>
      <c r="F33" s="47">
        <f>ROUND(SUMIF(RV_DATA!AA10:AA56, 1143219249, RV_DATA!M10:M56), 6)</f>
        <v>44.04</v>
      </c>
      <c r="Q33">
        <v>3</v>
      </c>
    </row>
    <row r="34" spans="1:17" ht="28.5" x14ac:dyDescent="0.2">
      <c r="A34" s="46" t="s">
        <v>254</v>
      </c>
      <c r="B34" s="38" t="s">
        <v>256</v>
      </c>
      <c r="C34" s="38" t="s">
        <v>18</v>
      </c>
      <c r="D34" s="39">
        <f>ROUND(SUMIF(RV_DATA!AA10:AA56, -380947877, RV_DATA!I10:I56), 6)</f>
        <v>116</v>
      </c>
      <c r="E34" s="47">
        <f>ROUND(RV_DATA!K49, 6)</f>
        <v>3.44</v>
      </c>
      <c r="F34" s="47">
        <f>ROUND(SUMIF(RV_DATA!AA10:AA56, -380947877, RV_DATA!M10:M56), 6)</f>
        <v>399.04</v>
      </c>
      <c r="Q34">
        <v>3</v>
      </c>
    </row>
    <row r="35" spans="1:17" ht="28.5" x14ac:dyDescent="0.2">
      <c r="A35" s="46" t="s">
        <v>242</v>
      </c>
      <c r="B35" s="38" t="s">
        <v>244</v>
      </c>
      <c r="C35" s="38" t="s">
        <v>226</v>
      </c>
      <c r="D35" s="39">
        <f>ROUND(SUMIF(RV_DATA!AA10:AA56, -1533345047, RV_DATA!I10:I56), 6)</f>
        <v>3.9E-2</v>
      </c>
      <c r="E35" s="47">
        <f>ROUND(RV_DATA!K41, 6)</f>
        <v>127.48</v>
      </c>
      <c r="F35" s="47">
        <f>ROUND(SUMIF(RV_DATA!AA10:AA56, -1533345047, RV_DATA!M10:M56), 6)</f>
        <v>4.97</v>
      </c>
      <c r="Q35">
        <v>3</v>
      </c>
    </row>
    <row r="36" spans="1:17" ht="14.25" x14ac:dyDescent="0.2">
      <c r="A36" s="46" t="s">
        <v>245</v>
      </c>
      <c r="B36" s="38" t="s">
        <v>247</v>
      </c>
      <c r="C36" s="38" t="s">
        <v>120</v>
      </c>
      <c r="D36" s="39">
        <f>ROUND(SUMIF(RV_DATA!AA10:AA56, -2054620093, RV_DATA!I10:I56), 6)</f>
        <v>3.0000000000000001E-3</v>
      </c>
      <c r="E36" s="47">
        <f>ROUND(RV_DATA!K40, 6)</f>
        <v>258.44</v>
      </c>
      <c r="F36" s="47">
        <f>ROUND(SUMIF(RV_DATA!AA10:AA56, -2054620093, RV_DATA!M10:M56), 6)</f>
        <v>0.78</v>
      </c>
      <c r="Q36">
        <v>3</v>
      </c>
    </row>
    <row r="37" spans="1:17" ht="71.25" x14ac:dyDescent="0.2">
      <c r="A37" s="46" t="s">
        <v>257</v>
      </c>
      <c r="B37" s="38" t="s">
        <v>259</v>
      </c>
      <c r="C37" s="38" t="s">
        <v>18</v>
      </c>
      <c r="D37" s="39">
        <f>ROUND(SUMIF(RV_DATA!AA10:AA56, -204898668, RV_DATA!I10:I56), 6)</f>
        <v>4</v>
      </c>
      <c r="E37" s="47">
        <f>ROUND(RV_DATA!K48, 6)</f>
        <v>58.95</v>
      </c>
      <c r="F37" s="47">
        <f>ROUND(SUMIF(RV_DATA!AA10:AA56, -204898668, RV_DATA!M10:M56), 6)</f>
        <v>235.8</v>
      </c>
      <c r="Q37">
        <v>3</v>
      </c>
    </row>
    <row r="38" spans="1:17" ht="57" x14ac:dyDescent="0.2">
      <c r="A38" s="46" t="s">
        <v>147</v>
      </c>
      <c r="B38" s="38" t="s">
        <v>148</v>
      </c>
      <c r="C38" s="38" t="s">
        <v>149</v>
      </c>
      <c r="D38" s="39">
        <f>ROUND(SUMIF(RV_DATA!AA10:AA56, -458052105, RV_DATA!I10:I56), 6)</f>
        <v>0</v>
      </c>
      <c r="E38" s="47">
        <f>ROUND(RV_DATA!K39, 6)</f>
        <v>99643.05</v>
      </c>
      <c r="F38" s="47">
        <f>ROUND(SUMIF(RV_DATA!AA10:AA56, -458052105, RV_DATA!M10:M56), 6)</f>
        <v>-0.01</v>
      </c>
      <c r="Q38">
        <v>3</v>
      </c>
    </row>
    <row r="39" spans="1:17" ht="42.75" x14ac:dyDescent="0.2">
      <c r="A39" s="46" t="s">
        <v>260</v>
      </c>
      <c r="B39" s="38" t="s">
        <v>262</v>
      </c>
      <c r="C39" s="38" t="s">
        <v>18</v>
      </c>
      <c r="D39" s="39">
        <f>ROUND(SUMIF(RV_DATA!AA10:AA56, -429156869, RV_DATA!I10:I56), 6)</f>
        <v>2.9</v>
      </c>
      <c r="E39" s="47">
        <f>ROUND(RV_DATA!K47, 6)</f>
        <v>371.45</v>
      </c>
      <c r="F39" s="47">
        <f>ROUND(SUMIF(RV_DATA!AA10:AA56, -429156869, RV_DATA!M10:M56), 6)</f>
        <v>1077.2</v>
      </c>
      <c r="Q39">
        <v>3</v>
      </c>
    </row>
    <row r="40" spans="1:17" ht="28.5" x14ac:dyDescent="0.2">
      <c r="A40" s="46" t="s">
        <v>227</v>
      </c>
      <c r="B40" s="38" t="s">
        <v>229</v>
      </c>
      <c r="C40" s="38" t="s">
        <v>18</v>
      </c>
      <c r="D40" s="39">
        <f>ROUND(SUMIF(RV_DATA!AA10:AA56, -618828638, RV_DATA!I10:I56), 6)</f>
        <v>0.4</v>
      </c>
      <c r="E40" s="47">
        <f>ROUND(RV_DATA!K20, 6)</f>
        <v>1555.5</v>
      </c>
      <c r="F40" s="47">
        <f>ROUND(SUMIF(RV_DATA!AA10:AA56, -618828638, RV_DATA!M10:M56), 6)</f>
        <v>622.20000000000005</v>
      </c>
      <c r="Q40">
        <v>3</v>
      </c>
    </row>
    <row r="41" spans="1:17" ht="15" x14ac:dyDescent="0.25">
      <c r="A41" s="76" t="s">
        <v>367</v>
      </c>
      <c r="B41" s="76"/>
      <c r="C41" s="76"/>
      <c r="D41" s="76"/>
      <c r="E41" s="77">
        <f>SUMIF(Q21:Q40, 3, F21:F40)</f>
        <v>3990.91</v>
      </c>
      <c r="F41" s="77"/>
    </row>
    <row r="42" spans="1:17" ht="16.5" x14ac:dyDescent="0.2">
      <c r="A42" s="78" t="str">
        <f>CONCATENATE("Подраздел: ",IF(Source!G124&lt;&gt;"Новый подраздел", Source!G124, ""))</f>
        <v>Подраздел: Пусконаладочные работы</v>
      </c>
      <c r="B42" s="79"/>
      <c r="C42" s="79"/>
      <c r="D42" s="79"/>
      <c r="E42" s="79"/>
      <c r="F42" s="79"/>
    </row>
  </sheetData>
  <sortState xmlns:xlrd2="http://schemas.microsoft.com/office/spreadsheetml/2017/richdata2" ref="A21:R40">
    <sortCondition ref="A21"/>
  </sortState>
  <mergeCells count="18">
    <mergeCell ref="A2:F2"/>
    <mergeCell ref="A3:F3"/>
    <mergeCell ref="A4:A6"/>
    <mergeCell ref="B4:B6"/>
    <mergeCell ref="C4:C6"/>
    <mergeCell ref="D4:D6"/>
    <mergeCell ref="E4:F5"/>
    <mergeCell ref="A20:F20"/>
    <mergeCell ref="A41:D41"/>
    <mergeCell ref="E41:F41"/>
    <mergeCell ref="A42:F42"/>
    <mergeCell ref="A8:F8"/>
    <mergeCell ref="A9:F9"/>
    <mergeCell ref="A10:F10"/>
    <mergeCell ref="A11:F11"/>
    <mergeCell ref="A12:F12"/>
    <mergeCell ref="A19:D19"/>
    <mergeCell ref="E19:F19"/>
  </mergeCells>
  <pageMargins left="0.6" right="0.4" top="0.65" bottom="0.4" header="0.4" footer="0.4"/>
  <pageSetup paperSize="9" scale="85" fitToHeight="0" orientation="portrait" r:id="rId1"/>
  <headerFooter>
    <oddHeader>&amp;C&amp;P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K255"/>
  <sheetViews>
    <sheetView workbookViewId="0">
      <selection activeCell="A251" sqref="A251:O251"/>
    </sheetView>
  </sheetViews>
  <sheetFormatPr defaultColWidth="9.140625" defaultRowHeight="12.75" x14ac:dyDescent="0.2"/>
  <cols>
    <col min="1" max="256" width="9.140625" customWidth="1"/>
  </cols>
  <sheetData>
    <row r="1" spans="1:133" x14ac:dyDescent="0.2">
      <c r="A1">
        <v>0</v>
      </c>
      <c r="B1" t="s">
        <v>0</v>
      </c>
      <c r="D1" t="s">
        <v>1</v>
      </c>
      <c r="F1">
        <v>0</v>
      </c>
      <c r="G1">
        <v>0</v>
      </c>
      <c r="H1">
        <v>0</v>
      </c>
      <c r="I1" t="s">
        <v>2</v>
      </c>
      <c r="J1" t="s">
        <v>3</v>
      </c>
      <c r="K1">
        <v>0</v>
      </c>
      <c r="L1">
        <v>31271</v>
      </c>
      <c r="M1">
        <v>10</v>
      </c>
      <c r="N1">
        <v>11</v>
      </c>
      <c r="O1">
        <v>15</v>
      </c>
      <c r="P1">
        <v>0</v>
      </c>
      <c r="Q1">
        <v>2</v>
      </c>
    </row>
    <row r="12" spans="1:133" x14ac:dyDescent="0.2">
      <c r="A12" s="1">
        <v>1</v>
      </c>
      <c r="B12" s="1">
        <v>251</v>
      </c>
      <c r="C12" s="1">
        <v>0</v>
      </c>
      <c r="D12" s="1">
        <f>ROW(A218)</f>
        <v>218</v>
      </c>
      <c r="E12" s="1">
        <v>0</v>
      </c>
      <c r="F12" s="1" t="s">
        <v>266</v>
      </c>
      <c r="G12" s="1" t="s">
        <v>4</v>
      </c>
      <c r="H12" s="1" t="s">
        <v>3</v>
      </c>
      <c r="I12" s="1">
        <v>0</v>
      </c>
      <c r="J12" s="1" t="s">
        <v>3</v>
      </c>
      <c r="K12" s="1">
        <v>0</v>
      </c>
      <c r="L12" s="1">
        <v>0</v>
      </c>
      <c r="M12" s="1">
        <v>2</v>
      </c>
      <c r="N12" s="1"/>
      <c r="O12" s="1">
        <v>0</v>
      </c>
      <c r="P12" s="1">
        <v>0</v>
      </c>
      <c r="Q12" s="1">
        <v>0</v>
      </c>
      <c r="R12" s="1">
        <v>108</v>
      </c>
      <c r="S12" s="1"/>
      <c r="T12" s="1">
        <v>1</v>
      </c>
      <c r="U12" s="1" t="s">
        <v>3</v>
      </c>
      <c r="V12" s="1">
        <v>0</v>
      </c>
      <c r="W12" s="1" t="s">
        <v>3</v>
      </c>
      <c r="X12" s="1" t="s">
        <v>3</v>
      </c>
      <c r="Y12" s="1" t="s">
        <v>3</v>
      </c>
      <c r="Z12" s="1" t="s">
        <v>3</v>
      </c>
      <c r="AA12" s="1" t="s">
        <v>3</v>
      </c>
      <c r="AB12" s="1" t="s">
        <v>3</v>
      </c>
      <c r="AC12" s="1" t="s">
        <v>3</v>
      </c>
      <c r="AD12" s="1" t="s">
        <v>3</v>
      </c>
      <c r="AE12" s="1" t="s">
        <v>3</v>
      </c>
      <c r="AF12" s="1" t="s">
        <v>3</v>
      </c>
      <c r="AG12" s="1" t="s">
        <v>3</v>
      </c>
      <c r="AH12" s="1" t="s">
        <v>3</v>
      </c>
      <c r="AI12" s="1" t="s">
        <v>3</v>
      </c>
      <c r="AJ12" s="1" t="s">
        <v>3</v>
      </c>
      <c r="AK12" s="1"/>
      <c r="AL12" s="1" t="s">
        <v>3</v>
      </c>
      <c r="AM12" s="1" t="s">
        <v>3</v>
      </c>
      <c r="AN12" s="1" t="s">
        <v>3</v>
      </c>
      <c r="AO12" s="1"/>
      <c r="AP12" s="1" t="s">
        <v>3</v>
      </c>
      <c r="AQ12" s="1" t="s">
        <v>3</v>
      </c>
      <c r="AR12" s="1" t="s">
        <v>3</v>
      </c>
      <c r="AS12" s="1"/>
      <c r="AT12" s="1"/>
      <c r="AU12" s="1"/>
      <c r="AV12" s="1"/>
      <c r="AW12" s="1"/>
      <c r="AX12" s="1" t="s">
        <v>3</v>
      </c>
      <c r="AY12" s="1" t="s">
        <v>3</v>
      </c>
      <c r="AZ12" s="1" t="s">
        <v>3</v>
      </c>
      <c r="BA12" s="1"/>
      <c r="BB12" s="1">
        <v>0</v>
      </c>
      <c r="BC12" s="1"/>
      <c r="BD12" s="1"/>
      <c r="BE12" s="1"/>
      <c r="BF12" s="1"/>
      <c r="BG12" s="1"/>
      <c r="BH12" s="1" t="s">
        <v>5</v>
      </c>
      <c r="BI12" s="1" t="s">
        <v>6</v>
      </c>
      <c r="BJ12" s="1">
        <v>1</v>
      </c>
      <c r="BK12" s="1">
        <v>1</v>
      </c>
      <c r="BL12" s="1">
        <v>0</v>
      </c>
      <c r="BM12" s="1">
        <v>0</v>
      </c>
      <c r="BN12" s="1">
        <v>1</v>
      </c>
      <c r="BO12" s="1">
        <v>0</v>
      </c>
      <c r="BP12" s="1">
        <v>6</v>
      </c>
      <c r="BQ12" s="1">
        <v>2</v>
      </c>
      <c r="BR12" s="1">
        <v>1</v>
      </c>
      <c r="BS12" s="1">
        <v>1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 t="s">
        <v>7</v>
      </c>
      <c r="BZ12" s="1" t="s">
        <v>8</v>
      </c>
      <c r="CA12" s="1" t="s">
        <v>9</v>
      </c>
      <c r="CB12" s="1" t="s">
        <v>9</v>
      </c>
      <c r="CC12" s="1" t="s">
        <v>9</v>
      </c>
      <c r="CD12" s="1" t="s">
        <v>9</v>
      </c>
      <c r="CE12" s="1" t="s">
        <v>10</v>
      </c>
      <c r="CF12" s="1">
        <v>0</v>
      </c>
      <c r="CG12" s="1">
        <v>0</v>
      </c>
      <c r="CH12" s="1">
        <v>8</v>
      </c>
      <c r="CI12" s="1" t="s">
        <v>3</v>
      </c>
      <c r="CJ12" s="1" t="s">
        <v>3</v>
      </c>
      <c r="CK12" s="1">
        <v>0</v>
      </c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>
        <v>0</v>
      </c>
      <c r="CZ12" s="1" t="s">
        <v>3</v>
      </c>
      <c r="DA12" s="1" t="s">
        <v>3</v>
      </c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>
        <v>0</v>
      </c>
    </row>
    <row r="15" spans="1:133" x14ac:dyDescent="0.2">
      <c r="A15" s="1">
        <v>15</v>
      </c>
      <c r="B15" s="1">
        <v>1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</row>
    <row r="18" spans="1:245" x14ac:dyDescent="0.2">
      <c r="A18" s="2">
        <v>52</v>
      </c>
      <c r="B18" s="2">
        <f t="shared" ref="B18:G18" si="0">B218</f>
        <v>251</v>
      </c>
      <c r="C18" s="2">
        <f t="shared" si="0"/>
        <v>1</v>
      </c>
      <c r="D18" s="2">
        <f t="shared" si="0"/>
        <v>12</v>
      </c>
      <c r="E18" s="2">
        <f t="shared" si="0"/>
        <v>0</v>
      </c>
      <c r="F18" s="2" t="str">
        <f t="shared" si="0"/>
        <v>Стрелец  без НДС   (СН-2021) (СН-2012 - 2022 г Сборник стоимостных нормативов) (СН-2012 - 2023 г Сборник стоимостных нормативов)_(Копия)_(Копия) (СН-2012 - 2024 г Сборник стоимостных нормативов)_(Копия) (СН-2012 - 2024 г (в ценах на 01.01.2024 г) Сбо_(Копия)_(Копия)_(Копия)_(Копия)_(Копия)</v>
      </c>
      <c r="G18" s="2" t="str">
        <f t="shared" si="0"/>
        <v>Консерватория им. П.И.Чайковского  ВОДА</v>
      </c>
      <c r="H18" s="2"/>
      <c r="I18" s="2"/>
      <c r="J18" s="2"/>
      <c r="K18" s="2"/>
      <c r="L18" s="2"/>
      <c r="M18" s="2"/>
      <c r="N18" s="2"/>
      <c r="O18" s="2">
        <f t="shared" ref="O18:AT18" si="1">O218</f>
        <v>481962.97</v>
      </c>
      <c r="P18" s="2">
        <f t="shared" si="1"/>
        <v>103990.9</v>
      </c>
      <c r="Q18" s="2">
        <f t="shared" si="1"/>
        <v>48620.27</v>
      </c>
      <c r="R18" s="2">
        <f t="shared" si="1"/>
        <v>24049.78</v>
      </c>
      <c r="S18" s="2">
        <f t="shared" si="1"/>
        <v>329351.8</v>
      </c>
      <c r="T18" s="2">
        <f t="shared" si="1"/>
        <v>0</v>
      </c>
      <c r="U18" s="2">
        <f t="shared" si="1"/>
        <v>379.00049999999999</v>
      </c>
      <c r="V18" s="2">
        <f t="shared" si="1"/>
        <v>0</v>
      </c>
      <c r="W18" s="2">
        <f t="shared" si="1"/>
        <v>0</v>
      </c>
      <c r="X18" s="2">
        <f t="shared" si="1"/>
        <v>230546.27</v>
      </c>
      <c r="Y18" s="2">
        <f t="shared" si="1"/>
        <v>32935.18</v>
      </c>
      <c r="Z18" s="2">
        <f t="shared" si="1"/>
        <v>0</v>
      </c>
      <c r="AA18" s="2">
        <f t="shared" si="1"/>
        <v>0</v>
      </c>
      <c r="AB18" s="2">
        <f t="shared" si="1"/>
        <v>0</v>
      </c>
      <c r="AC18" s="2">
        <f t="shared" si="1"/>
        <v>0</v>
      </c>
      <c r="AD18" s="2">
        <f t="shared" si="1"/>
        <v>0</v>
      </c>
      <c r="AE18" s="2">
        <f t="shared" si="1"/>
        <v>0</v>
      </c>
      <c r="AF18" s="2">
        <f t="shared" si="1"/>
        <v>0</v>
      </c>
      <c r="AG18" s="2">
        <f t="shared" si="1"/>
        <v>0</v>
      </c>
      <c r="AH18" s="2">
        <f t="shared" si="1"/>
        <v>0</v>
      </c>
      <c r="AI18" s="2">
        <f t="shared" si="1"/>
        <v>0</v>
      </c>
      <c r="AJ18" s="2">
        <f t="shared" si="1"/>
        <v>0</v>
      </c>
      <c r="AK18" s="2">
        <f t="shared" si="1"/>
        <v>0</v>
      </c>
      <c r="AL18" s="2">
        <f t="shared" si="1"/>
        <v>0</v>
      </c>
      <c r="AM18" s="2">
        <f t="shared" si="1"/>
        <v>0</v>
      </c>
      <c r="AN18" s="2">
        <f t="shared" si="1"/>
        <v>0</v>
      </c>
      <c r="AO18" s="2">
        <f t="shared" si="1"/>
        <v>0</v>
      </c>
      <c r="AP18" s="2">
        <f t="shared" si="1"/>
        <v>0</v>
      </c>
      <c r="AQ18" s="2">
        <f t="shared" si="1"/>
        <v>0</v>
      </c>
      <c r="AR18" s="2">
        <f t="shared" si="1"/>
        <v>771418.18</v>
      </c>
      <c r="AS18" s="2">
        <f t="shared" si="1"/>
        <v>0</v>
      </c>
      <c r="AT18" s="2">
        <f t="shared" si="1"/>
        <v>0</v>
      </c>
      <c r="AU18" s="2">
        <f t="shared" ref="AU18:BZ18" si="2">AU218</f>
        <v>771418.18</v>
      </c>
      <c r="AV18" s="2">
        <f t="shared" si="2"/>
        <v>103990.9</v>
      </c>
      <c r="AW18" s="2">
        <f t="shared" si="2"/>
        <v>103990.9</v>
      </c>
      <c r="AX18" s="2">
        <f t="shared" si="2"/>
        <v>0</v>
      </c>
      <c r="AY18" s="2">
        <f t="shared" si="2"/>
        <v>103990.9</v>
      </c>
      <c r="AZ18" s="2">
        <f t="shared" si="2"/>
        <v>0</v>
      </c>
      <c r="BA18" s="2">
        <f t="shared" si="2"/>
        <v>0</v>
      </c>
      <c r="BB18" s="2">
        <f t="shared" si="2"/>
        <v>0</v>
      </c>
      <c r="BC18" s="2">
        <f t="shared" si="2"/>
        <v>0</v>
      </c>
      <c r="BD18" s="2">
        <f t="shared" si="2"/>
        <v>0</v>
      </c>
      <c r="BE18" s="2">
        <f t="shared" si="2"/>
        <v>0</v>
      </c>
      <c r="BF18" s="2">
        <f t="shared" si="2"/>
        <v>0</v>
      </c>
      <c r="BG18" s="2">
        <f t="shared" si="2"/>
        <v>0</v>
      </c>
      <c r="BH18" s="2">
        <f t="shared" si="2"/>
        <v>0</v>
      </c>
      <c r="BI18" s="2">
        <f t="shared" si="2"/>
        <v>0</v>
      </c>
      <c r="BJ18" s="2">
        <f t="shared" si="2"/>
        <v>0</v>
      </c>
      <c r="BK18" s="2">
        <f t="shared" si="2"/>
        <v>0</v>
      </c>
      <c r="BL18" s="2">
        <f t="shared" si="2"/>
        <v>0</v>
      </c>
      <c r="BM18" s="2">
        <f t="shared" si="2"/>
        <v>0</v>
      </c>
      <c r="BN18" s="2">
        <f t="shared" si="2"/>
        <v>0</v>
      </c>
      <c r="BO18" s="2">
        <f t="shared" si="2"/>
        <v>0</v>
      </c>
      <c r="BP18" s="2">
        <f t="shared" si="2"/>
        <v>0</v>
      </c>
      <c r="BQ18" s="2">
        <f t="shared" si="2"/>
        <v>0</v>
      </c>
      <c r="BR18" s="2">
        <f t="shared" si="2"/>
        <v>0</v>
      </c>
      <c r="BS18" s="2">
        <f t="shared" si="2"/>
        <v>0</v>
      </c>
      <c r="BT18" s="2">
        <f t="shared" si="2"/>
        <v>0</v>
      </c>
      <c r="BU18" s="2">
        <f t="shared" si="2"/>
        <v>0</v>
      </c>
      <c r="BV18" s="2">
        <f t="shared" si="2"/>
        <v>0</v>
      </c>
      <c r="BW18" s="2">
        <f t="shared" si="2"/>
        <v>0</v>
      </c>
      <c r="BX18" s="2">
        <f t="shared" si="2"/>
        <v>0</v>
      </c>
      <c r="BY18" s="2">
        <f t="shared" si="2"/>
        <v>0</v>
      </c>
      <c r="BZ18" s="2">
        <f t="shared" si="2"/>
        <v>0</v>
      </c>
      <c r="CA18" s="2">
        <f t="shared" ref="CA18:DF18" si="3">CA218</f>
        <v>0</v>
      </c>
      <c r="CB18" s="2">
        <f t="shared" si="3"/>
        <v>0</v>
      </c>
      <c r="CC18" s="2">
        <f t="shared" si="3"/>
        <v>0</v>
      </c>
      <c r="CD18" s="2">
        <f t="shared" si="3"/>
        <v>0</v>
      </c>
      <c r="CE18" s="2">
        <f t="shared" si="3"/>
        <v>0</v>
      </c>
      <c r="CF18" s="2">
        <f t="shared" si="3"/>
        <v>0</v>
      </c>
      <c r="CG18" s="2">
        <f t="shared" si="3"/>
        <v>0</v>
      </c>
      <c r="CH18" s="2">
        <f t="shared" si="3"/>
        <v>0</v>
      </c>
      <c r="CI18" s="2">
        <f t="shared" si="3"/>
        <v>0</v>
      </c>
      <c r="CJ18" s="2">
        <f t="shared" si="3"/>
        <v>0</v>
      </c>
      <c r="CK18" s="2">
        <f t="shared" si="3"/>
        <v>0</v>
      </c>
      <c r="CL18" s="2">
        <f t="shared" si="3"/>
        <v>0</v>
      </c>
      <c r="CM18" s="2">
        <f t="shared" si="3"/>
        <v>0</v>
      </c>
      <c r="CN18" s="2">
        <f t="shared" si="3"/>
        <v>0</v>
      </c>
      <c r="CO18" s="2">
        <f t="shared" si="3"/>
        <v>0</v>
      </c>
      <c r="CP18" s="2">
        <f t="shared" si="3"/>
        <v>0</v>
      </c>
      <c r="CQ18" s="2">
        <f t="shared" si="3"/>
        <v>0</v>
      </c>
      <c r="CR18" s="2">
        <f t="shared" si="3"/>
        <v>0</v>
      </c>
      <c r="CS18" s="2">
        <f t="shared" si="3"/>
        <v>0</v>
      </c>
      <c r="CT18" s="2">
        <f t="shared" si="3"/>
        <v>0</v>
      </c>
      <c r="CU18" s="2">
        <f t="shared" si="3"/>
        <v>0</v>
      </c>
      <c r="CV18" s="2">
        <f t="shared" si="3"/>
        <v>0</v>
      </c>
      <c r="CW18" s="2">
        <f t="shared" si="3"/>
        <v>0</v>
      </c>
      <c r="CX18" s="2">
        <f t="shared" si="3"/>
        <v>0</v>
      </c>
      <c r="CY18" s="2">
        <f t="shared" si="3"/>
        <v>0</v>
      </c>
      <c r="CZ18" s="2">
        <f t="shared" si="3"/>
        <v>0</v>
      </c>
      <c r="DA18" s="2">
        <f t="shared" si="3"/>
        <v>0</v>
      </c>
      <c r="DB18" s="2">
        <f t="shared" si="3"/>
        <v>0</v>
      </c>
      <c r="DC18" s="2">
        <f t="shared" si="3"/>
        <v>0</v>
      </c>
      <c r="DD18" s="2">
        <f t="shared" si="3"/>
        <v>0</v>
      </c>
      <c r="DE18" s="2">
        <f t="shared" si="3"/>
        <v>0</v>
      </c>
      <c r="DF18" s="2">
        <f t="shared" si="3"/>
        <v>0</v>
      </c>
      <c r="DG18" s="3">
        <f t="shared" ref="DG18:EL18" si="4">DG218</f>
        <v>0</v>
      </c>
      <c r="DH18" s="3">
        <f t="shared" si="4"/>
        <v>0</v>
      </c>
      <c r="DI18" s="3">
        <f t="shared" si="4"/>
        <v>0</v>
      </c>
      <c r="DJ18" s="3">
        <f t="shared" si="4"/>
        <v>0</v>
      </c>
      <c r="DK18" s="3">
        <f t="shared" si="4"/>
        <v>0</v>
      </c>
      <c r="DL18" s="3">
        <f t="shared" si="4"/>
        <v>0</v>
      </c>
      <c r="DM18" s="3">
        <f t="shared" si="4"/>
        <v>0</v>
      </c>
      <c r="DN18" s="3">
        <f t="shared" si="4"/>
        <v>0</v>
      </c>
      <c r="DO18" s="3">
        <f t="shared" si="4"/>
        <v>0</v>
      </c>
      <c r="DP18" s="3">
        <f t="shared" si="4"/>
        <v>0</v>
      </c>
      <c r="DQ18" s="3">
        <f t="shared" si="4"/>
        <v>0</v>
      </c>
      <c r="DR18" s="3">
        <f t="shared" si="4"/>
        <v>0</v>
      </c>
      <c r="DS18" s="3">
        <f t="shared" si="4"/>
        <v>0</v>
      </c>
      <c r="DT18" s="3">
        <f t="shared" si="4"/>
        <v>0</v>
      </c>
      <c r="DU18" s="3">
        <f t="shared" si="4"/>
        <v>0</v>
      </c>
      <c r="DV18" s="3">
        <f t="shared" si="4"/>
        <v>0</v>
      </c>
      <c r="DW18" s="3">
        <f t="shared" si="4"/>
        <v>0</v>
      </c>
      <c r="DX18" s="3">
        <f t="shared" si="4"/>
        <v>0</v>
      </c>
      <c r="DY18" s="3">
        <f t="shared" si="4"/>
        <v>0</v>
      </c>
      <c r="DZ18" s="3">
        <f t="shared" si="4"/>
        <v>0</v>
      </c>
      <c r="EA18" s="3">
        <f t="shared" si="4"/>
        <v>0</v>
      </c>
      <c r="EB18" s="3">
        <f t="shared" si="4"/>
        <v>0</v>
      </c>
      <c r="EC18" s="3">
        <f t="shared" si="4"/>
        <v>0</v>
      </c>
      <c r="ED18" s="3">
        <f t="shared" si="4"/>
        <v>0</v>
      </c>
      <c r="EE18" s="3">
        <f t="shared" si="4"/>
        <v>0</v>
      </c>
      <c r="EF18" s="3">
        <f t="shared" si="4"/>
        <v>0</v>
      </c>
      <c r="EG18" s="3">
        <f t="shared" si="4"/>
        <v>0</v>
      </c>
      <c r="EH18" s="3">
        <f t="shared" si="4"/>
        <v>0</v>
      </c>
      <c r="EI18" s="3">
        <f t="shared" si="4"/>
        <v>0</v>
      </c>
      <c r="EJ18" s="3">
        <f t="shared" si="4"/>
        <v>0</v>
      </c>
      <c r="EK18" s="3">
        <f t="shared" si="4"/>
        <v>0</v>
      </c>
      <c r="EL18" s="3">
        <f t="shared" si="4"/>
        <v>0</v>
      </c>
      <c r="EM18" s="3">
        <f t="shared" ref="EM18:FR18" si="5">EM218</f>
        <v>0</v>
      </c>
      <c r="EN18" s="3">
        <f t="shared" si="5"/>
        <v>0</v>
      </c>
      <c r="EO18" s="3">
        <f t="shared" si="5"/>
        <v>0</v>
      </c>
      <c r="EP18" s="3">
        <f t="shared" si="5"/>
        <v>0</v>
      </c>
      <c r="EQ18" s="3">
        <f t="shared" si="5"/>
        <v>0</v>
      </c>
      <c r="ER18" s="3">
        <f t="shared" si="5"/>
        <v>0</v>
      </c>
      <c r="ES18" s="3">
        <f t="shared" si="5"/>
        <v>0</v>
      </c>
      <c r="ET18" s="3">
        <f t="shared" si="5"/>
        <v>0</v>
      </c>
      <c r="EU18" s="3">
        <f t="shared" si="5"/>
        <v>0</v>
      </c>
      <c r="EV18" s="3">
        <f t="shared" si="5"/>
        <v>0</v>
      </c>
      <c r="EW18" s="3">
        <f t="shared" si="5"/>
        <v>0</v>
      </c>
      <c r="EX18" s="3">
        <f t="shared" si="5"/>
        <v>0</v>
      </c>
      <c r="EY18" s="3">
        <f t="shared" si="5"/>
        <v>0</v>
      </c>
      <c r="EZ18" s="3">
        <f t="shared" si="5"/>
        <v>0</v>
      </c>
      <c r="FA18" s="3">
        <f t="shared" si="5"/>
        <v>0</v>
      </c>
      <c r="FB18" s="3">
        <f t="shared" si="5"/>
        <v>0</v>
      </c>
      <c r="FC18" s="3">
        <f t="shared" si="5"/>
        <v>0</v>
      </c>
      <c r="FD18" s="3">
        <f t="shared" si="5"/>
        <v>0</v>
      </c>
      <c r="FE18" s="3">
        <f t="shared" si="5"/>
        <v>0</v>
      </c>
      <c r="FF18" s="3">
        <f t="shared" si="5"/>
        <v>0</v>
      </c>
      <c r="FG18" s="3">
        <f t="shared" si="5"/>
        <v>0</v>
      </c>
      <c r="FH18" s="3">
        <f t="shared" si="5"/>
        <v>0</v>
      </c>
      <c r="FI18" s="3">
        <f t="shared" si="5"/>
        <v>0</v>
      </c>
      <c r="FJ18" s="3">
        <f t="shared" si="5"/>
        <v>0</v>
      </c>
      <c r="FK18" s="3">
        <f t="shared" si="5"/>
        <v>0</v>
      </c>
      <c r="FL18" s="3">
        <f t="shared" si="5"/>
        <v>0</v>
      </c>
      <c r="FM18" s="3">
        <f t="shared" si="5"/>
        <v>0</v>
      </c>
      <c r="FN18" s="3">
        <f t="shared" si="5"/>
        <v>0</v>
      </c>
      <c r="FO18" s="3">
        <f t="shared" si="5"/>
        <v>0</v>
      </c>
      <c r="FP18" s="3">
        <f t="shared" si="5"/>
        <v>0</v>
      </c>
      <c r="FQ18" s="3">
        <f t="shared" si="5"/>
        <v>0</v>
      </c>
      <c r="FR18" s="3">
        <f t="shared" si="5"/>
        <v>0</v>
      </c>
      <c r="FS18" s="3">
        <f t="shared" ref="FS18:GX18" si="6">FS218</f>
        <v>0</v>
      </c>
      <c r="FT18" s="3">
        <f t="shared" si="6"/>
        <v>0</v>
      </c>
      <c r="FU18" s="3">
        <f t="shared" si="6"/>
        <v>0</v>
      </c>
      <c r="FV18" s="3">
        <f t="shared" si="6"/>
        <v>0</v>
      </c>
      <c r="FW18" s="3">
        <f t="shared" si="6"/>
        <v>0</v>
      </c>
      <c r="FX18" s="3">
        <f t="shared" si="6"/>
        <v>0</v>
      </c>
      <c r="FY18" s="3">
        <f t="shared" si="6"/>
        <v>0</v>
      </c>
      <c r="FZ18" s="3">
        <f t="shared" si="6"/>
        <v>0</v>
      </c>
      <c r="GA18" s="3">
        <f t="shared" si="6"/>
        <v>0</v>
      </c>
      <c r="GB18" s="3">
        <f t="shared" si="6"/>
        <v>0</v>
      </c>
      <c r="GC18" s="3">
        <f t="shared" si="6"/>
        <v>0</v>
      </c>
      <c r="GD18" s="3">
        <f t="shared" si="6"/>
        <v>0</v>
      </c>
      <c r="GE18" s="3">
        <f t="shared" si="6"/>
        <v>0</v>
      </c>
      <c r="GF18" s="3">
        <f t="shared" si="6"/>
        <v>0</v>
      </c>
      <c r="GG18" s="3">
        <f t="shared" si="6"/>
        <v>0</v>
      </c>
      <c r="GH18" s="3">
        <f t="shared" si="6"/>
        <v>0</v>
      </c>
      <c r="GI18" s="3">
        <f t="shared" si="6"/>
        <v>0</v>
      </c>
      <c r="GJ18" s="3">
        <f t="shared" si="6"/>
        <v>0</v>
      </c>
      <c r="GK18" s="3">
        <f t="shared" si="6"/>
        <v>0</v>
      </c>
      <c r="GL18" s="3">
        <f t="shared" si="6"/>
        <v>0</v>
      </c>
      <c r="GM18" s="3">
        <f t="shared" si="6"/>
        <v>0</v>
      </c>
      <c r="GN18" s="3">
        <f t="shared" si="6"/>
        <v>0</v>
      </c>
      <c r="GO18" s="3">
        <f t="shared" si="6"/>
        <v>0</v>
      </c>
      <c r="GP18" s="3">
        <f t="shared" si="6"/>
        <v>0</v>
      </c>
      <c r="GQ18" s="3">
        <f t="shared" si="6"/>
        <v>0</v>
      </c>
      <c r="GR18" s="3">
        <f t="shared" si="6"/>
        <v>0</v>
      </c>
      <c r="GS18" s="3">
        <f t="shared" si="6"/>
        <v>0</v>
      </c>
      <c r="GT18" s="3">
        <f t="shared" si="6"/>
        <v>0</v>
      </c>
      <c r="GU18" s="3">
        <f t="shared" si="6"/>
        <v>0</v>
      </c>
      <c r="GV18" s="3">
        <f t="shared" si="6"/>
        <v>0</v>
      </c>
      <c r="GW18" s="3">
        <f t="shared" si="6"/>
        <v>0</v>
      </c>
      <c r="GX18" s="3">
        <f t="shared" si="6"/>
        <v>0</v>
      </c>
    </row>
    <row r="20" spans="1:245" x14ac:dyDescent="0.2">
      <c r="A20" s="1">
        <v>3</v>
      </c>
      <c r="B20" s="1">
        <v>1</v>
      </c>
      <c r="C20" s="1"/>
      <c r="D20" s="1">
        <f>ROW(A188)</f>
        <v>188</v>
      </c>
      <c r="E20" s="1"/>
      <c r="F20" s="1" t="s">
        <v>11</v>
      </c>
      <c r="G20" s="1" t="s">
        <v>12</v>
      </c>
      <c r="H20" s="1" t="s">
        <v>3</v>
      </c>
      <c r="I20" s="1">
        <v>0</v>
      </c>
      <c r="J20" s="1" t="s">
        <v>3</v>
      </c>
      <c r="K20" s="1">
        <v>0</v>
      </c>
      <c r="L20" s="1" t="s">
        <v>11</v>
      </c>
      <c r="M20" s="1" t="s">
        <v>3</v>
      </c>
      <c r="N20" s="1"/>
      <c r="O20" s="1"/>
      <c r="P20" s="1"/>
      <c r="Q20" s="1"/>
      <c r="R20" s="1"/>
      <c r="S20" s="1">
        <v>0</v>
      </c>
      <c r="T20" s="1"/>
      <c r="U20" s="1" t="s">
        <v>3</v>
      </c>
      <c r="V20" s="1">
        <v>0</v>
      </c>
      <c r="W20" s="1"/>
      <c r="X20" s="1"/>
      <c r="Y20" s="1"/>
      <c r="Z20" s="1"/>
      <c r="AA20" s="1"/>
      <c r="AB20" s="1" t="s">
        <v>3</v>
      </c>
      <c r="AC20" s="1" t="s">
        <v>3</v>
      </c>
      <c r="AD20" s="1" t="s">
        <v>3</v>
      </c>
      <c r="AE20" s="1" t="s">
        <v>3</v>
      </c>
      <c r="AF20" s="1" t="s">
        <v>3</v>
      </c>
      <c r="AG20" s="1" t="s">
        <v>3</v>
      </c>
      <c r="AH20" s="1"/>
      <c r="AI20" s="1"/>
      <c r="AJ20" s="1"/>
      <c r="AK20" s="1"/>
      <c r="AL20" s="1"/>
      <c r="AM20" s="1"/>
      <c r="AN20" s="1"/>
      <c r="AO20" s="1"/>
      <c r="AP20" s="1" t="s">
        <v>3</v>
      </c>
      <c r="AQ20" s="1" t="s">
        <v>3</v>
      </c>
      <c r="AR20" s="1" t="s">
        <v>3</v>
      </c>
      <c r="AS20" s="1"/>
      <c r="AT20" s="1"/>
      <c r="AU20" s="1"/>
      <c r="AV20" s="1"/>
      <c r="AW20" s="1"/>
      <c r="AX20" s="1"/>
      <c r="AY20" s="1"/>
      <c r="AZ20" s="1" t="s">
        <v>3</v>
      </c>
      <c r="BA20" s="1"/>
      <c r="BB20" s="1" t="s">
        <v>3</v>
      </c>
      <c r="BC20" s="1" t="s">
        <v>3</v>
      </c>
      <c r="BD20" s="1" t="s">
        <v>3</v>
      </c>
      <c r="BE20" s="1" t="s">
        <v>3</v>
      </c>
      <c r="BF20" s="1" t="s">
        <v>3</v>
      </c>
      <c r="BG20" s="1" t="s">
        <v>3</v>
      </c>
      <c r="BH20" s="1" t="s">
        <v>3</v>
      </c>
      <c r="BI20" s="1" t="s">
        <v>3</v>
      </c>
      <c r="BJ20" s="1" t="s">
        <v>3</v>
      </c>
      <c r="BK20" s="1" t="s">
        <v>3</v>
      </c>
      <c r="BL20" s="1" t="s">
        <v>3</v>
      </c>
      <c r="BM20" s="1" t="s">
        <v>3</v>
      </c>
      <c r="BN20" s="1" t="s">
        <v>3</v>
      </c>
      <c r="BO20" s="1" t="s">
        <v>3</v>
      </c>
      <c r="BP20" s="1" t="s">
        <v>3</v>
      </c>
      <c r="BQ20" s="1"/>
      <c r="BR20" s="1"/>
      <c r="BS20" s="1"/>
      <c r="BT20" s="1"/>
      <c r="BU20" s="1"/>
      <c r="BV20" s="1"/>
      <c r="BW20" s="1"/>
      <c r="BX20" s="1">
        <v>0</v>
      </c>
      <c r="BY20" s="1"/>
      <c r="BZ20" s="1"/>
      <c r="CA20" s="1"/>
      <c r="CB20" s="1"/>
      <c r="CC20" s="1"/>
      <c r="CD20" s="1"/>
      <c r="CE20" s="1"/>
      <c r="CF20" s="1">
        <v>0</v>
      </c>
      <c r="CG20" s="1">
        <v>0</v>
      </c>
      <c r="CH20" s="1"/>
      <c r="CI20" s="1" t="s">
        <v>3</v>
      </c>
      <c r="CJ20" s="1" t="s">
        <v>3</v>
      </c>
      <c r="CK20" t="s">
        <v>3</v>
      </c>
      <c r="CL20" t="s">
        <v>3</v>
      </c>
      <c r="CM20" t="s">
        <v>3</v>
      </c>
      <c r="CN20" t="s">
        <v>3</v>
      </c>
      <c r="CO20" t="s">
        <v>3</v>
      </c>
      <c r="CP20" t="s">
        <v>3</v>
      </c>
      <c r="CQ20" t="s">
        <v>3</v>
      </c>
    </row>
    <row r="22" spans="1:245" x14ac:dyDescent="0.2">
      <c r="A22" s="2">
        <v>52</v>
      </c>
      <c r="B22" s="2">
        <f t="shared" ref="B22:G22" si="7">B188</f>
        <v>1</v>
      </c>
      <c r="C22" s="2">
        <f t="shared" si="7"/>
        <v>3</v>
      </c>
      <c r="D22" s="2">
        <f t="shared" si="7"/>
        <v>20</v>
      </c>
      <c r="E22" s="2">
        <f t="shared" si="7"/>
        <v>0</v>
      </c>
      <c r="F22" s="2" t="str">
        <f t="shared" si="7"/>
        <v>Новая локальная смета</v>
      </c>
      <c r="G22" s="2" t="str">
        <f t="shared" si="7"/>
        <v>Пожаротуш.</v>
      </c>
      <c r="H22" s="2"/>
      <c r="I22" s="2"/>
      <c r="J22" s="2"/>
      <c r="K22" s="2"/>
      <c r="L22" s="2"/>
      <c r="M22" s="2"/>
      <c r="N22" s="2"/>
      <c r="O22" s="2">
        <f t="shared" ref="O22:AT22" si="8">O188</f>
        <v>481962.97</v>
      </c>
      <c r="P22" s="2">
        <f t="shared" si="8"/>
        <v>103990.9</v>
      </c>
      <c r="Q22" s="2">
        <f t="shared" si="8"/>
        <v>48620.27</v>
      </c>
      <c r="R22" s="2">
        <f t="shared" si="8"/>
        <v>24049.78</v>
      </c>
      <c r="S22" s="2">
        <f t="shared" si="8"/>
        <v>329351.8</v>
      </c>
      <c r="T22" s="2">
        <f t="shared" si="8"/>
        <v>0</v>
      </c>
      <c r="U22" s="2">
        <f t="shared" si="8"/>
        <v>379.00049999999999</v>
      </c>
      <c r="V22" s="2">
        <f t="shared" si="8"/>
        <v>0</v>
      </c>
      <c r="W22" s="2">
        <f t="shared" si="8"/>
        <v>0</v>
      </c>
      <c r="X22" s="2">
        <f t="shared" si="8"/>
        <v>230546.27</v>
      </c>
      <c r="Y22" s="2">
        <f t="shared" si="8"/>
        <v>32935.18</v>
      </c>
      <c r="Z22" s="2">
        <f t="shared" si="8"/>
        <v>0</v>
      </c>
      <c r="AA22" s="2">
        <f t="shared" si="8"/>
        <v>0</v>
      </c>
      <c r="AB22" s="2">
        <f t="shared" si="8"/>
        <v>0</v>
      </c>
      <c r="AC22" s="2">
        <f t="shared" si="8"/>
        <v>0</v>
      </c>
      <c r="AD22" s="2">
        <f t="shared" si="8"/>
        <v>0</v>
      </c>
      <c r="AE22" s="2">
        <f t="shared" si="8"/>
        <v>0</v>
      </c>
      <c r="AF22" s="2">
        <f t="shared" si="8"/>
        <v>0</v>
      </c>
      <c r="AG22" s="2">
        <f t="shared" si="8"/>
        <v>0</v>
      </c>
      <c r="AH22" s="2">
        <f t="shared" si="8"/>
        <v>0</v>
      </c>
      <c r="AI22" s="2">
        <f t="shared" si="8"/>
        <v>0</v>
      </c>
      <c r="AJ22" s="2">
        <f t="shared" si="8"/>
        <v>0</v>
      </c>
      <c r="AK22" s="2">
        <f t="shared" si="8"/>
        <v>0</v>
      </c>
      <c r="AL22" s="2">
        <f t="shared" si="8"/>
        <v>0</v>
      </c>
      <c r="AM22" s="2">
        <f t="shared" si="8"/>
        <v>0</v>
      </c>
      <c r="AN22" s="2">
        <f t="shared" si="8"/>
        <v>0</v>
      </c>
      <c r="AO22" s="2">
        <f t="shared" si="8"/>
        <v>0</v>
      </c>
      <c r="AP22" s="2">
        <f t="shared" si="8"/>
        <v>0</v>
      </c>
      <c r="AQ22" s="2">
        <f t="shared" si="8"/>
        <v>0</v>
      </c>
      <c r="AR22" s="2">
        <f t="shared" si="8"/>
        <v>771418.18</v>
      </c>
      <c r="AS22" s="2">
        <f t="shared" si="8"/>
        <v>0</v>
      </c>
      <c r="AT22" s="2">
        <f t="shared" si="8"/>
        <v>0</v>
      </c>
      <c r="AU22" s="2">
        <f t="shared" ref="AU22:BZ22" si="9">AU188</f>
        <v>771418.18</v>
      </c>
      <c r="AV22" s="2">
        <f t="shared" si="9"/>
        <v>103990.9</v>
      </c>
      <c r="AW22" s="2">
        <f t="shared" si="9"/>
        <v>103990.9</v>
      </c>
      <c r="AX22" s="2">
        <f t="shared" si="9"/>
        <v>0</v>
      </c>
      <c r="AY22" s="2">
        <f t="shared" si="9"/>
        <v>103990.9</v>
      </c>
      <c r="AZ22" s="2">
        <f t="shared" si="9"/>
        <v>0</v>
      </c>
      <c r="BA22" s="2">
        <f t="shared" si="9"/>
        <v>0</v>
      </c>
      <c r="BB22" s="2">
        <f t="shared" si="9"/>
        <v>0</v>
      </c>
      <c r="BC22" s="2">
        <f t="shared" si="9"/>
        <v>0</v>
      </c>
      <c r="BD22" s="2">
        <f t="shared" si="9"/>
        <v>0</v>
      </c>
      <c r="BE22" s="2">
        <f t="shared" si="9"/>
        <v>0</v>
      </c>
      <c r="BF22" s="2">
        <f t="shared" si="9"/>
        <v>0</v>
      </c>
      <c r="BG22" s="2">
        <f t="shared" si="9"/>
        <v>0</v>
      </c>
      <c r="BH22" s="2">
        <f t="shared" si="9"/>
        <v>0</v>
      </c>
      <c r="BI22" s="2">
        <f t="shared" si="9"/>
        <v>0</v>
      </c>
      <c r="BJ22" s="2">
        <f t="shared" si="9"/>
        <v>0</v>
      </c>
      <c r="BK22" s="2">
        <f t="shared" si="9"/>
        <v>0</v>
      </c>
      <c r="BL22" s="2">
        <f t="shared" si="9"/>
        <v>0</v>
      </c>
      <c r="BM22" s="2">
        <f t="shared" si="9"/>
        <v>0</v>
      </c>
      <c r="BN22" s="2">
        <f t="shared" si="9"/>
        <v>0</v>
      </c>
      <c r="BO22" s="2">
        <f t="shared" si="9"/>
        <v>0</v>
      </c>
      <c r="BP22" s="2">
        <f t="shared" si="9"/>
        <v>0</v>
      </c>
      <c r="BQ22" s="2">
        <f t="shared" si="9"/>
        <v>0</v>
      </c>
      <c r="BR22" s="2">
        <f t="shared" si="9"/>
        <v>0</v>
      </c>
      <c r="BS22" s="2">
        <f t="shared" si="9"/>
        <v>0</v>
      </c>
      <c r="BT22" s="2">
        <f t="shared" si="9"/>
        <v>0</v>
      </c>
      <c r="BU22" s="2">
        <f t="shared" si="9"/>
        <v>0</v>
      </c>
      <c r="BV22" s="2">
        <f t="shared" si="9"/>
        <v>0</v>
      </c>
      <c r="BW22" s="2">
        <f t="shared" si="9"/>
        <v>0</v>
      </c>
      <c r="BX22" s="2">
        <f t="shared" si="9"/>
        <v>0</v>
      </c>
      <c r="BY22" s="2">
        <f t="shared" si="9"/>
        <v>0</v>
      </c>
      <c r="BZ22" s="2">
        <f t="shared" si="9"/>
        <v>0</v>
      </c>
      <c r="CA22" s="2">
        <f t="shared" ref="CA22:DF22" si="10">CA188</f>
        <v>0</v>
      </c>
      <c r="CB22" s="2">
        <f t="shared" si="10"/>
        <v>0</v>
      </c>
      <c r="CC22" s="2">
        <f t="shared" si="10"/>
        <v>0</v>
      </c>
      <c r="CD22" s="2">
        <f t="shared" si="10"/>
        <v>0</v>
      </c>
      <c r="CE22" s="2">
        <f t="shared" si="10"/>
        <v>0</v>
      </c>
      <c r="CF22" s="2">
        <f t="shared" si="10"/>
        <v>0</v>
      </c>
      <c r="CG22" s="2">
        <f t="shared" si="10"/>
        <v>0</v>
      </c>
      <c r="CH22" s="2">
        <f t="shared" si="10"/>
        <v>0</v>
      </c>
      <c r="CI22" s="2">
        <f t="shared" si="10"/>
        <v>0</v>
      </c>
      <c r="CJ22" s="2">
        <f t="shared" si="10"/>
        <v>0</v>
      </c>
      <c r="CK22" s="2">
        <f t="shared" si="10"/>
        <v>0</v>
      </c>
      <c r="CL22" s="2">
        <f t="shared" si="10"/>
        <v>0</v>
      </c>
      <c r="CM22" s="2">
        <f t="shared" si="10"/>
        <v>0</v>
      </c>
      <c r="CN22" s="2">
        <f t="shared" si="10"/>
        <v>0</v>
      </c>
      <c r="CO22" s="2">
        <f t="shared" si="10"/>
        <v>0</v>
      </c>
      <c r="CP22" s="2">
        <f t="shared" si="10"/>
        <v>0</v>
      </c>
      <c r="CQ22" s="2">
        <f t="shared" si="10"/>
        <v>0</v>
      </c>
      <c r="CR22" s="2">
        <f t="shared" si="10"/>
        <v>0</v>
      </c>
      <c r="CS22" s="2">
        <f t="shared" si="10"/>
        <v>0</v>
      </c>
      <c r="CT22" s="2">
        <f t="shared" si="10"/>
        <v>0</v>
      </c>
      <c r="CU22" s="2">
        <f t="shared" si="10"/>
        <v>0</v>
      </c>
      <c r="CV22" s="2">
        <f t="shared" si="10"/>
        <v>0</v>
      </c>
      <c r="CW22" s="2">
        <f t="shared" si="10"/>
        <v>0</v>
      </c>
      <c r="CX22" s="2">
        <f t="shared" si="10"/>
        <v>0</v>
      </c>
      <c r="CY22" s="2">
        <f t="shared" si="10"/>
        <v>0</v>
      </c>
      <c r="CZ22" s="2">
        <f t="shared" si="10"/>
        <v>0</v>
      </c>
      <c r="DA22" s="2">
        <f t="shared" si="10"/>
        <v>0</v>
      </c>
      <c r="DB22" s="2">
        <f t="shared" si="10"/>
        <v>0</v>
      </c>
      <c r="DC22" s="2">
        <f t="shared" si="10"/>
        <v>0</v>
      </c>
      <c r="DD22" s="2">
        <f t="shared" si="10"/>
        <v>0</v>
      </c>
      <c r="DE22" s="2">
        <f t="shared" si="10"/>
        <v>0</v>
      </c>
      <c r="DF22" s="2">
        <f t="shared" si="10"/>
        <v>0</v>
      </c>
      <c r="DG22" s="3">
        <f t="shared" ref="DG22:EL22" si="11">DG188</f>
        <v>0</v>
      </c>
      <c r="DH22" s="3">
        <f t="shared" si="11"/>
        <v>0</v>
      </c>
      <c r="DI22" s="3">
        <f t="shared" si="11"/>
        <v>0</v>
      </c>
      <c r="DJ22" s="3">
        <f t="shared" si="11"/>
        <v>0</v>
      </c>
      <c r="DK22" s="3">
        <f t="shared" si="11"/>
        <v>0</v>
      </c>
      <c r="DL22" s="3">
        <f t="shared" si="11"/>
        <v>0</v>
      </c>
      <c r="DM22" s="3">
        <f t="shared" si="11"/>
        <v>0</v>
      </c>
      <c r="DN22" s="3">
        <f t="shared" si="11"/>
        <v>0</v>
      </c>
      <c r="DO22" s="3">
        <f t="shared" si="11"/>
        <v>0</v>
      </c>
      <c r="DP22" s="3">
        <f t="shared" si="11"/>
        <v>0</v>
      </c>
      <c r="DQ22" s="3">
        <f t="shared" si="11"/>
        <v>0</v>
      </c>
      <c r="DR22" s="3">
        <f t="shared" si="11"/>
        <v>0</v>
      </c>
      <c r="DS22" s="3">
        <f t="shared" si="11"/>
        <v>0</v>
      </c>
      <c r="DT22" s="3">
        <f t="shared" si="11"/>
        <v>0</v>
      </c>
      <c r="DU22" s="3">
        <f t="shared" si="11"/>
        <v>0</v>
      </c>
      <c r="DV22" s="3">
        <f t="shared" si="11"/>
        <v>0</v>
      </c>
      <c r="DW22" s="3">
        <f t="shared" si="11"/>
        <v>0</v>
      </c>
      <c r="DX22" s="3">
        <f t="shared" si="11"/>
        <v>0</v>
      </c>
      <c r="DY22" s="3">
        <f t="shared" si="11"/>
        <v>0</v>
      </c>
      <c r="DZ22" s="3">
        <f t="shared" si="11"/>
        <v>0</v>
      </c>
      <c r="EA22" s="3">
        <f t="shared" si="11"/>
        <v>0</v>
      </c>
      <c r="EB22" s="3">
        <f t="shared" si="11"/>
        <v>0</v>
      </c>
      <c r="EC22" s="3">
        <f t="shared" si="11"/>
        <v>0</v>
      </c>
      <c r="ED22" s="3">
        <f t="shared" si="11"/>
        <v>0</v>
      </c>
      <c r="EE22" s="3">
        <f t="shared" si="11"/>
        <v>0</v>
      </c>
      <c r="EF22" s="3">
        <f t="shared" si="11"/>
        <v>0</v>
      </c>
      <c r="EG22" s="3">
        <f t="shared" si="11"/>
        <v>0</v>
      </c>
      <c r="EH22" s="3">
        <f t="shared" si="11"/>
        <v>0</v>
      </c>
      <c r="EI22" s="3">
        <f t="shared" si="11"/>
        <v>0</v>
      </c>
      <c r="EJ22" s="3">
        <f t="shared" si="11"/>
        <v>0</v>
      </c>
      <c r="EK22" s="3">
        <f t="shared" si="11"/>
        <v>0</v>
      </c>
      <c r="EL22" s="3">
        <f t="shared" si="11"/>
        <v>0</v>
      </c>
      <c r="EM22" s="3">
        <f t="shared" ref="EM22:FR22" si="12">EM188</f>
        <v>0</v>
      </c>
      <c r="EN22" s="3">
        <f t="shared" si="12"/>
        <v>0</v>
      </c>
      <c r="EO22" s="3">
        <f t="shared" si="12"/>
        <v>0</v>
      </c>
      <c r="EP22" s="3">
        <f t="shared" si="12"/>
        <v>0</v>
      </c>
      <c r="EQ22" s="3">
        <f t="shared" si="12"/>
        <v>0</v>
      </c>
      <c r="ER22" s="3">
        <f t="shared" si="12"/>
        <v>0</v>
      </c>
      <c r="ES22" s="3">
        <f t="shared" si="12"/>
        <v>0</v>
      </c>
      <c r="ET22" s="3">
        <f t="shared" si="12"/>
        <v>0</v>
      </c>
      <c r="EU22" s="3">
        <f t="shared" si="12"/>
        <v>0</v>
      </c>
      <c r="EV22" s="3">
        <f t="shared" si="12"/>
        <v>0</v>
      </c>
      <c r="EW22" s="3">
        <f t="shared" si="12"/>
        <v>0</v>
      </c>
      <c r="EX22" s="3">
        <f t="shared" si="12"/>
        <v>0</v>
      </c>
      <c r="EY22" s="3">
        <f t="shared" si="12"/>
        <v>0</v>
      </c>
      <c r="EZ22" s="3">
        <f t="shared" si="12"/>
        <v>0</v>
      </c>
      <c r="FA22" s="3">
        <f t="shared" si="12"/>
        <v>0</v>
      </c>
      <c r="FB22" s="3">
        <f t="shared" si="12"/>
        <v>0</v>
      </c>
      <c r="FC22" s="3">
        <f t="shared" si="12"/>
        <v>0</v>
      </c>
      <c r="FD22" s="3">
        <f t="shared" si="12"/>
        <v>0</v>
      </c>
      <c r="FE22" s="3">
        <f t="shared" si="12"/>
        <v>0</v>
      </c>
      <c r="FF22" s="3">
        <f t="shared" si="12"/>
        <v>0</v>
      </c>
      <c r="FG22" s="3">
        <f t="shared" si="12"/>
        <v>0</v>
      </c>
      <c r="FH22" s="3">
        <f t="shared" si="12"/>
        <v>0</v>
      </c>
      <c r="FI22" s="3">
        <f t="shared" si="12"/>
        <v>0</v>
      </c>
      <c r="FJ22" s="3">
        <f t="shared" si="12"/>
        <v>0</v>
      </c>
      <c r="FK22" s="3">
        <f t="shared" si="12"/>
        <v>0</v>
      </c>
      <c r="FL22" s="3">
        <f t="shared" si="12"/>
        <v>0</v>
      </c>
      <c r="FM22" s="3">
        <f t="shared" si="12"/>
        <v>0</v>
      </c>
      <c r="FN22" s="3">
        <f t="shared" si="12"/>
        <v>0</v>
      </c>
      <c r="FO22" s="3">
        <f t="shared" si="12"/>
        <v>0</v>
      </c>
      <c r="FP22" s="3">
        <f t="shared" si="12"/>
        <v>0</v>
      </c>
      <c r="FQ22" s="3">
        <f t="shared" si="12"/>
        <v>0</v>
      </c>
      <c r="FR22" s="3">
        <f t="shared" si="12"/>
        <v>0</v>
      </c>
      <c r="FS22" s="3">
        <f t="shared" ref="FS22:GX22" si="13">FS188</f>
        <v>0</v>
      </c>
      <c r="FT22" s="3">
        <f t="shared" si="13"/>
        <v>0</v>
      </c>
      <c r="FU22" s="3">
        <f t="shared" si="13"/>
        <v>0</v>
      </c>
      <c r="FV22" s="3">
        <f t="shared" si="13"/>
        <v>0</v>
      </c>
      <c r="FW22" s="3">
        <f t="shared" si="13"/>
        <v>0</v>
      </c>
      <c r="FX22" s="3">
        <f t="shared" si="13"/>
        <v>0</v>
      </c>
      <c r="FY22" s="3">
        <f t="shared" si="13"/>
        <v>0</v>
      </c>
      <c r="FZ22" s="3">
        <f t="shared" si="13"/>
        <v>0</v>
      </c>
      <c r="GA22" s="3">
        <f t="shared" si="13"/>
        <v>0</v>
      </c>
      <c r="GB22" s="3">
        <f t="shared" si="13"/>
        <v>0</v>
      </c>
      <c r="GC22" s="3">
        <f t="shared" si="13"/>
        <v>0</v>
      </c>
      <c r="GD22" s="3">
        <f t="shared" si="13"/>
        <v>0</v>
      </c>
      <c r="GE22" s="3">
        <f t="shared" si="13"/>
        <v>0</v>
      </c>
      <c r="GF22" s="3">
        <f t="shared" si="13"/>
        <v>0</v>
      </c>
      <c r="GG22" s="3">
        <f t="shared" si="13"/>
        <v>0</v>
      </c>
      <c r="GH22" s="3">
        <f t="shared" si="13"/>
        <v>0</v>
      </c>
      <c r="GI22" s="3">
        <f t="shared" si="13"/>
        <v>0</v>
      </c>
      <c r="GJ22" s="3">
        <f t="shared" si="13"/>
        <v>0</v>
      </c>
      <c r="GK22" s="3">
        <f t="shared" si="13"/>
        <v>0</v>
      </c>
      <c r="GL22" s="3">
        <f t="shared" si="13"/>
        <v>0</v>
      </c>
      <c r="GM22" s="3">
        <f t="shared" si="13"/>
        <v>0</v>
      </c>
      <c r="GN22" s="3">
        <f t="shared" si="13"/>
        <v>0</v>
      </c>
      <c r="GO22" s="3">
        <f t="shared" si="13"/>
        <v>0</v>
      </c>
      <c r="GP22" s="3">
        <f t="shared" si="13"/>
        <v>0</v>
      </c>
      <c r="GQ22" s="3">
        <f t="shared" si="13"/>
        <v>0</v>
      </c>
      <c r="GR22" s="3">
        <f t="shared" si="13"/>
        <v>0</v>
      </c>
      <c r="GS22" s="3">
        <f t="shared" si="13"/>
        <v>0</v>
      </c>
      <c r="GT22" s="3">
        <f t="shared" si="13"/>
        <v>0</v>
      </c>
      <c r="GU22" s="3">
        <f t="shared" si="13"/>
        <v>0</v>
      </c>
      <c r="GV22" s="3">
        <f t="shared" si="13"/>
        <v>0</v>
      </c>
      <c r="GW22" s="3">
        <f t="shared" si="13"/>
        <v>0</v>
      </c>
      <c r="GX22" s="3">
        <f t="shared" si="13"/>
        <v>0</v>
      </c>
    </row>
    <row r="24" spans="1:245" x14ac:dyDescent="0.2">
      <c r="A24" s="1">
        <v>4</v>
      </c>
      <c r="B24" s="1">
        <v>1</v>
      </c>
      <c r="C24" s="1"/>
      <c r="D24" s="1">
        <f>ROW(A30)</f>
        <v>30</v>
      </c>
      <c r="E24" s="1"/>
      <c r="F24" s="1" t="s">
        <v>13</v>
      </c>
      <c r="G24" s="1" t="s">
        <v>14</v>
      </c>
      <c r="H24" s="1" t="s">
        <v>3</v>
      </c>
      <c r="I24" s="1">
        <v>0</v>
      </c>
      <c r="J24" s="1"/>
      <c r="K24" s="1">
        <v>0</v>
      </c>
      <c r="L24" s="1"/>
      <c r="M24" s="1" t="s">
        <v>3</v>
      </c>
      <c r="N24" s="1"/>
      <c r="O24" s="1"/>
      <c r="P24" s="1"/>
      <c r="Q24" s="1"/>
      <c r="R24" s="1"/>
      <c r="S24" s="1">
        <v>0</v>
      </c>
      <c r="T24" s="1"/>
      <c r="U24" s="1" t="s">
        <v>3</v>
      </c>
      <c r="V24" s="1">
        <v>0</v>
      </c>
      <c r="W24" s="1"/>
      <c r="X24" s="1"/>
      <c r="Y24" s="1"/>
      <c r="Z24" s="1"/>
      <c r="AA24" s="1"/>
      <c r="AB24" s="1" t="s">
        <v>3</v>
      </c>
      <c r="AC24" s="1" t="s">
        <v>3</v>
      </c>
      <c r="AD24" s="1" t="s">
        <v>3</v>
      </c>
      <c r="AE24" s="1" t="s">
        <v>3</v>
      </c>
      <c r="AF24" s="1" t="s">
        <v>3</v>
      </c>
      <c r="AG24" s="1" t="s">
        <v>3</v>
      </c>
      <c r="AH24" s="1"/>
      <c r="AI24" s="1"/>
      <c r="AJ24" s="1"/>
      <c r="AK24" s="1"/>
      <c r="AL24" s="1"/>
      <c r="AM24" s="1"/>
      <c r="AN24" s="1"/>
      <c r="AO24" s="1"/>
      <c r="AP24" s="1" t="s">
        <v>3</v>
      </c>
      <c r="AQ24" s="1" t="s">
        <v>3</v>
      </c>
      <c r="AR24" s="1" t="s">
        <v>3</v>
      </c>
      <c r="AS24" s="1"/>
      <c r="AT24" s="1"/>
      <c r="AU24" s="1"/>
      <c r="AV24" s="1"/>
      <c r="AW24" s="1"/>
      <c r="AX24" s="1"/>
      <c r="AY24" s="1"/>
      <c r="AZ24" s="1" t="s">
        <v>3</v>
      </c>
      <c r="BA24" s="1"/>
      <c r="BB24" s="1" t="s">
        <v>3</v>
      </c>
      <c r="BC24" s="1" t="s">
        <v>3</v>
      </c>
      <c r="BD24" s="1" t="s">
        <v>3</v>
      </c>
      <c r="BE24" s="1" t="s">
        <v>3</v>
      </c>
      <c r="BF24" s="1" t="s">
        <v>3</v>
      </c>
      <c r="BG24" s="1" t="s">
        <v>3</v>
      </c>
      <c r="BH24" s="1" t="s">
        <v>3</v>
      </c>
      <c r="BI24" s="1" t="s">
        <v>3</v>
      </c>
      <c r="BJ24" s="1" t="s">
        <v>3</v>
      </c>
      <c r="BK24" s="1" t="s">
        <v>3</v>
      </c>
      <c r="BL24" s="1" t="s">
        <v>3</v>
      </c>
      <c r="BM24" s="1" t="s">
        <v>3</v>
      </c>
      <c r="BN24" s="1" t="s">
        <v>3</v>
      </c>
      <c r="BO24" s="1" t="s">
        <v>3</v>
      </c>
      <c r="BP24" s="1" t="s">
        <v>3</v>
      </c>
      <c r="BQ24" s="1"/>
      <c r="BR24" s="1"/>
      <c r="BS24" s="1"/>
      <c r="BT24" s="1"/>
      <c r="BU24" s="1"/>
      <c r="BV24" s="1"/>
      <c r="BW24" s="1"/>
      <c r="BX24" s="1">
        <v>0</v>
      </c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>
        <v>0</v>
      </c>
    </row>
    <row r="26" spans="1:245" x14ac:dyDescent="0.2">
      <c r="A26" s="2">
        <v>52</v>
      </c>
      <c r="B26" s="2">
        <f t="shared" ref="B26:G26" si="14">B30</f>
        <v>1</v>
      </c>
      <c r="C26" s="2">
        <f t="shared" si="14"/>
        <v>4</v>
      </c>
      <c r="D26" s="2">
        <f t="shared" si="14"/>
        <v>24</v>
      </c>
      <c r="E26" s="2">
        <f t="shared" si="14"/>
        <v>0</v>
      </c>
      <c r="F26" s="2" t="str">
        <f t="shared" si="14"/>
        <v>Новый раздел</v>
      </c>
      <c r="G26" s="2" t="str">
        <f t="shared" si="14"/>
        <v>Проектные работы</v>
      </c>
      <c r="H26" s="2"/>
      <c r="I26" s="2"/>
      <c r="J26" s="2"/>
      <c r="K26" s="2"/>
      <c r="L26" s="2"/>
      <c r="M26" s="2"/>
      <c r="N26" s="2"/>
      <c r="O26" s="2">
        <f t="shared" ref="O26:AT26" si="15">O30</f>
        <v>100000</v>
      </c>
      <c r="P26" s="2">
        <f t="shared" si="15"/>
        <v>100000</v>
      </c>
      <c r="Q26" s="2">
        <f t="shared" si="15"/>
        <v>0</v>
      </c>
      <c r="R26" s="2">
        <f t="shared" si="15"/>
        <v>0</v>
      </c>
      <c r="S26" s="2">
        <f t="shared" si="15"/>
        <v>0</v>
      </c>
      <c r="T26" s="2">
        <f t="shared" si="15"/>
        <v>0</v>
      </c>
      <c r="U26" s="2">
        <f t="shared" si="15"/>
        <v>0</v>
      </c>
      <c r="V26" s="2">
        <f t="shared" si="15"/>
        <v>0</v>
      </c>
      <c r="W26" s="2">
        <f t="shared" si="15"/>
        <v>0</v>
      </c>
      <c r="X26" s="2">
        <f t="shared" si="15"/>
        <v>0</v>
      </c>
      <c r="Y26" s="2">
        <f t="shared" si="15"/>
        <v>0</v>
      </c>
      <c r="Z26" s="2">
        <f t="shared" si="15"/>
        <v>0</v>
      </c>
      <c r="AA26" s="2">
        <f t="shared" si="15"/>
        <v>0</v>
      </c>
      <c r="AB26" s="2">
        <f t="shared" si="15"/>
        <v>100000</v>
      </c>
      <c r="AC26" s="2">
        <f t="shared" si="15"/>
        <v>100000</v>
      </c>
      <c r="AD26" s="2">
        <f t="shared" si="15"/>
        <v>0</v>
      </c>
      <c r="AE26" s="2">
        <f t="shared" si="15"/>
        <v>0</v>
      </c>
      <c r="AF26" s="2">
        <f t="shared" si="15"/>
        <v>0</v>
      </c>
      <c r="AG26" s="2">
        <f t="shared" si="15"/>
        <v>0</v>
      </c>
      <c r="AH26" s="2">
        <f t="shared" si="15"/>
        <v>0</v>
      </c>
      <c r="AI26" s="2">
        <f t="shared" si="15"/>
        <v>0</v>
      </c>
      <c r="AJ26" s="2">
        <f t="shared" si="15"/>
        <v>0</v>
      </c>
      <c r="AK26" s="2">
        <f t="shared" si="15"/>
        <v>0</v>
      </c>
      <c r="AL26" s="2">
        <f t="shared" si="15"/>
        <v>0</v>
      </c>
      <c r="AM26" s="2">
        <f t="shared" si="15"/>
        <v>0</v>
      </c>
      <c r="AN26" s="2">
        <f t="shared" si="15"/>
        <v>0</v>
      </c>
      <c r="AO26" s="2">
        <f t="shared" si="15"/>
        <v>0</v>
      </c>
      <c r="AP26" s="2">
        <f t="shared" si="15"/>
        <v>0</v>
      </c>
      <c r="AQ26" s="2">
        <f t="shared" si="15"/>
        <v>0</v>
      </c>
      <c r="AR26" s="2">
        <f t="shared" si="15"/>
        <v>100000</v>
      </c>
      <c r="AS26" s="2">
        <f t="shared" si="15"/>
        <v>0</v>
      </c>
      <c r="AT26" s="2">
        <f t="shared" si="15"/>
        <v>0</v>
      </c>
      <c r="AU26" s="2">
        <f t="shared" ref="AU26:BZ26" si="16">AU30</f>
        <v>100000</v>
      </c>
      <c r="AV26" s="2">
        <f t="shared" si="16"/>
        <v>100000</v>
      </c>
      <c r="AW26" s="2">
        <f t="shared" si="16"/>
        <v>100000</v>
      </c>
      <c r="AX26" s="2">
        <f t="shared" si="16"/>
        <v>0</v>
      </c>
      <c r="AY26" s="2">
        <f t="shared" si="16"/>
        <v>100000</v>
      </c>
      <c r="AZ26" s="2">
        <f t="shared" si="16"/>
        <v>0</v>
      </c>
      <c r="BA26" s="2">
        <f t="shared" si="16"/>
        <v>0</v>
      </c>
      <c r="BB26" s="2">
        <f t="shared" si="16"/>
        <v>0</v>
      </c>
      <c r="BC26" s="2">
        <f t="shared" si="16"/>
        <v>0</v>
      </c>
      <c r="BD26" s="2">
        <f t="shared" si="16"/>
        <v>0</v>
      </c>
      <c r="BE26" s="2">
        <f t="shared" si="16"/>
        <v>0</v>
      </c>
      <c r="BF26" s="2">
        <f t="shared" si="16"/>
        <v>0</v>
      </c>
      <c r="BG26" s="2">
        <f t="shared" si="16"/>
        <v>0</v>
      </c>
      <c r="BH26" s="2">
        <f t="shared" si="16"/>
        <v>0</v>
      </c>
      <c r="BI26" s="2">
        <f t="shared" si="16"/>
        <v>0</v>
      </c>
      <c r="BJ26" s="2">
        <f t="shared" si="16"/>
        <v>0</v>
      </c>
      <c r="BK26" s="2">
        <f t="shared" si="16"/>
        <v>0</v>
      </c>
      <c r="BL26" s="2">
        <f t="shared" si="16"/>
        <v>0</v>
      </c>
      <c r="BM26" s="2">
        <f t="shared" si="16"/>
        <v>0</v>
      </c>
      <c r="BN26" s="2">
        <f t="shared" si="16"/>
        <v>0</v>
      </c>
      <c r="BO26" s="2">
        <f t="shared" si="16"/>
        <v>0</v>
      </c>
      <c r="BP26" s="2">
        <f t="shared" si="16"/>
        <v>0</v>
      </c>
      <c r="BQ26" s="2">
        <f t="shared" si="16"/>
        <v>0</v>
      </c>
      <c r="BR26" s="2">
        <f t="shared" si="16"/>
        <v>0</v>
      </c>
      <c r="BS26" s="2">
        <f t="shared" si="16"/>
        <v>0</v>
      </c>
      <c r="BT26" s="2">
        <f t="shared" si="16"/>
        <v>0</v>
      </c>
      <c r="BU26" s="2">
        <f t="shared" si="16"/>
        <v>0</v>
      </c>
      <c r="BV26" s="2">
        <f t="shared" si="16"/>
        <v>0</v>
      </c>
      <c r="BW26" s="2">
        <f t="shared" si="16"/>
        <v>0</v>
      </c>
      <c r="BX26" s="2">
        <f t="shared" si="16"/>
        <v>0</v>
      </c>
      <c r="BY26" s="2">
        <f t="shared" si="16"/>
        <v>0</v>
      </c>
      <c r="BZ26" s="2">
        <f t="shared" si="16"/>
        <v>0</v>
      </c>
      <c r="CA26" s="2">
        <f t="shared" ref="CA26:DF26" si="17">CA30</f>
        <v>100000</v>
      </c>
      <c r="CB26" s="2">
        <f t="shared" si="17"/>
        <v>0</v>
      </c>
      <c r="CC26" s="2">
        <f t="shared" si="17"/>
        <v>0</v>
      </c>
      <c r="CD26" s="2">
        <f t="shared" si="17"/>
        <v>100000</v>
      </c>
      <c r="CE26" s="2">
        <f t="shared" si="17"/>
        <v>100000</v>
      </c>
      <c r="CF26" s="2">
        <f t="shared" si="17"/>
        <v>100000</v>
      </c>
      <c r="CG26" s="2">
        <f t="shared" si="17"/>
        <v>0</v>
      </c>
      <c r="CH26" s="2">
        <f t="shared" si="17"/>
        <v>100000</v>
      </c>
      <c r="CI26" s="2">
        <f t="shared" si="17"/>
        <v>0</v>
      </c>
      <c r="CJ26" s="2">
        <f t="shared" si="17"/>
        <v>0</v>
      </c>
      <c r="CK26" s="2">
        <f t="shared" si="17"/>
        <v>0</v>
      </c>
      <c r="CL26" s="2">
        <f t="shared" si="17"/>
        <v>0</v>
      </c>
      <c r="CM26" s="2">
        <f t="shared" si="17"/>
        <v>0</v>
      </c>
      <c r="CN26" s="2">
        <f t="shared" si="17"/>
        <v>0</v>
      </c>
      <c r="CO26" s="2">
        <f t="shared" si="17"/>
        <v>0</v>
      </c>
      <c r="CP26" s="2">
        <f t="shared" si="17"/>
        <v>0</v>
      </c>
      <c r="CQ26" s="2">
        <f t="shared" si="17"/>
        <v>0</v>
      </c>
      <c r="CR26" s="2">
        <f t="shared" si="17"/>
        <v>0</v>
      </c>
      <c r="CS26" s="2">
        <f t="shared" si="17"/>
        <v>0</v>
      </c>
      <c r="CT26" s="2">
        <f t="shared" si="17"/>
        <v>0</v>
      </c>
      <c r="CU26" s="2">
        <f t="shared" si="17"/>
        <v>0</v>
      </c>
      <c r="CV26" s="2">
        <f t="shared" si="17"/>
        <v>0</v>
      </c>
      <c r="CW26" s="2">
        <f t="shared" si="17"/>
        <v>0</v>
      </c>
      <c r="CX26" s="2">
        <f t="shared" si="17"/>
        <v>0</v>
      </c>
      <c r="CY26" s="2">
        <f t="shared" si="17"/>
        <v>0</v>
      </c>
      <c r="CZ26" s="2">
        <f t="shared" si="17"/>
        <v>0</v>
      </c>
      <c r="DA26" s="2">
        <f t="shared" si="17"/>
        <v>0</v>
      </c>
      <c r="DB26" s="2">
        <f t="shared" si="17"/>
        <v>0</v>
      </c>
      <c r="DC26" s="2">
        <f t="shared" si="17"/>
        <v>0</v>
      </c>
      <c r="DD26" s="2">
        <f t="shared" si="17"/>
        <v>0</v>
      </c>
      <c r="DE26" s="2">
        <f t="shared" si="17"/>
        <v>0</v>
      </c>
      <c r="DF26" s="2">
        <f t="shared" si="17"/>
        <v>0</v>
      </c>
      <c r="DG26" s="3">
        <f t="shared" ref="DG26:EL26" si="18">DG30</f>
        <v>0</v>
      </c>
      <c r="DH26" s="3">
        <f t="shared" si="18"/>
        <v>0</v>
      </c>
      <c r="DI26" s="3">
        <f t="shared" si="18"/>
        <v>0</v>
      </c>
      <c r="DJ26" s="3">
        <f t="shared" si="18"/>
        <v>0</v>
      </c>
      <c r="DK26" s="3">
        <f t="shared" si="18"/>
        <v>0</v>
      </c>
      <c r="DL26" s="3">
        <f t="shared" si="18"/>
        <v>0</v>
      </c>
      <c r="DM26" s="3">
        <f t="shared" si="18"/>
        <v>0</v>
      </c>
      <c r="DN26" s="3">
        <f t="shared" si="18"/>
        <v>0</v>
      </c>
      <c r="DO26" s="3">
        <f t="shared" si="18"/>
        <v>0</v>
      </c>
      <c r="DP26" s="3">
        <f t="shared" si="18"/>
        <v>0</v>
      </c>
      <c r="DQ26" s="3">
        <f t="shared" si="18"/>
        <v>0</v>
      </c>
      <c r="DR26" s="3">
        <f t="shared" si="18"/>
        <v>0</v>
      </c>
      <c r="DS26" s="3">
        <f t="shared" si="18"/>
        <v>0</v>
      </c>
      <c r="DT26" s="3">
        <f t="shared" si="18"/>
        <v>0</v>
      </c>
      <c r="DU26" s="3">
        <f t="shared" si="18"/>
        <v>0</v>
      </c>
      <c r="DV26" s="3">
        <f t="shared" si="18"/>
        <v>0</v>
      </c>
      <c r="DW26" s="3">
        <f t="shared" si="18"/>
        <v>0</v>
      </c>
      <c r="DX26" s="3">
        <f t="shared" si="18"/>
        <v>0</v>
      </c>
      <c r="DY26" s="3">
        <f t="shared" si="18"/>
        <v>0</v>
      </c>
      <c r="DZ26" s="3">
        <f t="shared" si="18"/>
        <v>0</v>
      </c>
      <c r="EA26" s="3">
        <f t="shared" si="18"/>
        <v>0</v>
      </c>
      <c r="EB26" s="3">
        <f t="shared" si="18"/>
        <v>0</v>
      </c>
      <c r="EC26" s="3">
        <f t="shared" si="18"/>
        <v>0</v>
      </c>
      <c r="ED26" s="3">
        <f t="shared" si="18"/>
        <v>0</v>
      </c>
      <c r="EE26" s="3">
        <f t="shared" si="18"/>
        <v>0</v>
      </c>
      <c r="EF26" s="3">
        <f t="shared" si="18"/>
        <v>0</v>
      </c>
      <c r="EG26" s="3">
        <f t="shared" si="18"/>
        <v>0</v>
      </c>
      <c r="EH26" s="3">
        <f t="shared" si="18"/>
        <v>0</v>
      </c>
      <c r="EI26" s="3">
        <f t="shared" si="18"/>
        <v>0</v>
      </c>
      <c r="EJ26" s="3">
        <f t="shared" si="18"/>
        <v>0</v>
      </c>
      <c r="EK26" s="3">
        <f t="shared" si="18"/>
        <v>0</v>
      </c>
      <c r="EL26" s="3">
        <f t="shared" si="18"/>
        <v>0</v>
      </c>
      <c r="EM26" s="3">
        <f t="shared" ref="EM26:FR26" si="19">EM30</f>
        <v>0</v>
      </c>
      <c r="EN26" s="3">
        <f t="shared" si="19"/>
        <v>0</v>
      </c>
      <c r="EO26" s="3">
        <f t="shared" si="19"/>
        <v>0</v>
      </c>
      <c r="EP26" s="3">
        <f t="shared" si="19"/>
        <v>0</v>
      </c>
      <c r="EQ26" s="3">
        <f t="shared" si="19"/>
        <v>0</v>
      </c>
      <c r="ER26" s="3">
        <f t="shared" si="19"/>
        <v>0</v>
      </c>
      <c r="ES26" s="3">
        <f t="shared" si="19"/>
        <v>0</v>
      </c>
      <c r="ET26" s="3">
        <f t="shared" si="19"/>
        <v>0</v>
      </c>
      <c r="EU26" s="3">
        <f t="shared" si="19"/>
        <v>0</v>
      </c>
      <c r="EV26" s="3">
        <f t="shared" si="19"/>
        <v>0</v>
      </c>
      <c r="EW26" s="3">
        <f t="shared" si="19"/>
        <v>0</v>
      </c>
      <c r="EX26" s="3">
        <f t="shared" si="19"/>
        <v>0</v>
      </c>
      <c r="EY26" s="3">
        <f t="shared" si="19"/>
        <v>0</v>
      </c>
      <c r="EZ26" s="3">
        <f t="shared" si="19"/>
        <v>0</v>
      </c>
      <c r="FA26" s="3">
        <f t="shared" si="19"/>
        <v>0</v>
      </c>
      <c r="FB26" s="3">
        <f t="shared" si="19"/>
        <v>0</v>
      </c>
      <c r="FC26" s="3">
        <f t="shared" si="19"/>
        <v>0</v>
      </c>
      <c r="FD26" s="3">
        <f t="shared" si="19"/>
        <v>0</v>
      </c>
      <c r="FE26" s="3">
        <f t="shared" si="19"/>
        <v>0</v>
      </c>
      <c r="FF26" s="3">
        <f t="shared" si="19"/>
        <v>0</v>
      </c>
      <c r="FG26" s="3">
        <f t="shared" si="19"/>
        <v>0</v>
      </c>
      <c r="FH26" s="3">
        <f t="shared" si="19"/>
        <v>0</v>
      </c>
      <c r="FI26" s="3">
        <f t="shared" si="19"/>
        <v>0</v>
      </c>
      <c r="FJ26" s="3">
        <f t="shared" si="19"/>
        <v>0</v>
      </c>
      <c r="FK26" s="3">
        <f t="shared" si="19"/>
        <v>0</v>
      </c>
      <c r="FL26" s="3">
        <f t="shared" si="19"/>
        <v>0</v>
      </c>
      <c r="FM26" s="3">
        <f t="shared" si="19"/>
        <v>0</v>
      </c>
      <c r="FN26" s="3">
        <f t="shared" si="19"/>
        <v>0</v>
      </c>
      <c r="FO26" s="3">
        <f t="shared" si="19"/>
        <v>0</v>
      </c>
      <c r="FP26" s="3">
        <f t="shared" si="19"/>
        <v>0</v>
      </c>
      <c r="FQ26" s="3">
        <f t="shared" si="19"/>
        <v>0</v>
      </c>
      <c r="FR26" s="3">
        <f t="shared" si="19"/>
        <v>0</v>
      </c>
      <c r="FS26" s="3">
        <f t="shared" ref="FS26:GX26" si="20">FS30</f>
        <v>0</v>
      </c>
      <c r="FT26" s="3">
        <f t="shared" si="20"/>
        <v>0</v>
      </c>
      <c r="FU26" s="3">
        <f t="shared" si="20"/>
        <v>0</v>
      </c>
      <c r="FV26" s="3">
        <f t="shared" si="20"/>
        <v>0</v>
      </c>
      <c r="FW26" s="3">
        <f t="shared" si="20"/>
        <v>0</v>
      </c>
      <c r="FX26" s="3">
        <f t="shared" si="20"/>
        <v>0</v>
      </c>
      <c r="FY26" s="3">
        <f t="shared" si="20"/>
        <v>0</v>
      </c>
      <c r="FZ26" s="3">
        <f t="shared" si="20"/>
        <v>0</v>
      </c>
      <c r="GA26" s="3">
        <f t="shared" si="20"/>
        <v>0</v>
      </c>
      <c r="GB26" s="3">
        <f t="shared" si="20"/>
        <v>0</v>
      </c>
      <c r="GC26" s="3">
        <f t="shared" si="20"/>
        <v>0</v>
      </c>
      <c r="GD26" s="3">
        <f t="shared" si="20"/>
        <v>0</v>
      </c>
      <c r="GE26" s="3">
        <f t="shared" si="20"/>
        <v>0</v>
      </c>
      <c r="GF26" s="3">
        <f t="shared" si="20"/>
        <v>0</v>
      </c>
      <c r="GG26" s="3">
        <f t="shared" si="20"/>
        <v>0</v>
      </c>
      <c r="GH26" s="3">
        <f t="shared" si="20"/>
        <v>0</v>
      </c>
      <c r="GI26" s="3">
        <f t="shared" si="20"/>
        <v>0</v>
      </c>
      <c r="GJ26" s="3">
        <f t="shared" si="20"/>
        <v>0</v>
      </c>
      <c r="GK26" s="3">
        <f t="shared" si="20"/>
        <v>0</v>
      </c>
      <c r="GL26" s="3">
        <f t="shared" si="20"/>
        <v>0</v>
      </c>
      <c r="GM26" s="3">
        <f t="shared" si="20"/>
        <v>0</v>
      </c>
      <c r="GN26" s="3">
        <f t="shared" si="20"/>
        <v>0</v>
      </c>
      <c r="GO26" s="3">
        <f t="shared" si="20"/>
        <v>0</v>
      </c>
      <c r="GP26" s="3">
        <f t="shared" si="20"/>
        <v>0</v>
      </c>
      <c r="GQ26" s="3">
        <f t="shared" si="20"/>
        <v>0</v>
      </c>
      <c r="GR26" s="3">
        <f t="shared" si="20"/>
        <v>0</v>
      </c>
      <c r="GS26" s="3">
        <f t="shared" si="20"/>
        <v>0</v>
      </c>
      <c r="GT26" s="3">
        <f t="shared" si="20"/>
        <v>0</v>
      </c>
      <c r="GU26" s="3">
        <f t="shared" si="20"/>
        <v>0</v>
      </c>
      <c r="GV26" s="3">
        <f t="shared" si="20"/>
        <v>0</v>
      </c>
      <c r="GW26" s="3">
        <f t="shared" si="20"/>
        <v>0</v>
      </c>
      <c r="GX26" s="3">
        <f t="shared" si="20"/>
        <v>0</v>
      </c>
    </row>
    <row r="28" spans="1:245" x14ac:dyDescent="0.2">
      <c r="A28">
        <v>17</v>
      </c>
      <c r="B28">
        <v>1</v>
      </c>
      <c r="E28" t="s">
        <v>15</v>
      </c>
      <c r="F28" t="s">
        <v>16</v>
      </c>
      <c r="G28" t="s">
        <v>17</v>
      </c>
      <c r="H28" t="s">
        <v>18</v>
      </c>
      <c r="I28">
        <v>1</v>
      </c>
      <c r="J28">
        <v>0</v>
      </c>
      <c r="K28">
        <v>1</v>
      </c>
      <c r="O28">
        <f>ROUND(CP28,2)</f>
        <v>100000</v>
      </c>
      <c r="P28">
        <f>ROUND(CQ28*I28,2)</f>
        <v>100000</v>
      </c>
      <c r="Q28">
        <f>ROUND(CR28*I28,2)</f>
        <v>0</v>
      </c>
      <c r="R28">
        <f>ROUND(CS28*I28,2)</f>
        <v>0</v>
      </c>
      <c r="S28">
        <f>ROUND(CT28*I28,2)</f>
        <v>0</v>
      </c>
      <c r="T28">
        <f>ROUND(CU28*I28,2)</f>
        <v>0</v>
      </c>
      <c r="U28">
        <f>CV28*I28</f>
        <v>0</v>
      </c>
      <c r="V28">
        <f>CW28*I28</f>
        <v>0</v>
      </c>
      <c r="W28">
        <f>ROUND(CX28*I28,2)</f>
        <v>0</v>
      </c>
      <c r="X28">
        <f>ROUND(CY28,2)</f>
        <v>0</v>
      </c>
      <c r="Y28">
        <f>ROUND(CZ28,2)</f>
        <v>0</v>
      </c>
      <c r="AA28">
        <v>76395835</v>
      </c>
      <c r="AB28">
        <f>ROUND((AC28+AD28+AF28),6)</f>
        <v>100000</v>
      </c>
      <c r="AC28">
        <f>ROUND((ES28),6)</f>
        <v>100000</v>
      </c>
      <c r="AD28">
        <f>ROUND((((ET28)-(EU28))+AE28),6)</f>
        <v>0</v>
      </c>
      <c r="AE28">
        <f>ROUND((EU28),6)</f>
        <v>0</v>
      </c>
      <c r="AF28">
        <f>ROUND((EV28),6)</f>
        <v>0</v>
      </c>
      <c r="AG28">
        <f>ROUND((AP28),6)</f>
        <v>0</v>
      </c>
      <c r="AH28">
        <f>(EW28)</f>
        <v>0</v>
      </c>
      <c r="AI28">
        <f>(EX28)</f>
        <v>0</v>
      </c>
      <c r="AJ28">
        <f>(AS28)</f>
        <v>0</v>
      </c>
      <c r="AK28">
        <v>100000</v>
      </c>
      <c r="AL28">
        <v>100000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70</v>
      </c>
      <c r="AU28">
        <v>10</v>
      </c>
      <c r="AV28">
        <v>1</v>
      </c>
      <c r="AW28">
        <v>1</v>
      </c>
      <c r="AZ28">
        <v>1</v>
      </c>
      <c r="BA28">
        <v>1</v>
      </c>
      <c r="BB28">
        <v>1</v>
      </c>
      <c r="BC28">
        <v>1</v>
      </c>
      <c r="BD28" t="s">
        <v>3</v>
      </c>
      <c r="BE28" t="s">
        <v>3</v>
      </c>
      <c r="BF28" t="s">
        <v>3</v>
      </c>
      <c r="BG28" t="s">
        <v>3</v>
      </c>
      <c r="BH28">
        <v>0</v>
      </c>
      <c r="BI28">
        <v>4</v>
      </c>
      <c r="BJ28" t="s">
        <v>3</v>
      </c>
      <c r="BM28">
        <v>0</v>
      </c>
      <c r="BN28">
        <v>0</v>
      </c>
      <c r="BO28" t="s">
        <v>3</v>
      </c>
      <c r="BP28">
        <v>0</v>
      </c>
      <c r="BQ28">
        <v>1</v>
      </c>
      <c r="BR28">
        <v>0</v>
      </c>
      <c r="BS28">
        <v>1</v>
      </c>
      <c r="BT28">
        <v>1</v>
      </c>
      <c r="BU28">
        <v>1</v>
      </c>
      <c r="BV28">
        <v>1</v>
      </c>
      <c r="BW28">
        <v>1</v>
      </c>
      <c r="BX28">
        <v>1</v>
      </c>
      <c r="BY28" t="s">
        <v>3</v>
      </c>
      <c r="BZ28">
        <v>70</v>
      </c>
      <c r="CA28">
        <v>10</v>
      </c>
      <c r="CB28" t="s">
        <v>3</v>
      </c>
      <c r="CE28">
        <v>0</v>
      </c>
      <c r="CF28">
        <v>0</v>
      </c>
      <c r="CG28">
        <v>0</v>
      </c>
      <c r="CM28">
        <v>0</v>
      </c>
      <c r="CN28" t="s">
        <v>3</v>
      </c>
      <c r="CO28">
        <v>0</v>
      </c>
      <c r="CP28">
        <f>(P28+Q28+S28)</f>
        <v>100000</v>
      </c>
      <c r="CQ28">
        <f>(AC28*BC28*AW28)</f>
        <v>100000</v>
      </c>
      <c r="CR28">
        <f>((((ET28)*BB28-(EU28)*BS28)+AE28*BS28)*AV28)</f>
        <v>0</v>
      </c>
      <c r="CS28">
        <f>(AE28*BS28*AV28)</f>
        <v>0</v>
      </c>
      <c r="CT28">
        <f>(AF28*BA28*AV28)</f>
        <v>0</v>
      </c>
      <c r="CU28">
        <f>AG28</f>
        <v>0</v>
      </c>
      <c r="CV28">
        <f>(AH28*AV28)</f>
        <v>0</v>
      </c>
      <c r="CW28">
        <f>AI28</f>
        <v>0</v>
      </c>
      <c r="CX28">
        <f>AJ28</f>
        <v>0</v>
      </c>
      <c r="CY28">
        <f>((S28*BZ28)/100)</f>
        <v>0</v>
      </c>
      <c r="CZ28">
        <f>((S28*CA28)/100)</f>
        <v>0</v>
      </c>
      <c r="DC28" t="s">
        <v>3</v>
      </c>
      <c r="DD28" t="s">
        <v>3</v>
      </c>
      <c r="DE28" t="s">
        <v>3</v>
      </c>
      <c r="DF28" t="s">
        <v>3</v>
      </c>
      <c r="DG28" t="s">
        <v>3</v>
      </c>
      <c r="DH28" t="s">
        <v>3</v>
      </c>
      <c r="DI28" t="s">
        <v>3</v>
      </c>
      <c r="DJ28" t="s">
        <v>3</v>
      </c>
      <c r="DK28" t="s">
        <v>3</v>
      </c>
      <c r="DL28" t="s">
        <v>3</v>
      </c>
      <c r="DM28" t="s">
        <v>3</v>
      </c>
      <c r="DN28">
        <v>0</v>
      </c>
      <c r="DO28">
        <v>0</v>
      </c>
      <c r="DP28">
        <v>1</v>
      </c>
      <c r="DQ28">
        <v>1</v>
      </c>
      <c r="DU28">
        <v>1010</v>
      </c>
      <c r="DV28" t="s">
        <v>18</v>
      </c>
      <c r="DW28" t="s">
        <v>18</v>
      </c>
      <c r="DX28">
        <v>1</v>
      </c>
      <c r="DZ28" t="s">
        <v>3</v>
      </c>
      <c r="EA28" t="s">
        <v>3</v>
      </c>
      <c r="EB28" t="s">
        <v>3</v>
      </c>
      <c r="EC28" t="s">
        <v>3</v>
      </c>
      <c r="EE28">
        <v>75858748</v>
      </c>
      <c r="EF28">
        <v>1</v>
      </c>
      <c r="EG28" t="s">
        <v>19</v>
      </c>
      <c r="EH28">
        <v>0</v>
      </c>
      <c r="EI28" t="s">
        <v>3</v>
      </c>
      <c r="EJ28">
        <v>4</v>
      </c>
      <c r="EK28">
        <v>0</v>
      </c>
      <c r="EL28" t="s">
        <v>20</v>
      </c>
      <c r="EM28" t="s">
        <v>21</v>
      </c>
      <c r="EO28" t="s">
        <v>3</v>
      </c>
      <c r="EQ28">
        <v>0</v>
      </c>
      <c r="ER28">
        <v>100000</v>
      </c>
      <c r="ES28">
        <v>100000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0</v>
      </c>
      <c r="FQ28">
        <v>0</v>
      </c>
      <c r="FR28">
        <v>0</v>
      </c>
      <c r="FS28">
        <v>0</v>
      </c>
      <c r="FX28">
        <v>70</v>
      </c>
      <c r="FY28">
        <v>10</v>
      </c>
      <c r="GA28" t="s">
        <v>3</v>
      </c>
      <c r="GD28">
        <v>0</v>
      </c>
      <c r="GF28">
        <v>597240878</v>
      </c>
      <c r="GG28">
        <v>2</v>
      </c>
      <c r="GH28">
        <v>2</v>
      </c>
      <c r="GI28">
        <v>-2</v>
      </c>
      <c r="GJ28">
        <v>0</v>
      </c>
      <c r="GK28">
        <f>ROUND(R28*(R12)/100,2)</f>
        <v>0</v>
      </c>
      <c r="GL28">
        <f>ROUND(IF(AND(BH28=3,BI28=3,FS28&lt;&gt;0),P28,0),2)</f>
        <v>0</v>
      </c>
      <c r="GM28">
        <f>ROUND(O28+X28+Y28+GK28,2)+GX28</f>
        <v>100000</v>
      </c>
      <c r="GN28">
        <f>IF(OR(BI28=0,BI28=1),GM28-GX28,0)</f>
        <v>0</v>
      </c>
      <c r="GO28">
        <f>IF(BI28=2,GM28-GX28,0)</f>
        <v>0</v>
      </c>
      <c r="GP28">
        <f>IF(BI28=4,GM28-GX28,0)</f>
        <v>100000</v>
      </c>
      <c r="GR28">
        <v>0</v>
      </c>
      <c r="GS28">
        <v>3</v>
      </c>
      <c r="GT28">
        <v>0</v>
      </c>
      <c r="GU28" t="s">
        <v>3</v>
      </c>
      <c r="GV28">
        <f>ROUND((GT28),6)</f>
        <v>0</v>
      </c>
      <c r="GW28">
        <v>1</v>
      </c>
      <c r="GX28">
        <f>ROUND(HC28*I28,2)</f>
        <v>0</v>
      </c>
      <c r="HA28">
        <v>0</v>
      </c>
      <c r="HB28">
        <v>0</v>
      </c>
      <c r="HC28">
        <f>GV28*GW28</f>
        <v>0</v>
      </c>
      <c r="HE28" t="s">
        <v>3</v>
      </c>
      <c r="HF28" t="s">
        <v>3</v>
      </c>
      <c r="HM28" t="s">
        <v>3</v>
      </c>
      <c r="HN28" t="s">
        <v>3</v>
      </c>
      <c r="HO28" t="s">
        <v>3</v>
      </c>
      <c r="HP28" t="s">
        <v>3</v>
      </c>
      <c r="HQ28" t="s">
        <v>3</v>
      </c>
      <c r="HS28">
        <v>0</v>
      </c>
      <c r="IK28">
        <v>0</v>
      </c>
    </row>
    <row r="30" spans="1:245" x14ac:dyDescent="0.2">
      <c r="A30" s="2">
        <v>51</v>
      </c>
      <c r="B30" s="2">
        <f>B24</f>
        <v>1</v>
      </c>
      <c r="C30" s="2">
        <f>A24</f>
        <v>4</v>
      </c>
      <c r="D30" s="2">
        <f>ROW(A24)</f>
        <v>24</v>
      </c>
      <c r="E30" s="2"/>
      <c r="F30" s="2" t="str">
        <f>IF(F24&lt;&gt;"",F24,"")</f>
        <v>Новый раздел</v>
      </c>
      <c r="G30" s="2" t="str">
        <f>IF(G24&lt;&gt;"",G24,"")</f>
        <v>Проектные работы</v>
      </c>
      <c r="H30" s="2">
        <v>0</v>
      </c>
      <c r="I30" s="2"/>
      <c r="J30" s="2"/>
      <c r="K30" s="2"/>
      <c r="L30" s="2"/>
      <c r="M30" s="2"/>
      <c r="N30" s="2"/>
      <c r="O30" s="2">
        <f t="shared" ref="O30:T30" si="21">ROUND(AB30,2)</f>
        <v>100000</v>
      </c>
      <c r="P30" s="2">
        <f t="shared" si="21"/>
        <v>100000</v>
      </c>
      <c r="Q30" s="2">
        <f t="shared" si="21"/>
        <v>0</v>
      </c>
      <c r="R30" s="2">
        <f t="shared" si="21"/>
        <v>0</v>
      </c>
      <c r="S30" s="2">
        <f t="shared" si="21"/>
        <v>0</v>
      </c>
      <c r="T30" s="2">
        <f t="shared" si="21"/>
        <v>0</v>
      </c>
      <c r="U30" s="2">
        <f>AH30</f>
        <v>0</v>
      </c>
      <c r="V30" s="2">
        <f>AI30</f>
        <v>0</v>
      </c>
      <c r="W30" s="2">
        <f>ROUND(AJ30,2)</f>
        <v>0</v>
      </c>
      <c r="X30" s="2">
        <f>ROUND(AK30,2)</f>
        <v>0</v>
      </c>
      <c r="Y30" s="2">
        <f>ROUND(AL30,2)</f>
        <v>0</v>
      </c>
      <c r="Z30" s="2"/>
      <c r="AA30" s="2"/>
      <c r="AB30" s="2">
        <f>ROUND(SUMIF(AA28:AA28,"=76395835",O28:O28),2)</f>
        <v>100000</v>
      </c>
      <c r="AC30" s="2">
        <f>ROUND(SUMIF(AA28:AA28,"=76395835",P28:P28),2)</f>
        <v>100000</v>
      </c>
      <c r="AD30" s="2">
        <f>ROUND(SUMIF(AA28:AA28,"=76395835",Q28:Q28),2)</f>
        <v>0</v>
      </c>
      <c r="AE30" s="2">
        <f>ROUND(SUMIF(AA28:AA28,"=76395835",R28:R28),2)</f>
        <v>0</v>
      </c>
      <c r="AF30" s="2">
        <f>ROUND(SUMIF(AA28:AA28,"=76395835",S28:S28),2)</f>
        <v>0</v>
      </c>
      <c r="AG30" s="2">
        <f>ROUND(SUMIF(AA28:AA28,"=76395835",T28:T28),2)</f>
        <v>0</v>
      </c>
      <c r="AH30" s="2">
        <f>SUMIF(AA28:AA28,"=76395835",U28:U28)</f>
        <v>0</v>
      </c>
      <c r="AI30" s="2">
        <f>SUMIF(AA28:AA28,"=76395835",V28:V28)</f>
        <v>0</v>
      </c>
      <c r="AJ30" s="2">
        <f>ROUND(SUMIF(AA28:AA28,"=76395835",W28:W28),2)</f>
        <v>0</v>
      </c>
      <c r="AK30" s="2">
        <f>ROUND(SUMIF(AA28:AA28,"=76395835",X28:X28),2)</f>
        <v>0</v>
      </c>
      <c r="AL30" s="2">
        <f>ROUND(SUMIF(AA28:AA28,"=76395835",Y28:Y28),2)</f>
        <v>0</v>
      </c>
      <c r="AM30" s="2"/>
      <c r="AN30" s="2"/>
      <c r="AO30" s="2">
        <f t="shared" ref="AO30:BD30" si="22">ROUND(BX30,2)</f>
        <v>0</v>
      </c>
      <c r="AP30" s="2">
        <f t="shared" si="22"/>
        <v>0</v>
      </c>
      <c r="AQ30" s="2">
        <f t="shared" si="22"/>
        <v>0</v>
      </c>
      <c r="AR30" s="2">
        <f t="shared" si="22"/>
        <v>100000</v>
      </c>
      <c r="AS30" s="2">
        <f t="shared" si="22"/>
        <v>0</v>
      </c>
      <c r="AT30" s="2">
        <f t="shared" si="22"/>
        <v>0</v>
      </c>
      <c r="AU30" s="2">
        <f t="shared" si="22"/>
        <v>100000</v>
      </c>
      <c r="AV30" s="2">
        <f t="shared" si="22"/>
        <v>100000</v>
      </c>
      <c r="AW30" s="2">
        <f t="shared" si="22"/>
        <v>100000</v>
      </c>
      <c r="AX30" s="2">
        <f t="shared" si="22"/>
        <v>0</v>
      </c>
      <c r="AY30" s="2">
        <f t="shared" si="22"/>
        <v>100000</v>
      </c>
      <c r="AZ30" s="2">
        <f t="shared" si="22"/>
        <v>0</v>
      </c>
      <c r="BA30" s="2">
        <f t="shared" si="22"/>
        <v>0</v>
      </c>
      <c r="BB30" s="2">
        <f t="shared" si="22"/>
        <v>0</v>
      </c>
      <c r="BC30" s="2">
        <f t="shared" si="22"/>
        <v>0</v>
      </c>
      <c r="BD30" s="2">
        <f t="shared" si="22"/>
        <v>0</v>
      </c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>
        <f>ROUND(SUMIF(AA28:AA28,"=76395835",FQ28:FQ28),2)</f>
        <v>0</v>
      </c>
      <c r="BY30" s="2">
        <f>ROUND(SUMIF(AA28:AA28,"=76395835",FR28:FR28),2)</f>
        <v>0</v>
      </c>
      <c r="BZ30" s="2">
        <f>ROUND(SUMIF(AA28:AA28,"=76395835",GL28:GL28),2)</f>
        <v>0</v>
      </c>
      <c r="CA30" s="2">
        <f>ROUND(SUMIF(AA28:AA28,"=76395835",GM28:GM28),2)</f>
        <v>100000</v>
      </c>
      <c r="CB30" s="2">
        <f>ROUND(SUMIF(AA28:AA28,"=76395835",GN28:GN28),2)</f>
        <v>0</v>
      </c>
      <c r="CC30" s="2">
        <f>ROUND(SUMIF(AA28:AA28,"=76395835",GO28:GO28),2)</f>
        <v>0</v>
      </c>
      <c r="CD30" s="2">
        <f>ROUND(SUMIF(AA28:AA28,"=76395835",GP28:GP28),2)</f>
        <v>100000</v>
      </c>
      <c r="CE30" s="2">
        <f>AC30-BX30</f>
        <v>100000</v>
      </c>
      <c r="CF30" s="2">
        <f>AC30-BY30</f>
        <v>100000</v>
      </c>
      <c r="CG30" s="2">
        <f>BX30-BZ30</f>
        <v>0</v>
      </c>
      <c r="CH30" s="2">
        <f>AC30-BX30-BY30+BZ30</f>
        <v>100000</v>
      </c>
      <c r="CI30" s="2">
        <f>BY30-BZ30</f>
        <v>0</v>
      </c>
      <c r="CJ30" s="2">
        <f>ROUND(SUMIF(AA28:AA28,"=76395835",GX28:GX28),2)</f>
        <v>0</v>
      </c>
      <c r="CK30" s="2">
        <f>ROUND(SUMIF(AA28:AA28,"=76395835",GY28:GY28),2)</f>
        <v>0</v>
      </c>
      <c r="CL30" s="2">
        <f>ROUND(SUMIF(AA28:AA28,"=76395835",GZ28:GZ28),2)</f>
        <v>0</v>
      </c>
      <c r="CM30" s="2">
        <f>ROUND(SUMIF(AA28:AA28,"=76395835",HD28:HD28),2)</f>
        <v>0</v>
      </c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>
        <v>0</v>
      </c>
    </row>
    <row r="32" spans="1:245" x14ac:dyDescent="0.2">
      <c r="A32" s="4">
        <v>50</v>
      </c>
      <c r="B32" s="4">
        <v>0</v>
      </c>
      <c r="C32" s="4">
        <v>0</v>
      </c>
      <c r="D32" s="4">
        <v>1</v>
      </c>
      <c r="E32" s="4">
        <v>201</v>
      </c>
      <c r="F32" s="4">
        <f>ROUND(Source!O30,O32)</f>
        <v>100000</v>
      </c>
      <c r="G32" s="4" t="s">
        <v>22</v>
      </c>
      <c r="H32" s="4" t="s">
        <v>23</v>
      </c>
      <c r="I32" s="4"/>
      <c r="J32" s="4"/>
      <c r="K32" s="4">
        <v>201</v>
      </c>
      <c r="L32" s="4">
        <v>1</v>
      </c>
      <c r="M32" s="4">
        <v>3</v>
      </c>
      <c r="N32" s="4" t="s">
        <v>3</v>
      </c>
      <c r="O32" s="4">
        <v>2</v>
      </c>
      <c r="P32" s="4"/>
      <c r="Q32" s="4"/>
      <c r="R32" s="4"/>
      <c r="S32" s="4"/>
      <c r="T32" s="4"/>
      <c r="U32" s="4"/>
      <c r="V32" s="4"/>
      <c r="W32" s="4">
        <v>100000</v>
      </c>
      <c r="X32" s="4">
        <v>1</v>
      </c>
      <c r="Y32" s="4">
        <v>100000</v>
      </c>
      <c r="Z32" s="4"/>
      <c r="AA32" s="4"/>
      <c r="AB32" s="4"/>
    </row>
    <row r="33" spans="1:28" x14ac:dyDescent="0.2">
      <c r="A33" s="4">
        <v>50</v>
      </c>
      <c r="B33" s="4">
        <v>0</v>
      </c>
      <c r="C33" s="4">
        <v>0</v>
      </c>
      <c r="D33" s="4">
        <v>1</v>
      </c>
      <c r="E33" s="4">
        <v>202</v>
      </c>
      <c r="F33" s="4">
        <f>ROUND(Source!P30,O33)</f>
        <v>100000</v>
      </c>
      <c r="G33" s="4" t="s">
        <v>24</v>
      </c>
      <c r="H33" s="4" t="s">
        <v>25</v>
      </c>
      <c r="I33" s="4"/>
      <c r="J33" s="4"/>
      <c r="K33" s="4">
        <v>202</v>
      </c>
      <c r="L33" s="4">
        <v>2</v>
      </c>
      <c r="M33" s="4">
        <v>3</v>
      </c>
      <c r="N33" s="4" t="s">
        <v>3</v>
      </c>
      <c r="O33" s="4">
        <v>2</v>
      </c>
      <c r="P33" s="4"/>
      <c r="Q33" s="4"/>
      <c r="R33" s="4"/>
      <c r="S33" s="4"/>
      <c r="T33" s="4"/>
      <c r="U33" s="4"/>
      <c r="V33" s="4"/>
      <c r="W33" s="4">
        <v>100000</v>
      </c>
      <c r="X33" s="4">
        <v>1</v>
      </c>
      <c r="Y33" s="4">
        <v>100000</v>
      </c>
      <c r="Z33" s="4"/>
      <c r="AA33" s="4"/>
      <c r="AB33" s="4"/>
    </row>
    <row r="34" spans="1:28" x14ac:dyDescent="0.2">
      <c r="A34" s="4">
        <v>50</v>
      </c>
      <c r="B34" s="4">
        <v>0</v>
      </c>
      <c r="C34" s="4">
        <v>0</v>
      </c>
      <c r="D34" s="4">
        <v>1</v>
      </c>
      <c r="E34" s="4">
        <v>222</v>
      </c>
      <c r="F34" s="4">
        <f>ROUND(Source!AO30,O34)</f>
        <v>0</v>
      </c>
      <c r="G34" s="4" t="s">
        <v>26</v>
      </c>
      <c r="H34" s="4" t="s">
        <v>27</v>
      </c>
      <c r="I34" s="4"/>
      <c r="J34" s="4"/>
      <c r="K34" s="4">
        <v>222</v>
      </c>
      <c r="L34" s="4">
        <v>3</v>
      </c>
      <c r="M34" s="4">
        <v>3</v>
      </c>
      <c r="N34" s="4" t="s">
        <v>3</v>
      </c>
      <c r="O34" s="4">
        <v>2</v>
      </c>
      <c r="P34" s="4"/>
      <c r="Q34" s="4"/>
      <c r="R34" s="4"/>
      <c r="S34" s="4"/>
      <c r="T34" s="4"/>
      <c r="U34" s="4"/>
      <c r="V34" s="4"/>
      <c r="W34" s="4">
        <v>0</v>
      </c>
      <c r="X34" s="4">
        <v>1</v>
      </c>
      <c r="Y34" s="4">
        <v>0</v>
      </c>
      <c r="Z34" s="4"/>
      <c r="AA34" s="4"/>
      <c r="AB34" s="4"/>
    </row>
    <row r="35" spans="1:28" x14ac:dyDescent="0.2">
      <c r="A35" s="4">
        <v>50</v>
      </c>
      <c r="B35" s="4">
        <v>0</v>
      </c>
      <c r="C35" s="4">
        <v>0</v>
      </c>
      <c r="D35" s="4">
        <v>1</v>
      </c>
      <c r="E35" s="4">
        <v>225</v>
      </c>
      <c r="F35" s="4">
        <f>ROUND(Source!AV30,O35)</f>
        <v>100000</v>
      </c>
      <c r="G35" s="4" t="s">
        <v>28</v>
      </c>
      <c r="H35" s="4" t="s">
        <v>29</v>
      </c>
      <c r="I35" s="4"/>
      <c r="J35" s="4"/>
      <c r="K35" s="4">
        <v>225</v>
      </c>
      <c r="L35" s="4">
        <v>4</v>
      </c>
      <c r="M35" s="4">
        <v>3</v>
      </c>
      <c r="N35" s="4" t="s">
        <v>3</v>
      </c>
      <c r="O35" s="4">
        <v>2</v>
      </c>
      <c r="P35" s="4"/>
      <c r="Q35" s="4"/>
      <c r="R35" s="4"/>
      <c r="S35" s="4"/>
      <c r="T35" s="4"/>
      <c r="U35" s="4"/>
      <c r="V35" s="4"/>
      <c r="W35" s="4">
        <v>100000</v>
      </c>
      <c r="X35" s="4">
        <v>1</v>
      </c>
      <c r="Y35" s="4">
        <v>100000</v>
      </c>
      <c r="Z35" s="4"/>
      <c r="AA35" s="4"/>
      <c r="AB35" s="4"/>
    </row>
    <row r="36" spans="1:28" x14ac:dyDescent="0.2">
      <c r="A36" s="4">
        <v>50</v>
      </c>
      <c r="B36" s="4">
        <v>0</v>
      </c>
      <c r="C36" s="4">
        <v>0</v>
      </c>
      <c r="D36" s="4">
        <v>1</v>
      </c>
      <c r="E36" s="4">
        <v>226</v>
      </c>
      <c r="F36" s="4">
        <f>ROUND(Source!AW30,O36)</f>
        <v>100000</v>
      </c>
      <c r="G36" s="4" t="s">
        <v>30</v>
      </c>
      <c r="H36" s="4" t="s">
        <v>31</v>
      </c>
      <c r="I36" s="4"/>
      <c r="J36" s="4"/>
      <c r="K36" s="4">
        <v>226</v>
      </c>
      <c r="L36" s="4">
        <v>5</v>
      </c>
      <c r="M36" s="4">
        <v>3</v>
      </c>
      <c r="N36" s="4" t="s">
        <v>3</v>
      </c>
      <c r="O36" s="4">
        <v>2</v>
      </c>
      <c r="P36" s="4"/>
      <c r="Q36" s="4"/>
      <c r="R36" s="4"/>
      <c r="S36" s="4"/>
      <c r="T36" s="4"/>
      <c r="U36" s="4"/>
      <c r="V36" s="4"/>
      <c r="W36" s="4">
        <v>100000</v>
      </c>
      <c r="X36" s="4">
        <v>1</v>
      </c>
      <c r="Y36" s="4">
        <v>100000</v>
      </c>
      <c r="Z36" s="4"/>
      <c r="AA36" s="4"/>
      <c r="AB36" s="4"/>
    </row>
    <row r="37" spans="1:28" x14ac:dyDescent="0.2">
      <c r="A37" s="4">
        <v>50</v>
      </c>
      <c r="B37" s="4">
        <v>0</v>
      </c>
      <c r="C37" s="4">
        <v>0</v>
      </c>
      <c r="D37" s="4">
        <v>1</v>
      </c>
      <c r="E37" s="4">
        <v>227</v>
      </c>
      <c r="F37" s="4">
        <f>ROUND(Source!AX30,O37)</f>
        <v>0</v>
      </c>
      <c r="G37" s="4" t="s">
        <v>32</v>
      </c>
      <c r="H37" s="4" t="s">
        <v>33</v>
      </c>
      <c r="I37" s="4"/>
      <c r="J37" s="4"/>
      <c r="K37" s="4">
        <v>227</v>
      </c>
      <c r="L37" s="4">
        <v>6</v>
      </c>
      <c r="M37" s="4">
        <v>3</v>
      </c>
      <c r="N37" s="4" t="s">
        <v>3</v>
      </c>
      <c r="O37" s="4">
        <v>2</v>
      </c>
      <c r="P37" s="4"/>
      <c r="Q37" s="4"/>
      <c r="R37" s="4"/>
      <c r="S37" s="4"/>
      <c r="T37" s="4"/>
      <c r="U37" s="4"/>
      <c r="V37" s="4"/>
      <c r="W37" s="4">
        <v>0</v>
      </c>
      <c r="X37" s="4">
        <v>1</v>
      </c>
      <c r="Y37" s="4">
        <v>0</v>
      </c>
      <c r="Z37" s="4"/>
      <c r="AA37" s="4"/>
      <c r="AB37" s="4"/>
    </row>
    <row r="38" spans="1:28" x14ac:dyDescent="0.2">
      <c r="A38" s="4">
        <v>50</v>
      </c>
      <c r="B38" s="4">
        <v>0</v>
      </c>
      <c r="C38" s="4">
        <v>0</v>
      </c>
      <c r="D38" s="4">
        <v>1</v>
      </c>
      <c r="E38" s="4">
        <v>228</v>
      </c>
      <c r="F38" s="4">
        <f>ROUND(Source!AY30,O38)</f>
        <v>100000</v>
      </c>
      <c r="G38" s="4" t="s">
        <v>34</v>
      </c>
      <c r="H38" s="4" t="s">
        <v>35</v>
      </c>
      <c r="I38" s="4"/>
      <c r="J38" s="4"/>
      <c r="K38" s="4">
        <v>228</v>
      </c>
      <c r="L38" s="4">
        <v>7</v>
      </c>
      <c r="M38" s="4">
        <v>3</v>
      </c>
      <c r="N38" s="4" t="s">
        <v>3</v>
      </c>
      <c r="O38" s="4">
        <v>2</v>
      </c>
      <c r="P38" s="4"/>
      <c r="Q38" s="4"/>
      <c r="R38" s="4"/>
      <c r="S38" s="4"/>
      <c r="T38" s="4"/>
      <c r="U38" s="4"/>
      <c r="V38" s="4"/>
      <c r="W38" s="4">
        <v>100000</v>
      </c>
      <c r="X38" s="4">
        <v>1</v>
      </c>
      <c r="Y38" s="4">
        <v>100000</v>
      </c>
      <c r="Z38" s="4"/>
      <c r="AA38" s="4"/>
      <c r="AB38" s="4"/>
    </row>
    <row r="39" spans="1:28" x14ac:dyDescent="0.2">
      <c r="A39" s="4">
        <v>50</v>
      </c>
      <c r="B39" s="4">
        <v>0</v>
      </c>
      <c r="C39" s="4">
        <v>0</v>
      </c>
      <c r="D39" s="4">
        <v>1</v>
      </c>
      <c r="E39" s="4">
        <v>216</v>
      </c>
      <c r="F39" s="4">
        <f>ROUND(Source!AP30,O39)</f>
        <v>0</v>
      </c>
      <c r="G39" s="4" t="s">
        <v>36</v>
      </c>
      <c r="H39" s="4" t="s">
        <v>37</v>
      </c>
      <c r="I39" s="4"/>
      <c r="J39" s="4"/>
      <c r="K39" s="4">
        <v>216</v>
      </c>
      <c r="L39" s="4">
        <v>8</v>
      </c>
      <c r="M39" s="4">
        <v>3</v>
      </c>
      <c r="N39" s="4" t="s">
        <v>3</v>
      </c>
      <c r="O39" s="4">
        <v>2</v>
      </c>
      <c r="P39" s="4"/>
      <c r="Q39" s="4"/>
      <c r="R39" s="4"/>
      <c r="S39" s="4"/>
      <c r="T39" s="4"/>
      <c r="U39" s="4"/>
      <c r="V39" s="4"/>
      <c r="W39" s="4">
        <v>0</v>
      </c>
      <c r="X39" s="4">
        <v>1</v>
      </c>
      <c r="Y39" s="4">
        <v>0</v>
      </c>
      <c r="Z39" s="4"/>
      <c r="AA39" s="4"/>
      <c r="AB39" s="4"/>
    </row>
    <row r="40" spans="1:28" x14ac:dyDescent="0.2">
      <c r="A40" s="4">
        <v>50</v>
      </c>
      <c r="B40" s="4">
        <v>0</v>
      </c>
      <c r="C40" s="4">
        <v>0</v>
      </c>
      <c r="D40" s="4">
        <v>1</v>
      </c>
      <c r="E40" s="4">
        <v>223</v>
      </c>
      <c r="F40" s="4">
        <f>ROUND(Source!AQ30,O40)</f>
        <v>0</v>
      </c>
      <c r="G40" s="4" t="s">
        <v>38</v>
      </c>
      <c r="H40" s="4" t="s">
        <v>39</v>
      </c>
      <c r="I40" s="4"/>
      <c r="J40" s="4"/>
      <c r="K40" s="4">
        <v>223</v>
      </c>
      <c r="L40" s="4">
        <v>9</v>
      </c>
      <c r="M40" s="4">
        <v>3</v>
      </c>
      <c r="N40" s="4" t="s">
        <v>3</v>
      </c>
      <c r="O40" s="4">
        <v>2</v>
      </c>
      <c r="P40" s="4"/>
      <c r="Q40" s="4"/>
      <c r="R40" s="4"/>
      <c r="S40" s="4"/>
      <c r="T40" s="4"/>
      <c r="U40" s="4"/>
      <c r="V40" s="4"/>
      <c r="W40" s="4">
        <v>0</v>
      </c>
      <c r="X40" s="4">
        <v>1</v>
      </c>
      <c r="Y40" s="4">
        <v>0</v>
      </c>
      <c r="Z40" s="4"/>
      <c r="AA40" s="4"/>
      <c r="AB40" s="4"/>
    </row>
    <row r="41" spans="1:28" x14ac:dyDescent="0.2">
      <c r="A41" s="4">
        <v>50</v>
      </c>
      <c r="B41" s="4">
        <v>0</v>
      </c>
      <c r="C41" s="4">
        <v>0</v>
      </c>
      <c r="D41" s="4">
        <v>1</v>
      </c>
      <c r="E41" s="4">
        <v>229</v>
      </c>
      <c r="F41" s="4">
        <f>ROUND(Source!AZ30,O41)</f>
        <v>0</v>
      </c>
      <c r="G41" s="4" t="s">
        <v>40</v>
      </c>
      <c r="H41" s="4" t="s">
        <v>41</v>
      </c>
      <c r="I41" s="4"/>
      <c r="J41" s="4"/>
      <c r="K41" s="4">
        <v>229</v>
      </c>
      <c r="L41" s="4">
        <v>10</v>
      </c>
      <c r="M41" s="4">
        <v>3</v>
      </c>
      <c r="N41" s="4" t="s">
        <v>3</v>
      </c>
      <c r="O41" s="4">
        <v>2</v>
      </c>
      <c r="P41" s="4"/>
      <c r="Q41" s="4"/>
      <c r="R41" s="4"/>
      <c r="S41" s="4"/>
      <c r="T41" s="4"/>
      <c r="U41" s="4"/>
      <c r="V41" s="4"/>
      <c r="W41" s="4">
        <v>0</v>
      </c>
      <c r="X41" s="4">
        <v>1</v>
      </c>
      <c r="Y41" s="4">
        <v>0</v>
      </c>
      <c r="Z41" s="4"/>
      <c r="AA41" s="4"/>
      <c r="AB41" s="4"/>
    </row>
    <row r="42" spans="1:28" x14ac:dyDescent="0.2">
      <c r="A42" s="4">
        <v>50</v>
      </c>
      <c r="B42" s="4">
        <v>0</v>
      </c>
      <c r="C42" s="4">
        <v>0</v>
      </c>
      <c r="D42" s="4">
        <v>1</v>
      </c>
      <c r="E42" s="4">
        <v>203</v>
      </c>
      <c r="F42" s="4">
        <f>ROUND(Source!Q30,O42)</f>
        <v>0</v>
      </c>
      <c r="G42" s="4" t="s">
        <v>42</v>
      </c>
      <c r="H42" s="4" t="s">
        <v>43</v>
      </c>
      <c r="I42" s="4"/>
      <c r="J42" s="4"/>
      <c r="K42" s="4">
        <v>203</v>
      </c>
      <c r="L42" s="4">
        <v>11</v>
      </c>
      <c r="M42" s="4">
        <v>3</v>
      </c>
      <c r="N42" s="4" t="s">
        <v>3</v>
      </c>
      <c r="O42" s="4">
        <v>2</v>
      </c>
      <c r="P42" s="4"/>
      <c r="Q42" s="4"/>
      <c r="R42" s="4"/>
      <c r="S42" s="4"/>
      <c r="T42" s="4"/>
      <c r="U42" s="4"/>
      <c r="V42" s="4"/>
      <c r="W42" s="4">
        <v>0</v>
      </c>
      <c r="X42" s="4">
        <v>1</v>
      </c>
      <c r="Y42" s="4">
        <v>0</v>
      </c>
      <c r="Z42" s="4"/>
      <c r="AA42" s="4"/>
      <c r="AB42" s="4"/>
    </row>
    <row r="43" spans="1:28" x14ac:dyDescent="0.2">
      <c r="A43" s="4">
        <v>50</v>
      </c>
      <c r="B43" s="4">
        <v>0</v>
      </c>
      <c r="C43" s="4">
        <v>0</v>
      </c>
      <c r="D43" s="4">
        <v>1</v>
      </c>
      <c r="E43" s="4">
        <v>231</v>
      </c>
      <c r="F43" s="4">
        <f>ROUND(Source!BB30,O43)</f>
        <v>0</v>
      </c>
      <c r="G43" s="4" t="s">
        <v>44</v>
      </c>
      <c r="H43" s="4" t="s">
        <v>45</v>
      </c>
      <c r="I43" s="4"/>
      <c r="J43" s="4"/>
      <c r="K43" s="4">
        <v>231</v>
      </c>
      <c r="L43" s="4">
        <v>12</v>
      </c>
      <c r="M43" s="4">
        <v>3</v>
      </c>
      <c r="N43" s="4" t="s">
        <v>3</v>
      </c>
      <c r="O43" s="4">
        <v>2</v>
      </c>
      <c r="P43" s="4"/>
      <c r="Q43" s="4"/>
      <c r="R43" s="4"/>
      <c r="S43" s="4"/>
      <c r="T43" s="4"/>
      <c r="U43" s="4"/>
      <c r="V43" s="4"/>
      <c r="W43" s="4">
        <v>0</v>
      </c>
      <c r="X43" s="4">
        <v>1</v>
      </c>
      <c r="Y43" s="4">
        <v>0</v>
      </c>
      <c r="Z43" s="4"/>
      <c r="AA43" s="4"/>
      <c r="AB43" s="4"/>
    </row>
    <row r="44" spans="1:28" x14ac:dyDescent="0.2">
      <c r="A44" s="4">
        <v>50</v>
      </c>
      <c r="B44" s="4">
        <v>0</v>
      </c>
      <c r="C44" s="4">
        <v>0</v>
      </c>
      <c r="D44" s="4">
        <v>1</v>
      </c>
      <c r="E44" s="4">
        <v>204</v>
      </c>
      <c r="F44" s="4">
        <f>ROUND(Source!R30,O44)</f>
        <v>0</v>
      </c>
      <c r="G44" s="4" t="s">
        <v>46</v>
      </c>
      <c r="H44" s="4" t="s">
        <v>47</v>
      </c>
      <c r="I44" s="4"/>
      <c r="J44" s="4"/>
      <c r="K44" s="4">
        <v>204</v>
      </c>
      <c r="L44" s="4">
        <v>13</v>
      </c>
      <c r="M44" s="4">
        <v>3</v>
      </c>
      <c r="N44" s="4" t="s">
        <v>3</v>
      </c>
      <c r="O44" s="4">
        <v>2</v>
      </c>
      <c r="P44" s="4"/>
      <c r="Q44" s="4"/>
      <c r="R44" s="4"/>
      <c r="S44" s="4"/>
      <c r="T44" s="4"/>
      <c r="U44" s="4"/>
      <c r="V44" s="4"/>
      <c r="W44" s="4">
        <v>0</v>
      </c>
      <c r="X44" s="4">
        <v>1</v>
      </c>
      <c r="Y44" s="4">
        <v>0</v>
      </c>
      <c r="Z44" s="4"/>
      <c r="AA44" s="4"/>
      <c r="AB44" s="4"/>
    </row>
    <row r="45" spans="1:28" x14ac:dyDescent="0.2">
      <c r="A45" s="4">
        <v>50</v>
      </c>
      <c r="B45" s="4">
        <v>0</v>
      </c>
      <c r="C45" s="4">
        <v>0</v>
      </c>
      <c r="D45" s="4">
        <v>1</v>
      </c>
      <c r="E45" s="4">
        <v>205</v>
      </c>
      <c r="F45" s="4">
        <f>ROUND(Source!S30,O45)</f>
        <v>0</v>
      </c>
      <c r="G45" s="4" t="s">
        <v>48</v>
      </c>
      <c r="H45" s="4" t="s">
        <v>49</v>
      </c>
      <c r="I45" s="4"/>
      <c r="J45" s="4"/>
      <c r="K45" s="4">
        <v>205</v>
      </c>
      <c r="L45" s="4">
        <v>14</v>
      </c>
      <c r="M45" s="4">
        <v>3</v>
      </c>
      <c r="N45" s="4" t="s">
        <v>3</v>
      </c>
      <c r="O45" s="4">
        <v>2</v>
      </c>
      <c r="P45" s="4"/>
      <c r="Q45" s="4"/>
      <c r="R45" s="4"/>
      <c r="S45" s="4"/>
      <c r="T45" s="4"/>
      <c r="U45" s="4"/>
      <c r="V45" s="4"/>
      <c r="W45" s="4">
        <v>0</v>
      </c>
      <c r="X45" s="4">
        <v>1</v>
      </c>
      <c r="Y45" s="4">
        <v>0</v>
      </c>
      <c r="Z45" s="4"/>
      <c r="AA45" s="4"/>
      <c r="AB45" s="4"/>
    </row>
    <row r="46" spans="1:28" x14ac:dyDescent="0.2">
      <c r="A46" s="4">
        <v>50</v>
      </c>
      <c r="B46" s="4">
        <v>0</v>
      </c>
      <c r="C46" s="4">
        <v>0</v>
      </c>
      <c r="D46" s="4">
        <v>1</v>
      </c>
      <c r="E46" s="4">
        <v>232</v>
      </c>
      <c r="F46" s="4">
        <f>ROUND(Source!BC30,O46)</f>
        <v>0</v>
      </c>
      <c r="G46" s="4" t="s">
        <v>50</v>
      </c>
      <c r="H46" s="4" t="s">
        <v>51</v>
      </c>
      <c r="I46" s="4"/>
      <c r="J46" s="4"/>
      <c r="K46" s="4">
        <v>232</v>
      </c>
      <c r="L46" s="4">
        <v>15</v>
      </c>
      <c r="M46" s="4">
        <v>3</v>
      </c>
      <c r="N46" s="4" t="s">
        <v>3</v>
      </c>
      <c r="O46" s="4">
        <v>2</v>
      </c>
      <c r="P46" s="4"/>
      <c r="Q46" s="4"/>
      <c r="R46" s="4"/>
      <c r="S46" s="4"/>
      <c r="T46" s="4"/>
      <c r="U46" s="4"/>
      <c r="V46" s="4"/>
      <c r="W46" s="4">
        <v>0</v>
      </c>
      <c r="X46" s="4">
        <v>1</v>
      </c>
      <c r="Y46" s="4">
        <v>0</v>
      </c>
      <c r="Z46" s="4"/>
      <c r="AA46" s="4"/>
      <c r="AB46" s="4"/>
    </row>
    <row r="47" spans="1:28" x14ac:dyDescent="0.2">
      <c r="A47" s="4">
        <v>50</v>
      </c>
      <c r="B47" s="4">
        <v>0</v>
      </c>
      <c r="C47" s="4">
        <v>0</v>
      </c>
      <c r="D47" s="4">
        <v>1</v>
      </c>
      <c r="E47" s="4">
        <v>214</v>
      </c>
      <c r="F47" s="4">
        <f>ROUND(Source!AS30,O47)</f>
        <v>0</v>
      </c>
      <c r="G47" s="4" t="s">
        <v>52</v>
      </c>
      <c r="H47" s="4" t="s">
        <v>53</v>
      </c>
      <c r="I47" s="4"/>
      <c r="J47" s="4"/>
      <c r="K47" s="4">
        <v>214</v>
      </c>
      <c r="L47" s="4">
        <v>16</v>
      </c>
      <c r="M47" s="4">
        <v>3</v>
      </c>
      <c r="N47" s="4" t="s">
        <v>3</v>
      </c>
      <c r="O47" s="4">
        <v>2</v>
      </c>
      <c r="P47" s="4"/>
      <c r="Q47" s="4"/>
      <c r="R47" s="4"/>
      <c r="S47" s="4"/>
      <c r="T47" s="4"/>
      <c r="U47" s="4"/>
      <c r="V47" s="4"/>
      <c r="W47" s="4">
        <v>0</v>
      </c>
      <c r="X47" s="4">
        <v>1</v>
      </c>
      <c r="Y47" s="4">
        <v>0</v>
      </c>
      <c r="Z47" s="4"/>
      <c r="AA47" s="4"/>
      <c r="AB47" s="4"/>
    </row>
    <row r="48" spans="1:28" x14ac:dyDescent="0.2">
      <c r="A48" s="4">
        <v>50</v>
      </c>
      <c r="B48" s="4">
        <v>0</v>
      </c>
      <c r="C48" s="4">
        <v>0</v>
      </c>
      <c r="D48" s="4">
        <v>1</v>
      </c>
      <c r="E48" s="4">
        <v>215</v>
      </c>
      <c r="F48" s="4">
        <f>ROUND(Source!AT30,O48)</f>
        <v>0</v>
      </c>
      <c r="G48" s="4" t="s">
        <v>54</v>
      </c>
      <c r="H48" s="4" t="s">
        <v>55</v>
      </c>
      <c r="I48" s="4"/>
      <c r="J48" s="4"/>
      <c r="K48" s="4">
        <v>215</v>
      </c>
      <c r="L48" s="4">
        <v>17</v>
      </c>
      <c r="M48" s="4">
        <v>3</v>
      </c>
      <c r="N48" s="4" t="s">
        <v>3</v>
      </c>
      <c r="O48" s="4">
        <v>2</v>
      </c>
      <c r="P48" s="4"/>
      <c r="Q48" s="4"/>
      <c r="R48" s="4"/>
      <c r="S48" s="4"/>
      <c r="T48" s="4"/>
      <c r="U48" s="4"/>
      <c r="V48" s="4"/>
      <c r="W48" s="4">
        <v>0</v>
      </c>
      <c r="X48" s="4">
        <v>1</v>
      </c>
      <c r="Y48" s="4">
        <v>0</v>
      </c>
      <c r="Z48" s="4"/>
      <c r="AA48" s="4"/>
      <c r="AB48" s="4"/>
    </row>
    <row r="49" spans="1:206" x14ac:dyDescent="0.2">
      <c r="A49" s="4">
        <v>50</v>
      </c>
      <c r="B49" s="4">
        <v>0</v>
      </c>
      <c r="C49" s="4">
        <v>0</v>
      </c>
      <c r="D49" s="4">
        <v>1</v>
      </c>
      <c r="E49" s="4">
        <v>217</v>
      </c>
      <c r="F49" s="4">
        <f>ROUND(Source!AU30,O49)</f>
        <v>100000</v>
      </c>
      <c r="G49" s="4" t="s">
        <v>56</v>
      </c>
      <c r="H49" s="4" t="s">
        <v>57</v>
      </c>
      <c r="I49" s="4"/>
      <c r="J49" s="4"/>
      <c r="K49" s="4">
        <v>217</v>
      </c>
      <c r="L49" s="4">
        <v>18</v>
      </c>
      <c r="M49" s="4">
        <v>3</v>
      </c>
      <c r="N49" s="4" t="s">
        <v>3</v>
      </c>
      <c r="O49" s="4">
        <v>2</v>
      </c>
      <c r="P49" s="4"/>
      <c r="Q49" s="4"/>
      <c r="R49" s="4"/>
      <c r="S49" s="4"/>
      <c r="T49" s="4"/>
      <c r="U49" s="4"/>
      <c r="V49" s="4"/>
      <c r="W49" s="4">
        <v>100000</v>
      </c>
      <c r="X49" s="4">
        <v>1</v>
      </c>
      <c r="Y49" s="4">
        <v>100000</v>
      </c>
      <c r="Z49" s="4"/>
      <c r="AA49" s="4"/>
      <c r="AB49" s="4"/>
    </row>
    <row r="50" spans="1:206" x14ac:dyDescent="0.2">
      <c r="A50" s="4">
        <v>50</v>
      </c>
      <c r="B50" s="4">
        <v>0</v>
      </c>
      <c r="C50" s="4">
        <v>0</v>
      </c>
      <c r="D50" s="4">
        <v>1</v>
      </c>
      <c r="E50" s="4">
        <v>230</v>
      </c>
      <c r="F50" s="4">
        <f>ROUND(Source!BA30,O50)</f>
        <v>0</v>
      </c>
      <c r="G50" s="4" t="s">
        <v>58</v>
      </c>
      <c r="H50" s="4" t="s">
        <v>59</v>
      </c>
      <c r="I50" s="4"/>
      <c r="J50" s="4"/>
      <c r="K50" s="4">
        <v>230</v>
      </c>
      <c r="L50" s="4">
        <v>19</v>
      </c>
      <c r="M50" s="4">
        <v>3</v>
      </c>
      <c r="N50" s="4" t="s">
        <v>3</v>
      </c>
      <c r="O50" s="4">
        <v>2</v>
      </c>
      <c r="P50" s="4"/>
      <c r="Q50" s="4"/>
      <c r="R50" s="4"/>
      <c r="S50" s="4"/>
      <c r="T50" s="4"/>
      <c r="U50" s="4"/>
      <c r="V50" s="4"/>
      <c r="W50" s="4">
        <v>0</v>
      </c>
      <c r="X50" s="4">
        <v>1</v>
      </c>
      <c r="Y50" s="4">
        <v>0</v>
      </c>
      <c r="Z50" s="4"/>
      <c r="AA50" s="4"/>
      <c r="AB50" s="4"/>
    </row>
    <row r="51" spans="1:206" x14ac:dyDescent="0.2">
      <c r="A51" s="4">
        <v>50</v>
      </c>
      <c r="B51" s="4">
        <v>0</v>
      </c>
      <c r="C51" s="4">
        <v>0</v>
      </c>
      <c r="D51" s="4">
        <v>1</v>
      </c>
      <c r="E51" s="4">
        <v>206</v>
      </c>
      <c r="F51" s="4">
        <f>ROUND(Source!T30,O51)</f>
        <v>0</v>
      </c>
      <c r="G51" s="4" t="s">
        <v>60</v>
      </c>
      <c r="H51" s="4" t="s">
        <v>61</v>
      </c>
      <c r="I51" s="4"/>
      <c r="J51" s="4"/>
      <c r="K51" s="4">
        <v>206</v>
      </c>
      <c r="L51" s="4">
        <v>20</v>
      </c>
      <c r="M51" s="4">
        <v>3</v>
      </c>
      <c r="N51" s="4" t="s">
        <v>3</v>
      </c>
      <c r="O51" s="4">
        <v>2</v>
      </c>
      <c r="P51" s="4"/>
      <c r="Q51" s="4"/>
      <c r="R51" s="4"/>
      <c r="S51" s="4"/>
      <c r="T51" s="4"/>
      <c r="U51" s="4"/>
      <c r="V51" s="4"/>
      <c r="W51" s="4">
        <v>0</v>
      </c>
      <c r="X51" s="4">
        <v>1</v>
      </c>
      <c r="Y51" s="4">
        <v>0</v>
      </c>
      <c r="Z51" s="4"/>
      <c r="AA51" s="4"/>
      <c r="AB51" s="4"/>
    </row>
    <row r="52" spans="1:206" x14ac:dyDescent="0.2">
      <c r="A52" s="4">
        <v>50</v>
      </c>
      <c r="B52" s="4">
        <v>0</v>
      </c>
      <c r="C52" s="4">
        <v>0</v>
      </c>
      <c r="D52" s="4">
        <v>1</v>
      </c>
      <c r="E52" s="4">
        <v>207</v>
      </c>
      <c r="F52" s="4">
        <f>Source!U30</f>
        <v>0</v>
      </c>
      <c r="G52" s="4" t="s">
        <v>62</v>
      </c>
      <c r="H52" s="4" t="s">
        <v>63</v>
      </c>
      <c r="I52" s="4"/>
      <c r="J52" s="4"/>
      <c r="K52" s="4">
        <v>207</v>
      </c>
      <c r="L52" s="4">
        <v>21</v>
      </c>
      <c r="M52" s="4">
        <v>3</v>
      </c>
      <c r="N52" s="4" t="s">
        <v>3</v>
      </c>
      <c r="O52" s="4">
        <v>-1</v>
      </c>
      <c r="P52" s="4"/>
      <c r="Q52" s="4"/>
      <c r="R52" s="4"/>
      <c r="S52" s="4"/>
      <c r="T52" s="4"/>
      <c r="U52" s="4"/>
      <c r="V52" s="4"/>
      <c r="W52" s="4">
        <v>0</v>
      </c>
      <c r="X52" s="4">
        <v>1</v>
      </c>
      <c r="Y52" s="4">
        <v>0</v>
      </c>
      <c r="Z52" s="4"/>
      <c r="AA52" s="4"/>
      <c r="AB52" s="4"/>
    </row>
    <row r="53" spans="1:206" x14ac:dyDescent="0.2">
      <c r="A53" s="4">
        <v>50</v>
      </c>
      <c r="B53" s="4">
        <v>0</v>
      </c>
      <c r="C53" s="4">
        <v>0</v>
      </c>
      <c r="D53" s="4">
        <v>1</v>
      </c>
      <c r="E53" s="4">
        <v>208</v>
      </c>
      <c r="F53" s="4">
        <f>Source!V30</f>
        <v>0</v>
      </c>
      <c r="G53" s="4" t="s">
        <v>64</v>
      </c>
      <c r="H53" s="4" t="s">
        <v>65</v>
      </c>
      <c r="I53" s="4"/>
      <c r="J53" s="4"/>
      <c r="K53" s="4">
        <v>208</v>
      </c>
      <c r="L53" s="4">
        <v>22</v>
      </c>
      <c r="M53" s="4">
        <v>3</v>
      </c>
      <c r="N53" s="4" t="s">
        <v>3</v>
      </c>
      <c r="O53" s="4">
        <v>-1</v>
      </c>
      <c r="P53" s="4"/>
      <c r="Q53" s="4"/>
      <c r="R53" s="4"/>
      <c r="S53" s="4"/>
      <c r="T53" s="4"/>
      <c r="U53" s="4"/>
      <c r="V53" s="4"/>
      <c r="W53" s="4">
        <v>0</v>
      </c>
      <c r="X53" s="4">
        <v>1</v>
      </c>
      <c r="Y53" s="4">
        <v>0</v>
      </c>
      <c r="Z53" s="4"/>
      <c r="AA53" s="4"/>
      <c r="AB53" s="4"/>
    </row>
    <row r="54" spans="1:206" x14ac:dyDescent="0.2">
      <c r="A54" s="4">
        <v>50</v>
      </c>
      <c r="B54" s="4">
        <v>0</v>
      </c>
      <c r="C54" s="4">
        <v>0</v>
      </c>
      <c r="D54" s="4">
        <v>1</v>
      </c>
      <c r="E54" s="4">
        <v>209</v>
      </c>
      <c r="F54" s="4">
        <f>ROUND(Source!W30,O54)</f>
        <v>0</v>
      </c>
      <c r="G54" s="4" t="s">
        <v>66</v>
      </c>
      <c r="H54" s="4" t="s">
        <v>67</v>
      </c>
      <c r="I54" s="4"/>
      <c r="J54" s="4"/>
      <c r="K54" s="4">
        <v>209</v>
      </c>
      <c r="L54" s="4">
        <v>23</v>
      </c>
      <c r="M54" s="4">
        <v>3</v>
      </c>
      <c r="N54" s="4" t="s">
        <v>3</v>
      </c>
      <c r="O54" s="4">
        <v>2</v>
      </c>
      <c r="P54" s="4"/>
      <c r="Q54" s="4"/>
      <c r="R54" s="4"/>
      <c r="S54" s="4"/>
      <c r="T54" s="4"/>
      <c r="U54" s="4"/>
      <c r="V54" s="4"/>
      <c r="W54" s="4">
        <v>0</v>
      </c>
      <c r="X54" s="4">
        <v>1</v>
      </c>
      <c r="Y54" s="4">
        <v>0</v>
      </c>
      <c r="Z54" s="4"/>
      <c r="AA54" s="4"/>
      <c r="AB54" s="4"/>
    </row>
    <row r="55" spans="1:206" x14ac:dyDescent="0.2">
      <c r="A55" s="4">
        <v>50</v>
      </c>
      <c r="B55" s="4">
        <v>0</v>
      </c>
      <c r="C55" s="4">
        <v>0</v>
      </c>
      <c r="D55" s="4">
        <v>1</v>
      </c>
      <c r="E55" s="4">
        <v>233</v>
      </c>
      <c r="F55" s="4">
        <f>ROUND(Source!BD30,O55)</f>
        <v>0</v>
      </c>
      <c r="G55" s="4" t="s">
        <v>68</v>
      </c>
      <c r="H55" s="4" t="s">
        <v>69</v>
      </c>
      <c r="I55" s="4"/>
      <c r="J55" s="4"/>
      <c r="K55" s="4">
        <v>233</v>
      </c>
      <c r="L55" s="4">
        <v>24</v>
      </c>
      <c r="M55" s="4">
        <v>3</v>
      </c>
      <c r="N55" s="4" t="s">
        <v>3</v>
      </c>
      <c r="O55" s="4">
        <v>2</v>
      </c>
      <c r="P55" s="4"/>
      <c r="Q55" s="4"/>
      <c r="R55" s="4"/>
      <c r="S55" s="4"/>
      <c r="T55" s="4"/>
      <c r="U55" s="4"/>
      <c r="V55" s="4"/>
      <c r="W55" s="4">
        <v>0</v>
      </c>
      <c r="X55" s="4">
        <v>1</v>
      </c>
      <c r="Y55" s="4">
        <v>0</v>
      </c>
      <c r="Z55" s="4"/>
      <c r="AA55" s="4"/>
      <c r="AB55" s="4"/>
    </row>
    <row r="56" spans="1:206" x14ac:dyDescent="0.2">
      <c r="A56" s="4">
        <v>50</v>
      </c>
      <c r="B56" s="4">
        <v>0</v>
      </c>
      <c r="C56" s="4">
        <v>0</v>
      </c>
      <c r="D56" s="4">
        <v>1</v>
      </c>
      <c r="E56" s="4">
        <v>210</v>
      </c>
      <c r="F56" s="4">
        <f>ROUND(Source!X30,O56)</f>
        <v>0</v>
      </c>
      <c r="G56" s="4" t="s">
        <v>70</v>
      </c>
      <c r="H56" s="4" t="s">
        <v>71</v>
      </c>
      <c r="I56" s="4"/>
      <c r="J56" s="4"/>
      <c r="K56" s="4">
        <v>210</v>
      </c>
      <c r="L56" s="4">
        <v>25</v>
      </c>
      <c r="M56" s="4">
        <v>3</v>
      </c>
      <c r="N56" s="4" t="s">
        <v>3</v>
      </c>
      <c r="O56" s="4">
        <v>2</v>
      </c>
      <c r="P56" s="4"/>
      <c r="Q56" s="4"/>
      <c r="R56" s="4"/>
      <c r="S56" s="4"/>
      <c r="T56" s="4"/>
      <c r="U56" s="4"/>
      <c r="V56" s="4"/>
      <c r="W56" s="4">
        <v>0</v>
      </c>
      <c r="X56" s="4">
        <v>1</v>
      </c>
      <c r="Y56" s="4">
        <v>0</v>
      </c>
      <c r="Z56" s="4"/>
      <c r="AA56" s="4"/>
      <c r="AB56" s="4"/>
    </row>
    <row r="57" spans="1:206" x14ac:dyDescent="0.2">
      <c r="A57" s="4">
        <v>50</v>
      </c>
      <c r="B57" s="4">
        <v>0</v>
      </c>
      <c r="C57" s="4">
        <v>0</v>
      </c>
      <c r="D57" s="4">
        <v>1</v>
      </c>
      <c r="E57" s="4">
        <v>211</v>
      </c>
      <c r="F57" s="4">
        <f>ROUND(Source!Y30,O57)</f>
        <v>0</v>
      </c>
      <c r="G57" s="4" t="s">
        <v>72</v>
      </c>
      <c r="H57" s="4" t="s">
        <v>73</v>
      </c>
      <c r="I57" s="4"/>
      <c r="J57" s="4"/>
      <c r="K57" s="4">
        <v>211</v>
      </c>
      <c r="L57" s="4">
        <v>26</v>
      </c>
      <c r="M57" s="4">
        <v>3</v>
      </c>
      <c r="N57" s="4" t="s">
        <v>3</v>
      </c>
      <c r="O57" s="4">
        <v>2</v>
      </c>
      <c r="P57" s="4"/>
      <c r="Q57" s="4"/>
      <c r="R57" s="4"/>
      <c r="S57" s="4"/>
      <c r="T57" s="4"/>
      <c r="U57" s="4"/>
      <c r="V57" s="4"/>
      <c r="W57" s="4">
        <v>0</v>
      </c>
      <c r="X57" s="4">
        <v>1</v>
      </c>
      <c r="Y57" s="4">
        <v>0</v>
      </c>
      <c r="Z57" s="4"/>
      <c r="AA57" s="4"/>
      <c r="AB57" s="4"/>
    </row>
    <row r="58" spans="1:206" x14ac:dyDescent="0.2">
      <c r="A58" s="4">
        <v>50</v>
      </c>
      <c r="B58" s="4">
        <v>0</v>
      </c>
      <c r="C58" s="4">
        <v>0</v>
      </c>
      <c r="D58" s="4">
        <v>1</v>
      </c>
      <c r="E58" s="4">
        <v>224</v>
      </c>
      <c r="F58" s="4">
        <f>ROUND(Source!AR30,O58)</f>
        <v>100000</v>
      </c>
      <c r="G58" s="4" t="s">
        <v>74</v>
      </c>
      <c r="H58" s="4" t="s">
        <v>75</v>
      </c>
      <c r="I58" s="4"/>
      <c r="J58" s="4"/>
      <c r="K58" s="4">
        <v>224</v>
      </c>
      <c r="L58" s="4">
        <v>27</v>
      </c>
      <c r="M58" s="4">
        <v>3</v>
      </c>
      <c r="N58" s="4" t="s">
        <v>3</v>
      </c>
      <c r="O58" s="4">
        <v>2</v>
      </c>
      <c r="P58" s="4"/>
      <c r="Q58" s="4"/>
      <c r="R58" s="4"/>
      <c r="S58" s="4"/>
      <c r="T58" s="4"/>
      <c r="U58" s="4"/>
      <c r="V58" s="4"/>
      <c r="W58" s="4">
        <v>100000</v>
      </c>
      <c r="X58" s="4">
        <v>1</v>
      </c>
      <c r="Y58" s="4">
        <v>100000</v>
      </c>
      <c r="Z58" s="4"/>
      <c r="AA58" s="4"/>
      <c r="AB58" s="4"/>
    </row>
    <row r="60" spans="1:206" x14ac:dyDescent="0.2">
      <c r="A60" s="1">
        <v>4</v>
      </c>
      <c r="B60" s="1">
        <v>1</v>
      </c>
      <c r="C60" s="1"/>
      <c r="D60" s="1">
        <f>ROW(A158)</f>
        <v>158</v>
      </c>
      <c r="E60" s="1"/>
      <c r="F60" s="1" t="s">
        <v>13</v>
      </c>
      <c r="G60" s="1" t="s">
        <v>76</v>
      </c>
      <c r="H60" s="1" t="s">
        <v>3</v>
      </c>
      <c r="I60" s="1">
        <v>0</v>
      </c>
      <c r="J60" s="1"/>
      <c r="K60" s="1">
        <v>0</v>
      </c>
      <c r="L60" s="1"/>
      <c r="M60" s="1" t="s">
        <v>3</v>
      </c>
      <c r="N60" s="1"/>
      <c r="O60" s="1"/>
      <c r="P60" s="1"/>
      <c r="Q60" s="1"/>
      <c r="R60" s="1"/>
      <c r="S60" s="1">
        <v>0</v>
      </c>
      <c r="T60" s="1"/>
      <c r="U60" s="1" t="s">
        <v>3</v>
      </c>
      <c r="V60" s="1">
        <v>0</v>
      </c>
      <c r="W60" s="1"/>
      <c r="X60" s="1"/>
      <c r="Y60" s="1"/>
      <c r="Z60" s="1"/>
      <c r="AA60" s="1"/>
      <c r="AB60" s="1" t="s">
        <v>3</v>
      </c>
      <c r="AC60" s="1" t="s">
        <v>3</v>
      </c>
      <c r="AD60" s="1" t="s">
        <v>3</v>
      </c>
      <c r="AE60" s="1" t="s">
        <v>3</v>
      </c>
      <c r="AF60" s="1" t="s">
        <v>3</v>
      </c>
      <c r="AG60" s="1" t="s">
        <v>3</v>
      </c>
      <c r="AH60" s="1"/>
      <c r="AI60" s="1"/>
      <c r="AJ60" s="1"/>
      <c r="AK60" s="1"/>
      <c r="AL60" s="1"/>
      <c r="AM60" s="1"/>
      <c r="AN60" s="1"/>
      <c r="AO60" s="1"/>
      <c r="AP60" s="1" t="s">
        <v>3</v>
      </c>
      <c r="AQ60" s="1" t="s">
        <v>3</v>
      </c>
      <c r="AR60" s="1" t="s">
        <v>3</v>
      </c>
      <c r="AS60" s="1"/>
      <c r="AT60" s="1"/>
      <c r="AU60" s="1"/>
      <c r="AV60" s="1"/>
      <c r="AW60" s="1"/>
      <c r="AX60" s="1"/>
      <c r="AY60" s="1"/>
      <c r="AZ60" s="1" t="s">
        <v>3</v>
      </c>
      <c r="BA60" s="1"/>
      <c r="BB60" s="1" t="s">
        <v>3</v>
      </c>
      <c r="BC60" s="1" t="s">
        <v>3</v>
      </c>
      <c r="BD60" s="1" t="s">
        <v>3</v>
      </c>
      <c r="BE60" s="1" t="s">
        <v>3</v>
      </c>
      <c r="BF60" s="1" t="s">
        <v>3</v>
      </c>
      <c r="BG60" s="1" t="s">
        <v>3</v>
      </c>
      <c r="BH60" s="1" t="s">
        <v>3</v>
      </c>
      <c r="BI60" s="1" t="s">
        <v>3</v>
      </c>
      <c r="BJ60" s="1" t="s">
        <v>3</v>
      </c>
      <c r="BK60" s="1" t="s">
        <v>3</v>
      </c>
      <c r="BL60" s="1" t="s">
        <v>3</v>
      </c>
      <c r="BM60" s="1" t="s">
        <v>3</v>
      </c>
      <c r="BN60" s="1" t="s">
        <v>3</v>
      </c>
      <c r="BO60" s="1" t="s">
        <v>3</v>
      </c>
      <c r="BP60" s="1" t="s">
        <v>3</v>
      </c>
      <c r="BQ60" s="1"/>
      <c r="BR60" s="1"/>
      <c r="BS60" s="1"/>
      <c r="BT60" s="1"/>
      <c r="BU60" s="1"/>
      <c r="BV60" s="1"/>
      <c r="BW60" s="1"/>
      <c r="BX60" s="1">
        <v>0</v>
      </c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>
        <v>0</v>
      </c>
    </row>
    <row r="62" spans="1:206" x14ac:dyDescent="0.2">
      <c r="A62" s="2">
        <v>52</v>
      </c>
      <c r="B62" s="2">
        <f t="shared" ref="B62:G62" si="23">B158</f>
        <v>1</v>
      </c>
      <c r="C62" s="2">
        <f t="shared" si="23"/>
        <v>4</v>
      </c>
      <c r="D62" s="2">
        <f t="shared" si="23"/>
        <v>60</v>
      </c>
      <c r="E62" s="2">
        <f t="shared" si="23"/>
        <v>0</v>
      </c>
      <c r="F62" s="2" t="str">
        <f t="shared" si="23"/>
        <v>Новый раздел</v>
      </c>
      <c r="G62" s="2" t="str">
        <f t="shared" si="23"/>
        <v>Автоматическая установка пожаротушения тонкораспыленной водой</v>
      </c>
      <c r="H62" s="2"/>
      <c r="I62" s="2"/>
      <c r="J62" s="2"/>
      <c r="K62" s="2"/>
      <c r="L62" s="2"/>
      <c r="M62" s="2"/>
      <c r="N62" s="2"/>
      <c r="O62" s="2">
        <f t="shared" ref="O62:AT62" si="24">O158</f>
        <v>381962.97</v>
      </c>
      <c r="P62" s="2">
        <f t="shared" si="24"/>
        <v>3990.9</v>
      </c>
      <c r="Q62" s="2">
        <f t="shared" si="24"/>
        <v>48620.27</v>
      </c>
      <c r="R62" s="2">
        <f t="shared" si="24"/>
        <v>24049.78</v>
      </c>
      <c r="S62" s="2">
        <f t="shared" si="24"/>
        <v>329351.8</v>
      </c>
      <c r="T62" s="2">
        <f t="shared" si="24"/>
        <v>0</v>
      </c>
      <c r="U62" s="2">
        <f t="shared" si="24"/>
        <v>379.00049999999999</v>
      </c>
      <c r="V62" s="2">
        <f t="shared" si="24"/>
        <v>0</v>
      </c>
      <c r="W62" s="2">
        <f t="shared" si="24"/>
        <v>0</v>
      </c>
      <c r="X62" s="2">
        <f t="shared" si="24"/>
        <v>230546.27</v>
      </c>
      <c r="Y62" s="2">
        <f t="shared" si="24"/>
        <v>32935.18</v>
      </c>
      <c r="Z62" s="2">
        <f t="shared" si="24"/>
        <v>0</v>
      </c>
      <c r="AA62" s="2">
        <f t="shared" si="24"/>
        <v>0</v>
      </c>
      <c r="AB62" s="2">
        <f t="shared" si="24"/>
        <v>0</v>
      </c>
      <c r="AC62" s="2">
        <f t="shared" si="24"/>
        <v>0</v>
      </c>
      <c r="AD62" s="2">
        <f t="shared" si="24"/>
        <v>0</v>
      </c>
      <c r="AE62" s="2">
        <f t="shared" si="24"/>
        <v>0</v>
      </c>
      <c r="AF62" s="2">
        <f t="shared" si="24"/>
        <v>0</v>
      </c>
      <c r="AG62" s="2">
        <f t="shared" si="24"/>
        <v>0</v>
      </c>
      <c r="AH62" s="2">
        <f t="shared" si="24"/>
        <v>0</v>
      </c>
      <c r="AI62" s="2">
        <f t="shared" si="24"/>
        <v>0</v>
      </c>
      <c r="AJ62" s="2">
        <f t="shared" si="24"/>
        <v>0</v>
      </c>
      <c r="AK62" s="2">
        <f t="shared" si="24"/>
        <v>0</v>
      </c>
      <c r="AL62" s="2">
        <f t="shared" si="24"/>
        <v>0</v>
      </c>
      <c r="AM62" s="2">
        <f t="shared" si="24"/>
        <v>0</v>
      </c>
      <c r="AN62" s="2">
        <f t="shared" si="24"/>
        <v>0</v>
      </c>
      <c r="AO62" s="2">
        <f t="shared" si="24"/>
        <v>0</v>
      </c>
      <c r="AP62" s="2">
        <f t="shared" si="24"/>
        <v>0</v>
      </c>
      <c r="AQ62" s="2">
        <f t="shared" si="24"/>
        <v>0</v>
      </c>
      <c r="AR62" s="2">
        <f t="shared" si="24"/>
        <v>671418.18</v>
      </c>
      <c r="AS62" s="2">
        <f t="shared" si="24"/>
        <v>0</v>
      </c>
      <c r="AT62" s="2">
        <f t="shared" si="24"/>
        <v>0</v>
      </c>
      <c r="AU62" s="2">
        <f t="shared" ref="AU62:BZ62" si="25">AU158</f>
        <v>671418.18</v>
      </c>
      <c r="AV62" s="2">
        <f t="shared" si="25"/>
        <v>3990.9</v>
      </c>
      <c r="AW62" s="2">
        <f t="shared" si="25"/>
        <v>3990.9</v>
      </c>
      <c r="AX62" s="2">
        <f t="shared" si="25"/>
        <v>0</v>
      </c>
      <c r="AY62" s="2">
        <f t="shared" si="25"/>
        <v>3990.9</v>
      </c>
      <c r="AZ62" s="2">
        <f t="shared" si="25"/>
        <v>0</v>
      </c>
      <c r="BA62" s="2">
        <f t="shared" si="25"/>
        <v>0</v>
      </c>
      <c r="BB62" s="2">
        <f t="shared" si="25"/>
        <v>0</v>
      </c>
      <c r="BC62" s="2">
        <f t="shared" si="25"/>
        <v>0</v>
      </c>
      <c r="BD62" s="2">
        <f t="shared" si="25"/>
        <v>0</v>
      </c>
      <c r="BE62" s="2">
        <f t="shared" si="25"/>
        <v>0</v>
      </c>
      <c r="BF62" s="2">
        <f t="shared" si="25"/>
        <v>0</v>
      </c>
      <c r="BG62" s="2">
        <f t="shared" si="25"/>
        <v>0</v>
      </c>
      <c r="BH62" s="2">
        <f t="shared" si="25"/>
        <v>0</v>
      </c>
      <c r="BI62" s="2">
        <f t="shared" si="25"/>
        <v>0</v>
      </c>
      <c r="BJ62" s="2">
        <f t="shared" si="25"/>
        <v>0</v>
      </c>
      <c r="BK62" s="2">
        <f t="shared" si="25"/>
        <v>0</v>
      </c>
      <c r="BL62" s="2">
        <f t="shared" si="25"/>
        <v>0</v>
      </c>
      <c r="BM62" s="2">
        <f t="shared" si="25"/>
        <v>0</v>
      </c>
      <c r="BN62" s="2">
        <f t="shared" si="25"/>
        <v>0</v>
      </c>
      <c r="BO62" s="2">
        <f t="shared" si="25"/>
        <v>0</v>
      </c>
      <c r="BP62" s="2">
        <f t="shared" si="25"/>
        <v>0</v>
      </c>
      <c r="BQ62" s="2">
        <f t="shared" si="25"/>
        <v>0</v>
      </c>
      <c r="BR62" s="2">
        <f t="shared" si="25"/>
        <v>0</v>
      </c>
      <c r="BS62" s="2">
        <f t="shared" si="25"/>
        <v>0</v>
      </c>
      <c r="BT62" s="2">
        <f t="shared" si="25"/>
        <v>0</v>
      </c>
      <c r="BU62" s="2">
        <f t="shared" si="25"/>
        <v>0</v>
      </c>
      <c r="BV62" s="2">
        <f t="shared" si="25"/>
        <v>0</v>
      </c>
      <c r="BW62" s="2">
        <f t="shared" si="25"/>
        <v>0</v>
      </c>
      <c r="BX62" s="2">
        <f t="shared" si="25"/>
        <v>0</v>
      </c>
      <c r="BY62" s="2">
        <f t="shared" si="25"/>
        <v>0</v>
      </c>
      <c r="BZ62" s="2">
        <f t="shared" si="25"/>
        <v>0</v>
      </c>
      <c r="CA62" s="2">
        <f t="shared" ref="CA62:DF62" si="26">CA158</f>
        <v>0</v>
      </c>
      <c r="CB62" s="2">
        <f t="shared" si="26"/>
        <v>0</v>
      </c>
      <c r="CC62" s="2">
        <f t="shared" si="26"/>
        <v>0</v>
      </c>
      <c r="CD62" s="2">
        <f t="shared" si="26"/>
        <v>0</v>
      </c>
      <c r="CE62" s="2">
        <f t="shared" si="26"/>
        <v>0</v>
      </c>
      <c r="CF62" s="2">
        <f t="shared" si="26"/>
        <v>0</v>
      </c>
      <c r="CG62" s="2">
        <f t="shared" si="26"/>
        <v>0</v>
      </c>
      <c r="CH62" s="2">
        <f t="shared" si="26"/>
        <v>0</v>
      </c>
      <c r="CI62" s="2">
        <f t="shared" si="26"/>
        <v>0</v>
      </c>
      <c r="CJ62" s="2">
        <f t="shared" si="26"/>
        <v>0</v>
      </c>
      <c r="CK62" s="2">
        <f t="shared" si="26"/>
        <v>0</v>
      </c>
      <c r="CL62" s="2">
        <f t="shared" si="26"/>
        <v>0</v>
      </c>
      <c r="CM62" s="2">
        <f t="shared" si="26"/>
        <v>0</v>
      </c>
      <c r="CN62" s="2">
        <f t="shared" si="26"/>
        <v>0</v>
      </c>
      <c r="CO62" s="2">
        <f t="shared" si="26"/>
        <v>0</v>
      </c>
      <c r="CP62" s="2">
        <f t="shared" si="26"/>
        <v>0</v>
      </c>
      <c r="CQ62" s="2">
        <f t="shared" si="26"/>
        <v>0</v>
      </c>
      <c r="CR62" s="2">
        <f t="shared" si="26"/>
        <v>0</v>
      </c>
      <c r="CS62" s="2">
        <f t="shared" si="26"/>
        <v>0</v>
      </c>
      <c r="CT62" s="2">
        <f t="shared" si="26"/>
        <v>0</v>
      </c>
      <c r="CU62" s="2">
        <f t="shared" si="26"/>
        <v>0</v>
      </c>
      <c r="CV62" s="2">
        <f t="shared" si="26"/>
        <v>0</v>
      </c>
      <c r="CW62" s="2">
        <f t="shared" si="26"/>
        <v>0</v>
      </c>
      <c r="CX62" s="2">
        <f t="shared" si="26"/>
        <v>0</v>
      </c>
      <c r="CY62" s="2">
        <f t="shared" si="26"/>
        <v>0</v>
      </c>
      <c r="CZ62" s="2">
        <f t="shared" si="26"/>
        <v>0</v>
      </c>
      <c r="DA62" s="2">
        <f t="shared" si="26"/>
        <v>0</v>
      </c>
      <c r="DB62" s="2">
        <f t="shared" si="26"/>
        <v>0</v>
      </c>
      <c r="DC62" s="2">
        <f t="shared" si="26"/>
        <v>0</v>
      </c>
      <c r="DD62" s="2">
        <f t="shared" si="26"/>
        <v>0</v>
      </c>
      <c r="DE62" s="2">
        <f t="shared" si="26"/>
        <v>0</v>
      </c>
      <c r="DF62" s="2">
        <f t="shared" si="26"/>
        <v>0</v>
      </c>
      <c r="DG62" s="3">
        <f t="shared" ref="DG62:EL62" si="27">DG158</f>
        <v>0</v>
      </c>
      <c r="DH62" s="3">
        <f t="shared" si="27"/>
        <v>0</v>
      </c>
      <c r="DI62" s="3">
        <f t="shared" si="27"/>
        <v>0</v>
      </c>
      <c r="DJ62" s="3">
        <f t="shared" si="27"/>
        <v>0</v>
      </c>
      <c r="DK62" s="3">
        <f t="shared" si="27"/>
        <v>0</v>
      </c>
      <c r="DL62" s="3">
        <f t="shared" si="27"/>
        <v>0</v>
      </c>
      <c r="DM62" s="3">
        <f t="shared" si="27"/>
        <v>0</v>
      </c>
      <c r="DN62" s="3">
        <f t="shared" si="27"/>
        <v>0</v>
      </c>
      <c r="DO62" s="3">
        <f t="shared" si="27"/>
        <v>0</v>
      </c>
      <c r="DP62" s="3">
        <f t="shared" si="27"/>
        <v>0</v>
      </c>
      <c r="DQ62" s="3">
        <f t="shared" si="27"/>
        <v>0</v>
      </c>
      <c r="DR62" s="3">
        <f t="shared" si="27"/>
        <v>0</v>
      </c>
      <c r="DS62" s="3">
        <f t="shared" si="27"/>
        <v>0</v>
      </c>
      <c r="DT62" s="3">
        <f t="shared" si="27"/>
        <v>0</v>
      </c>
      <c r="DU62" s="3">
        <f t="shared" si="27"/>
        <v>0</v>
      </c>
      <c r="DV62" s="3">
        <f t="shared" si="27"/>
        <v>0</v>
      </c>
      <c r="DW62" s="3">
        <f t="shared" si="27"/>
        <v>0</v>
      </c>
      <c r="DX62" s="3">
        <f t="shared" si="27"/>
        <v>0</v>
      </c>
      <c r="DY62" s="3">
        <f t="shared" si="27"/>
        <v>0</v>
      </c>
      <c r="DZ62" s="3">
        <f t="shared" si="27"/>
        <v>0</v>
      </c>
      <c r="EA62" s="3">
        <f t="shared" si="27"/>
        <v>0</v>
      </c>
      <c r="EB62" s="3">
        <f t="shared" si="27"/>
        <v>0</v>
      </c>
      <c r="EC62" s="3">
        <f t="shared" si="27"/>
        <v>0</v>
      </c>
      <c r="ED62" s="3">
        <f t="shared" si="27"/>
        <v>0</v>
      </c>
      <c r="EE62" s="3">
        <f t="shared" si="27"/>
        <v>0</v>
      </c>
      <c r="EF62" s="3">
        <f t="shared" si="27"/>
        <v>0</v>
      </c>
      <c r="EG62" s="3">
        <f t="shared" si="27"/>
        <v>0</v>
      </c>
      <c r="EH62" s="3">
        <f t="shared" si="27"/>
        <v>0</v>
      </c>
      <c r="EI62" s="3">
        <f t="shared" si="27"/>
        <v>0</v>
      </c>
      <c r="EJ62" s="3">
        <f t="shared" si="27"/>
        <v>0</v>
      </c>
      <c r="EK62" s="3">
        <f t="shared" si="27"/>
        <v>0</v>
      </c>
      <c r="EL62" s="3">
        <f t="shared" si="27"/>
        <v>0</v>
      </c>
      <c r="EM62" s="3">
        <f t="shared" ref="EM62:FR62" si="28">EM158</f>
        <v>0</v>
      </c>
      <c r="EN62" s="3">
        <f t="shared" si="28"/>
        <v>0</v>
      </c>
      <c r="EO62" s="3">
        <f t="shared" si="28"/>
        <v>0</v>
      </c>
      <c r="EP62" s="3">
        <f t="shared" si="28"/>
        <v>0</v>
      </c>
      <c r="EQ62" s="3">
        <f t="shared" si="28"/>
        <v>0</v>
      </c>
      <c r="ER62" s="3">
        <f t="shared" si="28"/>
        <v>0</v>
      </c>
      <c r="ES62" s="3">
        <f t="shared" si="28"/>
        <v>0</v>
      </c>
      <c r="ET62" s="3">
        <f t="shared" si="28"/>
        <v>0</v>
      </c>
      <c r="EU62" s="3">
        <f t="shared" si="28"/>
        <v>0</v>
      </c>
      <c r="EV62" s="3">
        <f t="shared" si="28"/>
        <v>0</v>
      </c>
      <c r="EW62" s="3">
        <f t="shared" si="28"/>
        <v>0</v>
      </c>
      <c r="EX62" s="3">
        <f t="shared" si="28"/>
        <v>0</v>
      </c>
      <c r="EY62" s="3">
        <f t="shared" si="28"/>
        <v>0</v>
      </c>
      <c r="EZ62" s="3">
        <f t="shared" si="28"/>
        <v>0</v>
      </c>
      <c r="FA62" s="3">
        <f t="shared" si="28"/>
        <v>0</v>
      </c>
      <c r="FB62" s="3">
        <f t="shared" si="28"/>
        <v>0</v>
      </c>
      <c r="FC62" s="3">
        <f t="shared" si="28"/>
        <v>0</v>
      </c>
      <c r="FD62" s="3">
        <f t="shared" si="28"/>
        <v>0</v>
      </c>
      <c r="FE62" s="3">
        <f t="shared" si="28"/>
        <v>0</v>
      </c>
      <c r="FF62" s="3">
        <f t="shared" si="28"/>
        <v>0</v>
      </c>
      <c r="FG62" s="3">
        <f t="shared" si="28"/>
        <v>0</v>
      </c>
      <c r="FH62" s="3">
        <f t="shared" si="28"/>
        <v>0</v>
      </c>
      <c r="FI62" s="3">
        <f t="shared" si="28"/>
        <v>0</v>
      </c>
      <c r="FJ62" s="3">
        <f t="shared" si="28"/>
        <v>0</v>
      </c>
      <c r="FK62" s="3">
        <f t="shared" si="28"/>
        <v>0</v>
      </c>
      <c r="FL62" s="3">
        <f t="shared" si="28"/>
        <v>0</v>
      </c>
      <c r="FM62" s="3">
        <f t="shared" si="28"/>
        <v>0</v>
      </c>
      <c r="FN62" s="3">
        <f t="shared" si="28"/>
        <v>0</v>
      </c>
      <c r="FO62" s="3">
        <f t="shared" si="28"/>
        <v>0</v>
      </c>
      <c r="FP62" s="3">
        <f t="shared" si="28"/>
        <v>0</v>
      </c>
      <c r="FQ62" s="3">
        <f t="shared" si="28"/>
        <v>0</v>
      </c>
      <c r="FR62" s="3">
        <f t="shared" si="28"/>
        <v>0</v>
      </c>
      <c r="FS62" s="3">
        <f t="shared" ref="FS62:GX62" si="29">FS158</f>
        <v>0</v>
      </c>
      <c r="FT62" s="3">
        <f t="shared" si="29"/>
        <v>0</v>
      </c>
      <c r="FU62" s="3">
        <f t="shared" si="29"/>
        <v>0</v>
      </c>
      <c r="FV62" s="3">
        <f t="shared" si="29"/>
        <v>0</v>
      </c>
      <c r="FW62" s="3">
        <f t="shared" si="29"/>
        <v>0</v>
      </c>
      <c r="FX62" s="3">
        <f t="shared" si="29"/>
        <v>0</v>
      </c>
      <c r="FY62" s="3">
        <f t="shared" si="29"/>
        <v>0</v>
      </c>
      <c r="FZ62" s="3">
        <f t="shared" si="29"/>
        <v>0</v>
      </c>
      <c r="GA62" s="3">
        <f t="shared" si="29"/>
        <v>0</v>
      </c>
      <c r="GB62" s="3">
        <f t="shared" si="29"/>
        <v>0</v>
      </c>
      <c r="GC62" s="3">
        <f t="shared" si="29"/>
        <v>0</v>
      </c>
      <c r="GD62" s="3">
        <f t="shared" si="29"/>
        <v>0</v>
      </c>
      <c r="GE62" s="3">
        <f t="shared" si="29"/>
        <v>0</v>
      </c>
      <c r="GF62" s="3">
        <f t="shared" si="29"/>
        <v>0</v>
      </c>
      <c r="GG62" s="3">
        <f t="shared" si="29"/>
        <v>0</v>
      </c>
      <c r="GH62" s="3">
        <f t="shared" si="29"/>
        <v>0</v>
      </c>
      <c r="GI62" s="3">
        <f t="shared" si="29"/>
        <v>0</v>
      </c>
      <c r="GJ62" s="3">
        <f t="shared" si="29"/>
        <v>0</v>
      </c>
      <c r="GK62" s="3">
        <f t="shared" si="29"/>
        <v>0</v>
      </c>
      <c r="GL62" s="3">
        <f t="shared" si="29"/>
        <v>0</v>
      </c>
      <c r="GM62" s="3">
        <f t="shared" si="29"/>
        <v>0</v>
      </c>
      <c r="GN62" s="3">
        <f t="shared" si="29"/>
        <v>0</v>
      </c>
      <c r="GO62" s="3">
        <f t="shared" si="29"/>
        <v>0</v>
      </c>
      <c r="GP62" s="3">
        <f t="shared" si="29"/>
        <v>0</v>
      </c>
      <c r="GQ62" s="3">
        <f t="shared" si="29"/>
        <v>0</v>
      </c>
      <c r="GR62" s="3">
        <f t="shared" si="29"/>
        <v>0</v>
      </c>
      <c r="GS62" s="3">
        <f t="shared" si="29"/>
        <v>0</v>
      </c>
      <c r="GT62" s="3">
        <f t="shared" si="29"/>
        <v>0</v>
      </c>
      <c r="GU62" s="3">
        <f t="shared" si="29"/>
        <v>0</v>
      </c>
      <c r="GV62" s="3">
        <f t="shared" si="29"/>
        <v>0</v>
      </c>
      <c r="GW62" s="3">
        <f t="shared" si="29"/>
        <v>0</v>
      </c>
      <c r="GX62" s="3">
        <f t="shared" si="29"/>
        <v>0</v>
      </c>
    </row>
    <row r="64" spans="1:206" x14ac:dyDescent="0.2">
      <c r="A64" s="1">
        <v>5</v>
      </c>
      <c r="B64" s="1">
        <v>1</v>
      </c>
      <c r="C64" s="1"/>
      <c r="D64" s="1">
        <f>ROW(A92)</f>
        <v>92</v>
      </c>
      <c r="E64" s="1"/>
      <c r="F64" s="1" t="s">
        <v>77</v>
      </c>
      <c r="G64" s="1" t="s">
        <v>78</v>
      </c>
      <c r="H64" s="1" t="s">
        <v>3</v>
      </c>
      <c r="I64" s="1">
        <v>0</v>
      </c>
      <c r="J64" s="1"/>
      <c r="K64" s="1">
        <v>0</v>
      </c>
      <c r="L64" s="1"/>
      <c r="M64" s="1" t="s">
        <v>3</v>
      </c>
      <c r="N64" s="1"/>
      <c r="O64" s="1"/>
      <c r="P64" s="1"/>
      <c r="Q64" s="1"/>
      <c r="R64" s="1"/>
      <c r="S64" s="1">
        <v>0</v>
      </c>
      <c r="T64" s="1"/>
      <c r="U64" s="1" t="s">
        <v>3</v>
      </c>
      <c r="V64" s="1">
        <v>0</v>
      </c>
      <c r="W64" s="1"/>
      <c r="X64" s="1"/>
      <c r="Y64" s="1"/>
      <c r="Z64" s="1"/>
      <c r="AA64" s="1"/>
      <c r="AB64" s="1" t="s">
        <v>3</v>
      </c>
      <c r="AC64" s="1" t="s">
        <v>3</v>
      </c>
      <c r="AD64" s="1" t="s">
        <v>3</v>
      </c>
      <c r="AE64" s="1" t="s">
        <v>3</v>
      </c>
      <c r="AF64" s="1" t="s">
        <v>3</v>
      </c>
      <c r="AG64" s="1" t="s">
        <v>3</v>
      </c>
      <c r="AH64" s="1"/>
      <c r="AI64" s="1"/>
      <c r="AJ64" s="1"/>
      <c r="AK64" s="1"/>
      <c r="AL64" s="1"/>
      <c r="AM64" s="1"/>
      <c r="AN64" s="1"/>
      <c r="AO64" s="1"/>
      <c r="AP64" s="1" t="s">
        <v>3</v>
      </c>
      <c r="AQ64" s="1" t="s">
        <v>3</v>
      </c>
      <c r="AR64" s="1" t="s">
        <v>3</v>
      </c>
      <c r="AS64" s="1"/>
      <c r="AT64" s="1"/>
      <c r="AU64" s="1"/>
      <c r="AV64" s="1"/>
      <c r="AW64" s="1"/>
      <c r="AX64" s="1"/>
      <c r="AY64" s="1"/>
      <c r="AZ64" s="1" t="s">
        <v>3</v>
      </c>
      <c r="BA64" s="1"/>
      <c r="BB64" s="1" t="s">
        <v>3</v>
      </c>
      <c r="BC64" s="1" t="s">
        <v>3</v>
      </c>
      <c r="BD64" s="1" t="s">
        <v>3</v>
      </c>
      <c r="BE64" s="1" t="s">
        <v>3</v>
      </c>
      <c r="BF64" s="1" t="s">
        <v>3</v>
      </c>
      <c r="BG64" s="1" t="s">
        <v>3</v>
      </c>
      <c r="BH64" s="1" t="s">
        <v>3</v>
      </c>
      <c r="BI64" s="1" t="s">
        <v>3</v>
      </c>
      <c r="BJ64" s="1" t="s">
        <v>3</v>
      </c>
      <c r="BK64" s="1" t="s">
        <v>3</v>
      </c>
      <c r="BL64" s="1" t="s">
        <v>3</v>
      </c>
      <c r="BM64" s="1" t="s">
        <v>3</v>
      </c>
      <c r="BN64" s="1" t="s">
        <v>3</v>
      </c>
      <c r="BO64" s="1" t="s">
        <v>3</v>
      </c>
      <c r="BP64" s="1" t="s">
        <v>3</v>
      </c>
      <c r="BQ64" s="1"/>
      <c r="BR64" s="1"/>
      <c r="BS64" s="1"/>
      <c r="BT64" s="1"/>
      <c r="BU64" s="1"/>
      <c r="BV64" s="1"/>
      <c r="BW64" s="1"/>
      <c r="BX64" s="1">
        <v>0</v>
      </c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>
        <v>0</v>
      </c>
    </row>
    <row r="66" spans="1:245" x14ac:dyDescent="0.2">
      <c r="A66" s="2">
        <v>52</v>
      </c>
      <c r="B66" s="2">
        <f t="shared" ref="B66:G66" si="30">B92</f>
        <v>1</v>
      </c>
      <c r="C66" s="2">
        <f t="shared" si="30"/>
        <v>5</v>
      </c>
      <c r="D66" s="2">
        <f t="shared" si="30"/>
        <v>64</v>
      </c>
      <c r="E66" s="2">
        <f t="shared" si="30"/>
        <v>0</v>
      </c>
      <c r="F66" s="2" t="str">
        <f t="shared" si="30"/>
        <v>Новый подраздел</v>
      </c>
      <c r="G66" s="2" t="str">
        <f t="shared" si="30"/>
        <v>Монтажные работы</v>
      </c>
      <c r="H66" s="2"/>
      <c r="I66" s="2"/>
      <c r="J66" s="2"/>
      <c r="K66" s="2"/>
      <c r="L66" s="2"/>
      <c r="M66" s="2"/>
      <c r="N66" s="2"/>
      <c r="O66" s="2">
        <f t="shared" ref="O66:AT66" si="31">O92</f>
        <v>377780.32</v>
      </c>
      <c r="P66" s="2">
        <f t="shared" si="31"/>
        <v>3990.9</v>
      </c>
      <c r="Q66" s="2">
        <f t="shared" si="31"/>
        <v>48620.27</v>
      </c>
      <c r="R66" s="2">
        <f t="shared" si="31"/>
        <v>24049.78</v>
      </c>
      <c r="S66" s="2">
        <f t="shared" si="31"/>
        <v>325169.15000000002</v>
      </c>
      <c r="T66" s="2">
        <f t="shared" si="31"/>
        <v>0</v>
      </c>
      <c r="U66" s="2">
        <f t="shared" si="31"/>
        <v>372.70049999999998</v>
      </c>
      <c r="V66" s="2">
        <f t="shared" si="31"/>
        <v>0</v>
      </c>
      <c r="W66" s="2">
        <f t="shared" si="31"/>
        <v>0</v>
      </c>
      <c r="X66" s="2">
        <f t="shared" si="31"/>
        <v>227618.41</v>
      </c>
      <c r="Y66" s="2">
        <f t="shared" si="31"/>
        <v>32516.91</v>
      </c>
      <c r="Z66" s="2">
        <f t="shared" si="31"/>
        <v>0</v>
      </c>
      <c r="AA66" s="2">
        <f t="shared" si="31"/>
        <v>0</v>
      </c>
      <c r="AB66" s="2">
        <f t="shared" si="31"/>
        <v>377780.32</v>
      </c>
      <c r="AC66" s="2">
        <f t="shared" si="31"/>
        <v>3990.9</v>
      </c>
      <c r="AD66" s="2">
        <f t="shared" si="31"/>
        <v>48620.27</v>
      </c>
      <c r="AE66" s="2">
        <f t="shared" si="31"/>
        <v>24049.78</v>
      </c>
      <c r="AF66" s="2">
        <f t="shared" si="31"/>
        <v>325169.15000000002</v>
      </c>
      <c r="AG66" s="2">
        <f t="shared" si="31"/>
        <v>0</v>
      </c>
      <c r="AH66" s="2">
        <f t="shared" si="31"/>
        <v>372.70049999999998</v>
      </c>
      <c r="AI66" s="2">
        <f t="shared" si="31"/>
        <v>0</v>
      </c>
      <c r="AJ66" s="2">
        <f t="shared" si="31"/>
        <v>0</v>
      </c>
      <c r="AK66" s="2">
        <f t="shared" si="31"/>
        <v>227618.41</v>
      </c>
      <c r="AL66" s="2">
        <f t="shared" si="31"/>
        <v>32516.91</v>
      </c>
      <c r="AM66" s="2">
        <f t="shared" si="31"/>
        <v>0</v>
      </c>
      <c r="AN66" s="2">
        <f t="shared" si="31"/>
        <v>0</v>
      </c>
      <c r="AO66" s="2">
        <f t="shared" si="31"/>
        <v>0</v>
      </c>
      <c r="AP66" s="2">
        <f t="shared" si="31"/>
        <v>0</v>
      </c>
      <c r="AQ66" s="2">
        <f t="shared" si="31"/>
        <v>0</v>
      </c>
      <c r="AR66" s="2">
        <f t="shared" si="31"/>
        <v>663889.4</v>
      </c>
      <c r="AS66" s="2">
        <f t="shared" si="31"/>
        <v>0</v>
      </c>
      <c r="AT66" s="2">
        <f t="shared" si="31"/>
        <v>0</v>
      </c>
      <c r="AU66" s="2">
        <f t="shared" ref="AU66:BZ66" si="32">AU92</f>
        <v>663889.4</v>
      </c>
      <c r="AV66" s="2">
        <f t="shared" si="32"/>
        <v>3990.9</v>
      </c>
      <c r="AW66" s="2">
        <f t="shared" si="32"/>
        <v>3990.9</v>
      </c>
      <c r="AX66" s="2">
        <f t="shared" si="32"/>
        <v>0</v>
      </c>
      <c r="AY66" s="2">
        <f t="shared" si="32"/>
        <v>3990.9</v>
      </c>
      <c r="AZ66" s="2">
        <f t="shared" si="32"/>
        <v>0</v>
      </c>
      <c r="BA66" s="2">
        <f t="shared" si="32"/>
        <v>0</v>
      </c>
      <c r="BB66" s="2">
        <f t="shared" si="32"/>
        <v>0</v>
      </c>
      <c r="BC66" s="2">
        <f t="shared" si="32"/>
        <v>0</v>
      </c>
      <c r="BD66" s="2">
        <f t="shared" si="32"/>
        <v>0</v>
      </c>
      <c r="BE66" s="2">
        <f t="shared" si="32"/>
        <v>0</v>
      </c>
      <c r="BF66" s="2">
        <f t="shared" si="32"/>
        <v>0</v>
      </c>
      <c r="BG66" s="2">
        <f t="shared" si="32"/>
        <v>0</v>
      </c>
      <c r="BH66" s="2">
        <f t="shared" si="32"/>
        <v>0</v>
      </c>
      <c r="BI66" s="2">
        <f t="shared" si="32"/>
        <v>0</v>
      </c>
      <c r="BJ66" s="2">
        <f t="shared" si="32"/>
        <v>0</v>
      </c>
      <c r="BK66" s="2">
        <f t="shared" si="32"/>
        <v>0</v>
      </c>
      <c r="BL66" s="2">
        <f t="shared" si="32"/>
        <v>0</v>
      </c>
      <c r="BM66" s="2">
        <f t="shared" si="32"/>
        <v>0</v>
      </c>
      <c r="BN66" s="2">
        <f t="shared" si="32"/>
        <v>0</v>
      </c>
      <c r="BO66" s="2">
        <f t="shared" si="32"/>
        <v>0</v>
      </c>
      <c r="BP66" s="2">
        <f t="shared" si="32"/>
        <v>0</v>
      </c>
      <c r="BQ66" s="2">
        <f t="shared" si="32"/>
        <v>0</v>
      </c>
      <c r="BR66" s="2">
        <f t="shared" si="32"/>
        <v>0</v>
      </c>
      <c r="BS66" s="2">
        <f t="shared" si="32"/>
        <v>0</v>
      </c>
      <c r="BT66" s="2">
        <f t="shared" si="32"/>
        <v>0</v>
      </c>
      <c r="BU66" s="2">
        <f t="shared" si="32"/>
        <v>0</v>
      </c>
      <c r="BV66" s="2">
        <f t="shared" si="32"/>
        <v>0</v>
      </c>
      <c r="BW66" s="2">
        <f t="shared" si="32"/>
        <v>0</v>
      </c>
      <c r="BX66" s="2">
        <f t="shared" si="32"/>
        <v>0</v>
      </c>
      <c r="BY66" s="2">
        <f t="shared" si="32"/>
        <v>0</v>
      </c>
      <c r="BZ66" s="2">
        <f t="shared" si="32"/>
        <v>0</v>
      </c>
      <c r="CA66" s="2">
        <f t="shared" ref="CA66:DF66" si="33">CA92</f>
        <v>663889.4</v>
      </c>
      <c r="CB66" s="2">
        <f t="shared" si="33"/>
        <v>0</v>
      </c>
      <c r="CC66" s="2">
        <f t="shared" si="33"/>
        <v>0</v>
      </c>
      <c r="CD66" s="2">
        <f t="shared" si="33"/>
        <v>663889.4</v>
      </c>
      <c r="CE66" s="2">
        <f t="shared" si="33"/>
        <v>3990.9</v>
      </c>
      <c r="CF66" s="2">
        <f t="shared" si="33"/>
        <v>3990.9</v>
      </c>
      <c r="CG66" s="2">
        <f t="shared" si="33"/>
        <v>0</v>
      </c>
      <c r="CH66" s="2">
        <f t="shared" si="33"/>
        <v>3990.9</v>
      </c>
      <c r="CI66" s="2">
        <f t="shared" si="33"/>
        <v>0</v>
      </c>
      <c r="CJ66" s="2">
        <f t="shared" si="33"/>
        <v>0</v>
      </c>
      <c r="CK66" s="2">
        <f t="shared" si="33"/>
        <v>0</v>
      </c>
      <c r="CL66" s="2">
        <f t="shared" si="33"/>
        <v>0</v>
      </c>
      <c r="CM66" s="2">
        <f t="shared" si="33"/>
        <v>0</v>
      </c>
      <c r="CN66" s="2">
        <f t="shared" si="33"/>
        <v>0</v>
      </c>
      <c r="CO66" s="2">
        <f t="shared" si="33"/>
        <v>0</v>
      </c>
      <c r="CP66" s="2">
        <f t="shared" si="33"/>
        <v>0</v>
      </c>
      <c r="CQ66" s="2">
        <f t="shared" si="33"/>
        <v>0</v>
      </c>
      <c r="CR66" s="2">
        <f t="shared" si="33"/>
        <v>0</v>
      </c>
      <c r="CS66" s="2">
        <f t="shared" si="33"/>
        <v>0</v>
      </c>
      <c r="CT66" s="2">
        <f t="shared" si="33"/>
        <v>0</v>
      </c>
      <c r="CU66" s="2">
        <f t="shared" si="33"/>
        <v>0</v>
      </c>
      <c r="CV66" s="2">
        <f t="shared" si="33"/>
        <v>0</v>
      </c>
      <c r="CW66" s="2">
        <f t="shared" si="33"/>
        <v>0</v>
      </c>
      <c r="CX66" s="2">
        <f t="shared" si="33"/>
        <v>0</v>
      </c>
      <c r="CY66" s="2">
        <f t="shared" si="33"/>
        <v>0</v>
      </c>
      <c r="CZ66" s="2">
        <f t="shared" si="33"/>
        <v>0</v>
      </c>
      <c r="DA66" s="2">
        <f t="shared" si="33"/>
        <v>0</v>
      </c>
      <c r="DB66" s="2">
        <f t="shared" si="33"/>
        <v>0</v>
      </c>
      <c r="DC66" s="2">
        <f t="shared" si="33"/>
        <v>0</v>
      </c>
      <c r="DD66" s="2">
        <f t="shared" si="33"/>
        <v>0</v>
      </c>
      <c r="DE66" s="2">
        <f t="shared" si="33"/>
        <v>0</v>
      </c>
      <c r="DF66" s="2">
        <f t="shared" si="33"/>
        <v>0</v>
      </c>
      <c r="DG66" s="3">
        <f t="shared" ref="DG66:EL66" si="34">DG92</f>
        <v>0</v>
      </c>
      <c r="DH66" s="3">
        <f t="shared" si="34"/>
        <v>0</v>
      </c>
      <c r="DI66" s="3">
        <f t="shared" si="34"/>
        <v>0</v>
      </c>
      <c r="DJ66" s="3">
        <f t="shared" si="34"/>
        <v>0</v>
      </c>
      <c r="DK66" s="3">
        <f t="shared" si="34"/>
        <v>0</v>
      </c>
      <c r="DL66" s="3">
        <f t="shared" si="34"/>
        <v>0</v>
      </c>
      <c r="DM66" s="3">
        <f t="shared" si="34"/>
        <v>0</v>
      </c>
      <c r="DN66" s="3">
        <f t="shared" si="34"/>
        <v>0</v>
      </c>
      <c r="DO66" s="3">
        <f t="shared" si="34"/>
        <v>0</v>
      </c>
      <c r="DP66" s="3">
        <f t="shared" si="34"/>
        <v>0</v>
      </c>
      <c r="DQ66" s="3">
        <f t="shared" si="34"/>
        <v>0</v>
      </c>
      <c r="DR66" s="3">
        <f t="shared" si="34"/>
        <v>0</v>
      </c>
      <c r="DS66" s="3">
        <f t="shared" si="34"/>
        <v>0</v>
      </c>
      <c r="DT66" s="3">
        <f t="shared" si="34"/>
        <v>0</v>
      </c>
      <c r="DU66" s="3">
        <f t="shared" si="34"/>
        <v>0</v>
      </c>
      <c r="DV66" s="3">
        <f t="shared" si="34"/>
        <v>0</v>
      </c>
      <c r="DW66" s="3">
        <f t="shared" si="34"/>
        <v>0</v>
      </c>
      <c r="DX66" s="3">
        <f t="shared" si="34"/>
        <v>0</v>
      </c>
      <c r="DY66" s="3">
        <f t="shared" si="34"/>
        <v>0</v>
      </c>
      <c r="DZ66" s="3">
        <f t="shared" si="34"/>
        <v>0</v>
      </c>
      <c r="EA66" s="3">
        <f t="shared" si="34"/>
        <v>0</v>
      </c>
      <c r="EB66" s="3">
        <f t="shared" si="34"/>
        <v>0</v>
      </c>
      <c r="EC66" s="3">
        <f t="shared" si="34"/>
        <v>0</v>
      </c>
      <c r="ED66" s="3">
        <f t="shared" si="34"/>
        <v>0</v>
      </c>
      <c r="EE66" s="3">
        <f t="shared" si="34"/>
        <v>0</v>
      </c>
      <c r="EF66" s="3">
        <f t="shared" si="34"/>
        <v>0</v>
      </c>
      <c r="EG66" s="3">
        <f t="shared" si="34"/>
        <v>0</v>
      </c>
      <c r="EH66" s="3">
        <f t="shared" si="34"/>
        <v>0</v>
      </c>
      <c r="EI66" s="3">
        <f t="shared" si="34"/>
        <v>0</v>
      </c>
      <c r="EJ66" s="3">
        <f t="shared" si="34"/>
        <v>0</v>
      </c>
      <c r="EK66" s="3">
        <f t="shared" si="34"/>
        <v>0</v>
      </c>
      <c r="EL66" s="3">
        <f t="shared" si="34"/>
        <v>0</v>
      </c>
      <c r="EM66" s="3">
        <f t="shared" ref="EM66:FR66" si="35">EM92</f>
        <v>0</v>
      </c>
      <c r="EN66" s="3">
        <f t="shared" si="35"/>
        <v>0</v>
      </c>
      <c r="EO66" s="3">
        <f t="shared" si="35"/>
        <v>0</v>
      </c>
      <c r="EP66" s="3">
        <f t="shared" si="35"/>
        <v>0</v>
      </c>
      <c r="EQ66" s="3">
        <f t="shared" si="35"/>
        <v>0</v>
      </c>
      <c r="ER66" s="3">
        <f t="shared" si="35"/>
        <v>0</v>
      </c>
      <c r="ES66" s="3">
        <f t="shared" si="35"/>
        <v>0</v>
      </c>
      <c r="ET66" s="3">
        <f t="shared" si="35"/>
        <v>0</v>
      </c>
      <c r="EU66" s="3">
        <f t="shared" si="35"/>
        <v>0</v>
      </c>
      <c r="EV66" s="3">
        <f t="shared" si="35"/>
        <v>0</v>
      </c>
      <c r="EW66" s="3">
        <f t="shared" si="35"/>
        <v>0</v>
      </c>
      <c r="EX66" s="3">
        <f t="shared" si="35"/>
        <v>0</v>
      </c>
      <c r="EY66" s="3">
        <f t="shared" si="35"/>
        <v>0</v>
      </c>
      <c r="EZ66" s="3">
        <f t="shared" si="35"/>
        <v>0</v>
      </c>
      <c r="FA66" s="3">
        <f t="shared" si="35"/>
        <v>0</v>
      </c>
      <c r="FB66" s="3">
        <f t="shared" si="35"/>
        <v>0</v>
      </c>
      <c r="FC66" s="3">
        <f t="shared" si="35"/>
        <v>0</v>
      </c>
      <c r="FD66" s="3">
        <f t="shared" si="35"/>
        <v>0</v>
      </c>
      <c r="FE66" s="3">
        <f t="shared" si="35"/>
        <v>0</v>
      </c>
      <c r="FF66" s="3">
        <f t="shared" si="35"/>
        <v>0</v>
      </c>
      <c r="FG66" s="3">
        <f t="shared" si="35"/>
        <v>0</v>
      </c>
      <c r="FH66" s="3">
        <f t="shared" si="35"/>
        <v>0</v>
      </c>
      <c r="FI66" s="3">
        <f t="shared" si="35"/>
        <v>0</v>
      </c>
      <c r="FJ66" s="3">
        <f t="shared" si="35"/>
        <v>0</v>
      </c>
      <c r="FK66" s="3">
        <f t="shared" si="35"/>
        <v>0</v>
      </c>
      <c r="FL66" s="3">
        <f t="shared" si="35"/>
        <v>0</v>
      </c>
      <c r="FM66" s="3">
        <f t="shared" si="35"/>
        <v>0</v>
      </c>
      <c r="FN66" s="3">
        <f t="shared" si="35"/>
        <v>0</v>
      </c>
      <c r="FO66" s="3">
        <f t="shared" si="35"/>
        <v>0</v>
      </c>
      <c r="FP66" s="3">
        <f t="shared" si="35"/>
        <v>0</v>
      </c>
      <c r="FQ66" s="3">
        <f t="shared" si="35"/>
        <v>0</v>
      </c>
      <c r="FR66" s="3">
        <f t="shared" si="35"/>
        <v>0</v>
      </c>
      <c r="FS66" s="3">
        <f t="shared" ref="FS66:GX66" si="36">FS92</f>
        <v>0</v>
      </c>
      <c r="FT66" s="3">
        <f t="shared" si="36"/>
        <v>0</v>
      </c>
      <c r="FU66" s="3">
        <f t="shared" si="36"/>
        <v>0</v>
      </c>
      <c r="FV66" s="3">
        <f t="shared" si="36"/>
        <v>0</v>
      </c>
      <c r="FW66" s="3">
        <f t="shared" si="36"/>
        <v>0</v>
      </c>
      <c r="FX66" s="3">
        <f t="shared" si="36"/>
        <v>0</v>
      </c>
      <c r="FY66" s="3">
        <f t="shared" si="36"/>
        <v>0</v>
      </c>
      <c r="FZ66" s="3">
        <f t="shared" si="36"/>
        <v>0</v>
      </c>
      <c r="GA66" s="3">
        <f t="shared" si="36"/>
        <v>0</v>
      </c>
      <c r="GB66" s="3">
        <f t="shared" si="36"/>
        <v>0</v>
      </c>
      <c r="GC66" s="3">
        <f t="shared" si="36"/>
        <v>0</v>
      </c>
      <c r="GD66" s="3">
        <f t="shared" si="36"/>
        <v>0</v>
      </c>
      <c r="GE66" s="3">
        <f t="shared" si="36"/>
        <v>0</v>
      </c>
      <c r="GF66" s="3">
        <f t="shared" si="36"/>
        <v>0</v>
      </c>
      <c r="GG66" s="3">
        <f t="shared" si="36"/>
        <v>0</v>
      </c>
      <c r="GH66" s="3">
        <f t="shared" si="36"/>
        <v>0</v>
      </c>
      <c r="GI66" s="3">
        <f t="shared" si="36"/>
        <v>0</v>
      </c>
      <c r="GJ66" s="3">
        <f t="shared" si="36"/>
        <v>0</v>
      </c>
      <c r="GK66" s="3">
        <f t="shared" si="36"/>
        <v>0</v>
      </c>
      <c r="GL66" s="3">
        <f t="shared" si="36"/>
        <v>0</v>
      </c>
      <c r="GM66" s="3">
        <f t="shared" si="36"/>
        <v>0</v>
      </c>
      <c r="GN66" s="3">
        <f t="shared" si="36"/>
        <v>0</v>
      </c>
      <c r="GO66" s="3">
        <f t="shared" si="36"/>
        <v>0</v>
      </c>
      <c r="GP66" s="3">
        <f t="shared" si="36"/>
        <v>0</v>
      </c>
      <c r="GQ66" s="3">
        <f t="shared" si="36"/>
        <v>0</v>
      </c>
      <c r="GR66" s="3">
        <f t="shared" si="36"/>
        <v>0</v>
      </c>
      <c r="GS66" s="3">
        <f t="shared" si="36"/>
        <v>0</v>
      </c>
      <c r="GT66" s="3">
        <f t="shared" si="36"/>
        <v>0</v>
      </c>
      <c r="GU66" s="3">
        <f t="shared" si="36"/>
        <v>0</v>
      </c>
      <c r="GV66" s="3">
        <f t="shared" si="36"/>
        <v>0</v>
      </c>
      <c r="GW66" s="3">
        <f t="shared" si="36"/>
        <v>0</v>
      </c>
      <c r="GX66" s="3">
        <f t="shared" si="36"/>
        <v>0</v>
      </c>
    </row>
    <row r="68" spans="1:245" x14ac:dyDescent="0.2">
      <c r="A68">
        <v>17</v>
      </c>
      <c r="B68">
        <v>1</v>
      </c>
      <c r="C68">
        <f>ROW(SmtRes!A1)</f>
        <v>1</v>
      </c>
      <c r="D68">
        <f>ROW(EtalonRes!A1)</f>
        <v>1</v>
      </c>
      <c r="E68" t="s">
        <v>79</v>
      </c>
      <c r="F68" t="s">
        <v>80</v>
      </c>
      <c r="G68" t="s">
        <v>81</v>
      </c>
      <c r="H68" t="s">
        <v>18</v>
      </c>
      <c r="I68">
        <v>5</v>
      </c>
      <c r="J68">
        <v>0</v>
      </c>
      <c r="K68">
        <v>5</v>
      </c>
      <c r="O68">
        <f t="shared" ref="O68:O90" si="37">ROUND(CP68,2)</f>
        <v>23879.5</v>
      </c>
      <c r="P68">
        <f t="shared" ref="P68:P90" si="38">ROUND(CQ68*I68,2)</f>
        <v>0</v>
      </c>
      <c r="Q68">
        <f t="shared" ref="Q68:Q90" si="39">ROUND(CR68*I68,2)</f>
        <v>0</v>
      </c>
      <c r="R68">
        <f t="shared" ref="R68:R90" si="40">ROUND(CS68*I68,2)</f>
        <v>0</v>
      </c>
      <c r="S68">
        <f t="shared" ref="S68:S90" si="41">ROUND(CT68*I68,2)</f>
        <v>23879.5</v>
      </c>
      <c r="T68">
        <f t="shared" ref="T68:T90" si="42">ROUND(CU68*I68,2)</f>
        <v>0</v>
      </c>
      <c r="U68">
        <f t="shared" ref="U68:U90" si="43">CV68*I68</f>
        <v>46</v>
      </c>
      <c r="V68">
        <f t="shared" ref="V68:V90" si="44">CW68*I68</f>
        <v>0</v>
      </c>
      <c r="W68">
        <f t="shared" ref="W68:W90" si="45">ROUND(CX68*I68,2)</f>
        <v>0</v>
      </c>
      <c r="X68">
        <f t="shared" ref="X68:X90" si="46">ROUND(CY68,2)</f>
        <v>16715.650000000001</v>
      </c>
      <c r="Y68">
        <f t="shared" ref="Y68:Y90" si="47">ROUND(CZ68,2)</f>
        <v>2387.9499999999998</v>
      </c>
      <c r="AA68">
        <v>76395835</v>
      </c>
      <c r="AB68">
        <f t="shared" ref="AB68:AB90" si="48">ROUND((AC68+AD68+AF68),6)</f>
        <v>4775.8999999999996</v>
      </c>
      <c r="AC68">
        <f t="shared" ref="AC68:AC90" si="49">ROUND((ES68),6)</f>
        <v>0</v>
      </c>
      <c r="AD68">
        <f t="shared" ref="AD68:AD90" si="50">ROUND((((ET68)-(EU68))+AE68),6)</f>
        <v>0</v>
      </c>
      <c r="AE68">
        <f t="shared" ref="AE68:AE90" si="51">ROUND((EU68),6)</f>
        <v>0</v>
      </c>
      <c r="AF68">
        <f t="shared" ref="AF68:AF90" si="52">ROUND((EV68),6)</f>
        <v>4775.8999999999996</v>
      </c>
      <c r="AG68">
        <f t="shared" ref="AG68:AG90" si="53">ROUND((AP68),6)</f>
        <v>0</v>
      </c>
      <c r="AH68">
        <f t="shared" ref="AH68:AH90" si="54">(EW68)</f>
        <v>9.1999999999999993</v>
      </c>
      <c r="AI68">
        <f t="shared" ref="AI68:AI90" si="55">(EX68)</f>
        <v>0</v>
      </c>
      <c r="AJ68">
        <f t="shared" ref="AJ68:AJ90" si="56">(AS68)</f>
        <v>0</v>
      </c>
      <c r="AK68">
        <v>4775.8999999999996</v>
      </c>
      <c r="AL68">
        <v>0</v>
      </c>
      <c r="AM68">
        <v>0</v>
      </c>
      <c r="AN68">
        <v>0</v>
      </c>
      <c r="AO68">
        <v>4775.8999999999996</v>
      </c>
      <c r="AP68">
        <v>0</v>
      </c>
      <c r="AQ68">
        <v>9.1999999999999993</v>
      </c>
      <c r="AR68">
        <v>0</v>
      </c>
      <c r="AS68">
        <v>0</v>
      </c>
      <c r="AT68">
        <v>70</v>
      </c>
      <c r="AU68">
        <v>10</v>
      </c>
      <c r="AV68">
        <v>1</v>
      </c>
      <c r="AW68">
        <v>1</v>
      </c>
      <c r="AZ68">
        <v>1</v>
      </c>
      <c r="BA68">
        <v>1</v>
      </c>
      <c r="BB68">
        <v>1</v>
      </c>
      <c r="BC68">
        <v>1</v>
      </c>
      <c r="BD68" t="s">
        <v>3</v>
      </c>
      <c r="BE68" t="s">
        <v>3</v>
      </c>
      <c r="BF68" t="s">
        <v>3</v>
      </c>
      <c r="BG68" t="s">
        <v>3</v>
      </c>
      <c r="BH68">
        <v>0</v>
      </c>
      <c r="BI68">
        <v>4</v>
      </c>
      <c r="BJ68" t="s">
        <v>82</v>
      </c>
      <c r="BM68">
        <v>0</v>
      </c>
      <c r="BN68">
        <v>0</v>
      </c>
      <c r="BO68" t="s">
        <v>3</v>
      </c>
      <c r="BP68">
        <v>0</v>
      </c>
      <c r="BQ68">
        <v>1</v>
      </c>
      <c r="BR68">
        <v>0</v>
      </c>
      <c r="BS68">
        <v>1</v>
      </c>
      <c r="BT68">
        <v>1</v>
      </c>
      <c r="BU68">
        <v>1</v>
      </c>
      <c r="BV68">
        <v>1</v>
      </c>
      <c r="BW68">
        <v>1</v>
      </c>
      <c r="BX68">
        <v>1</v>
      </c>
      <c r="BY68" t="s">
        <v>3</v>
      </c>
      <c r="BZ68">
        <v>70</v>
      </c>
      <c r="CA68">
        <v>10</v>
      </c>
      <c r="CB68" t="s">
        <v>3</v>
      </c>
      <c r="CE68">
        <v>0</v>
      </c>
      <c r="CF68">
        <v>0</v>
      </c>
      <c r="CG68">
        <v>0</v>
      </c>
      <c r="CM68">
        <v>0</v>
      </c>
      <c r="CN68" t="s">
        <v>3</v>
      </c>
      <c r="CO68">
        <v>0</v>
      </c>
      <c r="CP68">
        <f t="shared" ref="CP68:CP90" si="57">(P68+Q68+S68)</f>
        <v>23879.5</v>
      </c>
      <c r="CQ68">
        <f t="shared" ref="CQ68:CQ90" si="58">(AC68*BC68*AW68)</f>
        <v>0</v>
      </c>
      <c r="CR68">
        <f t="shared" ref="CR68:CR90" si="59">((((ET68)*BB68-(EU68)*BS68)+AE68*BS68)*AV68)</f>
        <v>0</v>
      </c>
      <c r="CS68">
        <f t="shared" ref="CS68:CS90" si="60">(AE68*BS68*AV68)</f>
        <v>0</v>
      </c>
      <c r="CT68">
        <f t="shared" ref="CT68:CT90" si="61">(AF68*BA68*AV68)</f>
        <v>4775.8999999999996</v>
      </c>
      <c r="CU68">
        <f t="shared" ref="CU68:CU90" si="62">AG68</f>
        <v>0</v>
      </c>
      <c r="CV68">
        <f t="shared" ref="CV68:CV90" si="63">(AH68*AV68)</f>
        <v>9.1999999999999993</v>
      </c>
      <c r="CW68">
        <f t="shared" ref="CW68:CW90" si="64">AI68</f>
        <v>0</v>
      </c>
      <c r="CX68">
        <f t="shared" ref="CX68:CX90" si="65">AJ68</f>
        <v>0</v>
      </c>
      <c r="CY68">
        <f t="shared" ref="CY68:CY90" si="66">((S68*BZ68)/100)</f>
        <v>16715.650000000001</v>
      </c>
      <c r="CZ68">
        <f t="shared" ref="CZ68:CZ90" si="67">((S68*CA68)/100)</f>
        <v>2387.9499999999998</v>
      </c>
      <c r="DC68" t="s">
        <v>3</v>
      </c>
      <c r="DD68" t="s">
        <v>3</v>
      </c>
      <c r="DE68" t="s">
        <v>3</v>
      </c>
      <c r="DF68" t="s">
        <v>3</v>
      </c>
      <c r="DG68" t="s">
        <v>3</v>
      </c>
      <c r="DH68" t="s">
        <v>3</v>
      </c>
      <c r="DI68" t="s">
        <v>3</v>
      </c>
      <c r="DJ68" t="s">
        <v>3</v>
      </c>
      <c r="DK68" t="s">
        <v>3</v>
      </c>
      <c r="DL68" t="s">
        <v>3</v>
      </c>
      <c r="DM68" t="s">
        <v>3</v>
      </c>
      <c r="DN68">
        <v>0</v>
      </c>
      <c r="DO68">
        <v>0</v>
      </c>
      <c r="DP68">
        <v>1</v>
      </c>
      <c r="DQ68">
        <v>1</v>
      </c>
      <c r="DU68">
        <v>1010</v>
      </c>
      <c r="DV68" t="s">
        <v>18</v>
      </c>
      <c r="DW68" t="s">
        <v>18</v>
      </c>
      <c r="DX68">
        <v>1</v>
      </c>
      <c r="DZ68" t="s">
        <v>3</v>
      </c>
      <c r="EA68" t="s">
        <v>3</v>
      </c>
      <c r="EB68" t="s">
        <v>3</v>
      </c>
      <c r="EC68" t="s">
        <v>3</v>
      </c>
      <c r="EE68">
        <v>75858748</v>
      </c>
      <c r="EF68">
        <v>1</v>
      </c>
      <c r="EG68" t="s">
        <v>19</v>
      </c>
      <c r="EH68">
        <v>0</v>
      </c>
      <c r="EI68" t="s">
        <v>3</v>
      </c>
      <c r="EJ68">
        <v>4</v>
      </c>
      <c r="EK68">
        <v>0</v>
      </c>
      <c r="EL68" t="s">
        <v>20</v>
      </c>
      <c r="EM68" t="s">
        <v>21</v>
      </c>
      <c r="EO68" t="s">
        <v>3</v>
      </c>
      <c r="EQ68">
        <v>0</v>
      </c>
      <c r="ER68">
        <v>4775.8999999999996</v>
      </c>
      <c r="ES68">
        <v>0</v>
      </c>
      <c r="ET68">
        <v>0</v>
      </c>
      <c r="EU68">
        <v>0</v>
      </c>
      <c r="EV68">
        <v>4775.8999999999996</v>
      </c>
      <c r="EW68">
        <v>9.1999999999999993</v>
      </c>
      <c r="EX68">
        <v>0</v>
      </c>
      <c r="EY68">
        <v>0</v>
      </c>
      <c r="FQ68">
        <v>0</v>
      </c>
      <c r="FR68">
        <v>0</v>
      </c>
      <c r="FS68">
        <v>0</v>
      </c>
      <c r="FX68">
        <v>70</v>
      </c>
      <c r="FY68">
        <v>10</v>
      </c>
      <c r="GA68" t="s">
        <v>3</v>
      </c>
      <c r="GD68">
        <v>0</v>
      </c>
      <c r="GF68">
        <v>-667710650</v>
      </c>
      <c r="GG68">
        <v>2</v>
      </c>
      <c r="GH68">
        <v>1</v>
      </c>
      <c r="GI68">
        <v>-2</v>
      </c>
      <c r="GJ68">
        <v>0</v>
      </c>
      <c r="GK68">
        <f>ROUND(R68*(R12)/100,2)</f>
        <v>0</v>
      </c>
      <c r="GL68">
        <f t="shared" ref="GL68:GL90" si="68">ROUND(IF(AND(BH68=3,BI68=3,FS68&lt;&gt;0),P68,0),2)</f>
        <v>0</v>
      </c>
      <c r="GM68">
        <f t="shared" ref="GM68:GM90" si="69">ROUND(O68+X68+Y68+GK68,2)+GX68</f>
        <v>42983.1</v>
      </c>
      <c r="GN68">
        <f t="shared" ref="GN68:GN90" si="70">IF(OR(BI68=0,BI68=1),GM68-GX68,0)</f>
        <v>0</v>
      </c>
      <c r="GO68">
        <f t="shared" ref="GO68:GO90" si="71">IF(BI68=2,GM68-GX68,0)</f>
        <v>0</v>
      </c>
      <c r="GP68">
        <f t="shared" ref="GP68:GP90" si="72">IF(BI68=4,GM68-GX68,0)</f>
        <v>42983.1</v>
      </c>
      <c r="GR68">
        <v>0</v>
      </c>
      <c r="GS68">
        <v>0</v>
      </c>
      <c r="GT68">
        <v>0</v>
      </c>
      <c r="GU68" t="s">
        <v>3</v>
      </c>
      <c r="GV68">
        <f t="shared" ref="GV68:GV90" si="73">ROUND((GT68),6)</f>
        <v>0</v>
      </c>
      <c r="GW68">
        <v>1</v>
      </c>
      <c r="GX68">
        <f t="shared" ref="GX68:GX90" si="74">ROUND(HC68*I68,2)</f>
        <v>0</v>
      </c>
      <c r="HA68">
        <v>0</v>
      </c>
      <c r="HB68">
        <v>0</v>
      </c>
      <c r="HC68">
        <f t="shared" ref="HC68:HC90" si="75">GV68*GW68</f>
        <v>0</v>
      </c>
      <c r="HE68" t="s">
        <v>3</v>
      </c>
      <c r="HF68" t="s">
        <v>3</v>
      </c>
      <c r="HM68" t="s">
        <v>3</v>
      </c>
      <c r="HN68" t="s">
        <v>3</v>
      </c>
      <c r="HO68" t="s">
        <v>3</v>
      </c>
      <c r="HP68" t="s">
        <v>3</v>
      </c>
      <c r="HQ68" t="s">
        <v>3</v>
      </c>
      <c r="HS68">
        <v>0</v>
      </c>
      <c r="IK68">
        <v>0</v>
      </c>
    </row>
    <row r="69" spans="1:245" x14ac:dyDescent="0.2">
      <c r="A69">
        <v>17</v>
      </c>
      <c r="B69">
        <v>1</v>
      </c>
      <c r="C69">
        <f>ROW(SmtRes!A2)</f>
        <v>2</v>
      </c>
      <c r="D69">
        <f>ROW(EtalonRes!A2)</f>
        <v>2</v>
      </c>
      <c r="E69" t="s">
        <v>83</v>
      </c>
      <c r="F69" t="s">
        <v>84</v>
      </c>
      <c r="G69" t="s">
        <v>85</v>
      </c>
      <c r="H69" t="s">
        <v>18</v>
      </c>
      <c r="I69">
        <v>2</v>
      </c>
      <c r="J69">
        <v>0</v>
      </c>
      <c r="K69">
        <v>2</v>
      </c>
      <c r="O69">
        <f t="shared" si="37"/>
        <v>622.94000000000005</v>
      </c>
      <c r="P69">
        <f t="shared" si="38"/>
        <v>0</v>
      </c>
      <c r="Q69">
        <f t="shared" si="39"/>
        <v>0</v>
      </c>
      <c r="R69">
        <f t="shared" si="40"/>
        <v>0</v>
      </c>
      <c r="S69">
        <f t="shared" si="41"/>
        <v>622.94000000000005</v>
      </c>
      <c r="T69">
        <f t="shared" si="42"/>
        <v>0</v>
      </c>
      <c r="U69">
        <f t="shared" si="43"/>
        <v>1.2</v>
      </c>
      <c r="V69">
        <f t="shared" si="44"/>
        <v>0</v>
      </c>
      <c r="W69">
        <f t="shared" si="45"/>
        <v>0</v>
      </c>
      <c r="X69">
        <f t="shared" si="46"/>
        <v>436.06</v>
      </c>
      <c r="Y69">
        <f t="shared" si="47"/>
        <v>62.29</v>
      </c>
      <c r="AA69">
        <v>76395835</v>
      </c>
      <c r="AB69">
        <f t="shared" si="48"/>
        <v>311.47000000000003</v>
      </c>
      <c r="AC69">
        <f t="shared" si="49"/>
        <v>0</v>
      </c>
      <c r="AD69">
        <f t="shared" si="50"/>
        <v>0</v>
      </c>
      <c r="AE69">
        <f t="shared" si="51"/>
        <v>0</v>
      </c>
      <c r="AF69">
        <f t="shared" si="52"/>
        <v>311.47000000000003</v>
      </c>
      <c r="AG69">
        <f t="shared" si="53"/>
        <v>0</v>
      </c>
      <c r="AH69">
        <f t="shared" si="54"/>
        <v>0.6</v>
      </c>
      <c r="AI69">
        <f t="shared" si="55"/>
        <v>0</v>
      </c>
      <c r="AJ69">
        <f t="shared" si="56"/>
        <v>0</v>
      </c>
      <c r="AK69">
        <v>311.47000000000003</v>
      </c>
      <c r="AL69">
        <v>0</v>
      </c>
      <c r="AM69">
        <v>0</v>
      </c>
      <c r="AN69">
        <v>0</v>
      </c>
      <c r="AO69">
        <v>311.47000000000003</v>
      </c>
      <c r="AP69">
        <v>0</v>
      </c>
      <c r="AQ69">
        <v>0.6</v>
      </c>
      <c r="AR69">
        <v>0</v>
      </c>
      <c r="AS69">
        <v>0</v>
      </c>
      <c r="AT69">
        <v>70</v>
      </c>
      <c r="AU69">
        <v>10</v>
      </c>
      <c r="AV69">
        <v>1</v>
      </c>
      <c r="AW69">
        <v>1</v>
      </c>
      <c r="AZ69">
        <v>1</v>
      </c>
      <c r="BA69">
        <v>1</v>
      </c>
      <c r="BB69">
        <v>1</v>
      </c>
      <c r="BC69">
        <v>1</v>
      </c>
      <c r="BD69" t="s">
        <v>3</v>
      </c>
      <c r="BE69" t="s">
        <v>3</v>
      </c>
      <c r="BF69" t="s">
        <v>3</v>
      </c>
      <c r="BG69" t="s">
        <v>3</v>
      </c>
      <c r="BH69">
        <v>0</v>
      </c>
      <c r="BI69">
        <v>4</v>
      </c>
      <c r="BJ69" t="s">
        <v>86</v>
      </c>
      <c r="BM69">
        <v>0</v>
      </c>
      <c r="BN69">
        <v>0</v>
      </c>
      <c r="BO69" t="s">
        <v>3</v>
      </c>
      <c r="BP69">
        <v>0</v>
      </c>
      <c r="BQ69">
        <v>1</v>
      </c>
      <c r="BR69">
        <v>0</v>
      </c>
      <c r="BS69">
        <v>1</v>
      </c>
      <c r="BT69">
        <v>1</v>
      </c>
      <c r="BU69">
        <v>1</v>
      </c>
      <c r="BV69">
        <v>1</v>
      </c>
      <c r="BW69">
        <v>1</v>
      </c>
      <c r="BX69">
        <v>1</v>
      </c>
      <c r="BY69" t="s">
        <v>3</v>
      </c>
      <c r="BZ69">
        <v>70</v>
      </c>
      <c r="CA69">
        <v>10</v>
      </c>
      <c r="CB69" t="s">
        <v>3</v>
      </c>
      <c r="CE69">
        <v>0</v>
      </c>
      <c r="CF69">
        <v>0</v>
      </c>
      <c r="CG69">
        <v>0</v>
      </c>
      <c r="CM69">
        <v>0</v>
      </c>
      <c r="CN69" t="s">
        <v>3</v>
      </c>
      <c r="CO69">
        <v>0</v>
      </c>
      <c r="CP69">
        <f t="shared" si="57"/>
        <v>622.94000000000005</v>
      </c>
      <c r="CQ69">
        <f t="shared" si="58"/>
        <v>0</v>
      </c>
      <c r="CR69">
        <f t="shared" si="59"/>
        <v>0</v>
      </c>
      <c r="CS69">
        <f t="shared" si="60"/>
        <v>0</v>
      </c>
      <c r="CT69">
        <f t="shared" si="61"/>
        <v>311.47000000000003</v>
      </c>
      <c r="CU69">
        <f t="shared" si="62"/>
        <v>0</v>
      </c>
      <c r="CV69">
        <f t="shared" si="63"/>
        <v>0.6</v>
      </c>
      <c r="CW69">
        <f t="shared" si="64"/>
        <v>0</v>
      </c>
      <c r="CX69">
        <f t="shared" si="65"/>
        <v>0</v>
      </c>
      <c r="CY69">
        <f t="shared" si="66"/>
        <v>436.05800000000005</v>
      </c>
      <c r="CZ69">
        <f t="shared" si="67"/>
        <v>62.294000000000004</v>
      </c>
      <c r="DC69" t="s">
        <v>3</v>
      </c>
      <c r="DD69" t="s">
        <v>3</v>
      </c>
      <c r="DE69" t="s">
        <v>3</v>
      </c>
      <c r="DF69" t="s">
        <v>3</v>
      </c>
      <c r="DG69" t="s">
        <v>3</v>
      </c>
      <c r="DH69" t="s">
        <v>3</v>
      </c>
      <c r="DI69" t="s">
        <v>3</v>
      </c>
      <c r="DJ69" t="s">
        <v>3</v>
      </c>
      <c r="DK69" t="s">
        <v>3</v>
      </c>
      <c r="DL69" t="s">
        <v>3</v>
      </c>
      <c r="DM69" t="s">
        <v>3</v>
      </c>
      <c r="DN69">
        <v>0</v>
      </c>
      <c r="DO69">
        <v>0</v>
      </c>
      <c r="DP69">
        <v>1</v>
      </c>
      <c r="DQ69">
        <v>1</v>
      </c>
      <c r="DU69">
        <v>1010</v>
      </c>
      <c r="DV69" t="s">
        <v>18</v>
      </c>
      <c r="DW69" t="s">
        <v>18</v>
      </c>
      <c r="DX69">
        <v>1</v>
      </c>
      <c r="DZ69" t="s">
        <v>3</v>
      </c>
      <c r="EA69" t="s">
        <v>3</v>
      </c>
      <c r="EB69" t="s">
        <v>3</v>
      </c>
      <c r="EC69" t="s">
        <v>3</v>
      </c>
      <c r="EE69">
        <v>75858748</v>
      </c>
      <c r="EF69">
        <v>1</v>
      </c>
      <c r="EG69" t="s">
        <v>19</v>
      </c>
      <c r="EH69">
        <v>0</v>
      </c>
      <c r="EI69" t="s">
        <v>3</v>
      </c>
      <c r="EJ69">
        <v>4</v>
      </c>
      <c r="EK69">
        <v>0</v>
      </c>
      <c r="EL69" t="s">
        <v>20</v>
      </c>
      <c r="EM69" t="s">
        <v>21</v>
      </c>
      <c r="EO69" t="s">
        <v>3</v>
      </c>
      <c r="EQ69">
        <v>0</v>
      </c>
      <c r="ER69">
        <v>311.47000000000003</v>
      </c>
      <c r="ES69">
        <v>0</v>
      </c>
      <c r="ET69">
        <v>0</v>
      </c>
      <c r="EU69">
        <v>0</v>
      </c>
      <c r="EV69">
        <v>311.47000000000003</v>
      </c>
      <c r="EW69">
        <v>0.6</v>
      </c>
      <c r="EX69">
        <v>0</v>
      </c>
      <c r="EY69">
        <v>0</v>
      </c>
      <c r="FQ69">
        <v>0</v>
      </c>
      <c r="FR69">
        <v>0</v>
      </c>
      <c r="FS69">
        <v>0</v>
      </c>
      <c r="FX69">
        <v>70</v>
      </c>
      <c r="FY69">
        <v>10</v>
      </c>
      <c r="GA69" t="s">
        <v>3</v>
      </c>
      <c r="GD69">
        <v>0</v>
      </c>
      <c r="GF69">
        <v>515298812</v>
      </c>
      <c r="GG69">
        <v>2</v>
      </c>
      <c r="GH69">
        <v>1</v>
      </c>
      <c r="GI69">
        <v>-2</v>
      </c>
      <c r="GJ69">
        <v>0</v>
      </c>
      <c r="GK69">
        <f>ROUND(R69*(R12)/100,2)</f>
        <v>0</v>
      </c>
      <c r="GL69">
        <f t="shared" si="68"/>
        <v>0</v>
      </c>
      <c r="GM69">
        <f t="shared" si="69"/>
        <v>1121.29</v>
      </c>
      <c r="GN69">
        <f t="shared" si="70"/>
        <v>0</v>
      </c>
      <c r="GO69">
        <f t="shared" si="71"/>
        <v>0</v>
      </c>
      <c r="GP69">
        <f t="shared" si="72"/>
        <v>1121.29</v>
      </c>
      <c r="GR69">
        <v>0</v>
      </c>
      <c r="GS69">
        <v>3</v>
      </c>
      <c r="GT69">
        <v>0</v>
      </c>
      <c r="GU69" t="s">
        <v>3</v>
      </c>
      <c r="GV69">
        <f t="shared" si="73"/>
        <v>0</v>
      </c>
      <c r="GW69">
        <v>1</v>
      </c>
      <c r="GX69">
        <f t="shared" si="74"/>
        <v>0</v>
      </c>
      <c r="HA69">
        <v>0</v>
      </c>
      <c r="HB69">
        <v>0</v>
      </c>
      <c r="HC69">
        <f t="shared" si="75"/>
        <v>0</v>
      </c>
      <c r="HE69" t="s">
        <v>3</v>
      </c>
      <c r="HF69" t="s">
        <v>3</v>
      </c>
      <c r="HM69" t="s">
        <v>3</v>
      </c>
      <c r="HN69" t="s">
        <v>3</v>
      </c>
      <c r="HO69" t="s">
        <v>3</v>
      </c>
      <c r="HP69" t="s">
        <v>3</v>
      </c>
      <c r="HQ69" t="s">
        <v>3</v>
      </c>
      <c r="HS69">
        <v>0</v>
      </c>
      <c r="IK69">
        <v>0</v>
      </c>
    </row>
    <row r="70" spans="1:245" x14ac:dyDescent="0.2">
      <c r="A70">
        <v>17</v>
      </c>
      <c r="B70">
        <v>1</v>
      </c>
      <c r="C70">
        <f>ROW(SmtRes!A5)</f>
        <v>5</v>
      </c>
      <c r="D70">
        <f>ROW(EtalonRes!A5)</f>
        <v>5</v>
      </c>
      <c r="E70" t="s">
        <v>87</v>
      </c>
      <c r="F70" t="s">
        <v>88</v>
      </c>
      <c r="G70" t="s">
        <v>89</v>
      </c>
      <c r="H70" t="s">
        <v>18</v>
      </c>
      <c r="I70">
        <v>1</v>
      </c>
      <c r="J70">
        <v>0</v>
      </c>
      <c r="K70">
        <v>1</v>
      </c>
      <c r="O70">
        <f t="shared" si="37"/>
        <v>1562.14</v>
      </c>
      <c r="P70">
        <f t="shared" si="38"/>
        <v>0</v>
      </c>
      <c r="Q70">
        <f t="shared" si="39"/>
        <v>64.08</v>
      </c>
      <c r="R70">
        <f t="shared" si="40"/>
        <v>0.2</v>
      </c>
      <c r="S70">
        <f t="shared" si="41"/>
        <v>1498.06</v>
      </c>
      <c r="T70">
        <f t="shared" si="42"/>
        <v>0</v>
      </c>
      <c r="U70">
        <f t="shared" si="43"/>
        <v>2.2999999999999998</v>
      </c>
      <c r="V70">
        <f t="shared" si="44"/>
        <v>0</v>
      </c>
      <c r="W70">
        <f t="shared" si="45"/>
        <v>0</v>
      </c>
      <c r="X70">
        <f t="shared" si="46"/>
        <v>1048.6400000000001</v>
      </c>
      <c r="Y70">
        <f t="shared" si="47"/>
        <v>149.81</v>
      </c>
      <c r="AA70">
        <v>76395835</v>
      </c>
      <c r="AB70">
        <f t="shared" si="48"/>
        <v>1562.14</v>
      </c>
      <c r="AC70">
        <f t="shared" si="49"/>
        <v>0</v>
      </c>
      <c r="AD70">
        <f t="shared" si="50"/>
        <v>64.08</v>
      </c>
      <c r="AE70">
        <f t="shared" si="51"/>
        <v>0.2</v>
      </c>
      <c r="AF70">
        <f t="shared" si="52"/>
        <v>1498.06</v>
      </c>
      <c r="AG70">
        <f t="shared" si="53"/>
        <v>0</v>
      </c>
      <c r="AH70">
        <f t="shared" si="54"/>
        <v>2.2999999999999998</v>
      </c>
      <c r="AI70">
        <f t="shared" si="55"/>
        <v>0</v>
      </c>
      <c r="AJ70">
        <f t="shared" si="56"/>
        <v>0</v>
      </c>
      <c r="AK70">
        <v>1562.14</v>
      </c>
      <c r="AL70">
        <v>0</v>
      </c>
      <c r="AM70">
        <v>64.08</v>
      </c>
      <c r="AN70">
        <v>0.2</v>
      </c>
      <c r="AO70">
        <v>1498.06</v>
      </c>
      <c r="AP70">
        <v>0</v>
      </c>
      <c r="AQ70">
        <v>2.2999999999999998</v>
      </c>
      <c r="AR70">
        <v>0</v>
      </c>
      <c r="AS70">
        <v>0</v>
      </c>
      <c r="AT70">
        <v>70</v>
      </c>
      <c r="AU70">
        <v>10</v>
      </c>
      <c r="AV70">
        <v>1</v>
      </c>
      <c r="AW70">
        <v>1</v>
      </c>
      <c r="AZ70">
        <v>1</v>
      </c>
      <c r="BA70">
        <v>1</v>
      </c>
      <c r="BB70">
        <v>1</v>
      </c>
      <c r="BC70">
        <v>1</v>
      </c>
      <c r="BD70" t="s">
        <v>3</v>
      </c>
      <c r="BE70" t="s">
        <v>3</v>
      </c>
      <c r="BF70" t="s">
        <v>3</v>
      </c>
      <c r="BG70" t="s">
        <v>3</v>
      </c>
      <c r="BH70">
        <v>0</v>
      </c>
      <c r="BI70">
        <v>4</v>
      </c>
      <c r="BJ70" t="s">
        <v>90</v>
      </c>
      <c r="BM70">
        <v>0</v>
      </c>
      <c r="BN70">
        <v>0</v>
      </c>
      <c r="BO70" t="s">
        <v>3</v>
      </c>
      <c r="BP70">
        <v>0</v>
      </c>
      <c r="BQ70">
        <v>1</v>
      </c>
      <c r="BR70">
        <v>0</v>
      </c>
      <c r="BS70">
        <v>1</v>
      </c>
      <c r="BT70">
        <v>1</v>
      </c>
      <c r="BU70">
        <v>1</v>
      </c>
      <c r="BV70">
        <v>1</v>
      </c>
      <c r="BW70">
        <v>1</v>
      </c>
      <c r="BX70">
        <v>1</v>
      </c>
      <c r="BY70" t="s">
        <v>3</v>
      </c>
      <c r="BZ70">
        <v>70</v>
      </c>
      <c r="CA70">
        <v>10</v>
      </c>
      <c r="CB70" t="s">
        <v>3</v>
      </c>
      <c r="CE70">
        <v>0</v>
      </c>
      <c r="CF70">
        <v>0</v>
      </c>
      <c r="CG70">
        <v>0</v>
      </c>
      <c r="CM70">
        <v>0</v>
      </c>
      <c r="CN70" t="s">
        <v>3</v>
      </c>
      <c r="CO70">
        <v>0</v>
      </c>
      <c r="CP70">
        <f t="shared" si="57"/>
        <v>1562.1399999999999</v>
      </c>
      <c r="CQ70">
        <f t="shared" si="58"/>
        <v>0</v>
      </c>
      <c r="CR70">
        <f t="shared" si="59"/>
        <v>64.08</v>
      </c>
      <c r="CS70">
        <f t="shared" si="60"/>
        <v>0.2</v>
      </c>
      <c r="CT70">
        <f t="shared" si="61"/>
        <v>1498.06</v>
      </c>
      <c r="CU70">
        <f t="shared" si="62"/>
        <v>0</v>
      </c>
      <c r="CV70">
        <f t="shared" si="63"/>
        <v>2.2999999999999998</v>
      </c>
      <c r="CW70">
        <f t="shared" si="64"/>
        <v>0</v>
      </c>
      <c r="CX70">
        <f t="shared" si="65"/>
        <v>0</v>
      </c>
      <c r="CY70">
        <f t="shared" si="66"/>
        <v>1048.6420000000001</v>
      </c>
      <c r="CZ70">
        <f t="shared" si="67"/>
        <v>149.80599999999998</v>
      </c>
      <c r="DC70" t="s">
        <v>3</v>
      </c>
      <c r="DD70" t="s">
        <v>3</v>
      </c>
      <c r="DE70" t="s">
        <v>3</v>
      </c>
      <c r="DF70" t="s">
        <v>3</v>
      </c>
      <c r="DG70" t="s">
        <v>3</v>
      </c>
      <c r="DH70" t="s">
        <v>3</v>
      </c>
      <c r="DI70" t="s">
        <v>3</v>
      </c>
      <c r="DJ70" t="s">
        <v>3</v>
      </c>
      <c r="DK70" t="s">
        <v>3</v>
      </c>
      <c r="DL70" t="s">
        <v>3</v>
      </c>
      <c r="DM70" t="s">
        <v>3</v>
      </c>
      <c r="DN70">
        <v>0</v>
      </c>
      <c r="DO70">
        <v>0</v>
      </c>
      <c r="DP70">
        <v>1</v>
      </c>
      <c r="DQ70">
        <v>1</v>
      </c>
      <c r="DU70">
        <v>1010</v>
      </c>
      <c r="DV70" t="s">
        <v>18</v>
      </c>
      <c r="DW70" t="s">
        <v>18</v>
      </c>
      <c r="DX70">
        <v>1</v>
      </c>
      <c r="DZ70" t="s">
        <v>3</v>
      </c>
      <c r="EA70" t="s">
        <v>3</v>
      </c>
      <c r="EB70" t="s">
        <v>3</v>
      </c>
      <c r="EC70" t="s">
        <v>3</v>
      </c>
      <c r="EE70">
        <v>75858748</v>
      </c>
      <c r="EF70">
        <v>1</v>
      </c>
      <c r="EG70" t="s">
        <v>19</v>
      </c>
      <c r="EH70">
        <v>0</v>
      </c>
      <c r="EI70" t="s">
        <v>3</v>
      </c>
      <c r="EJ70">
        <v>4</v>
      </c>
      <c r="EK70">
        <v>0</v>
      </c>
      <c r="EL70" t="s">
        <v>20</v>
      </c>
      <c r="EM70" t="s">
        <v>21</v>
      </c>
      <c r="EO70" t="s">
        <v>3</v>
      </c>
      <c r="EQ70">
        <v>0</v>
      </c>
      <c r="ER70">
        <v>1562.14</v>
      </c>
      <c r="ES70">
        <v>0</v>
      </c>
      <c r="ET70">
        <v>64.08</v>
      </c>
      <c r="EU70">
        <v>0.2</v>
      </c>
      <c r="EV70">
        <v>1498.06</v>
      </c>
      <c r="EW70">
        <v>2.2999999999999998</v>
      </c>
      <c r="EX70">
        <v>0</v>
      </c>
      <c r="EY70">
        <v>0</v>
      </c>
      <c r="FQ70">
        <v>0</v>
      </c>
      <c r="FR70">
        <v>0</v>
      </c>
      <c r="FS70">
        <v>0</v>
      </c>
      <c r="FX70">
        <v>70</v>
      </c>
      <c r="FY70">
        <v>10</v>
      </c>
      <c r="GA70" t="s">
        <v>3</v>
      </c>
      <c r="GD70">
        <v>0</v>
      </c>
      <c r="GF70">
        <v>-879637230</v>
      </c>
      <c r="GG70">
        <v>2</v>
      </c>
      <c r="GH70">
        <v>1</v>
      </c>
      <c r="GI70">
        <v>-2</v>
      </c>
      <c r="GJ70">
        <v>0</v>
      </c>
      <c r="GK70">
        <f>ROUND(R70*(R12)/100,2)</f>
        <v>0.22</v>
      </c>
      <c r="GL70">
        <f t="shared" si="68"/>
        <v>0</v>
      </c>
      <c r="GM70">
        <f t="shared" si="69"/>
        <v>2760.81</v>
      </c>
      <c r="GN70">
        <f t="shared" si="70"/>
        <v>0</v>
      </c>
      <c r="GO70">
        <f t="shared" si="71"/>
        <v>0</v>
      </c>
      <c r="GP70">
        <f t="shared" si="72"/>
        <v>2760.81</v>
      </c>
      <c r="GR70">
        <v>0</v>
      </c>
      <c r="GS70">
        <v>3</v>
      </c>
      <c r="GT70">
        <v>0</v>
      </c>
      <c r="GU70" t="s">
        <v>3</v>
      </c>
      <c r="GV70">
        <f t="shared" si="73"/>
        <v>0</v>
      </c>
      <c r="GW70">
        <v>1</v>
      </c>
      <c r="GX70">
        <f t="shared" si="74"/>
        <v>0</v>
      </c>
      <c r="HA70">
        <v>0</v>
      </c>
      <c r="HB70">
        <v>0</v>
      </c>
      <c r="HC70">
        <f t="shared" si="75"/>
        <v>0</v>
      </c>
      <c r="HE70" t="s">
        <v>3</v>
      </c>
      <c r="HF70" t="s">
        <v>3</v>
      </c>
      <c r="HM70" t="s">
        <v>3</v>
      </c>
      <c r="HN70" t="s">
        <v>3</v>
      </c>
      <c r="HO70" t="s">
        <v>3</v>
      </c>
      <c r="HP70" t="s">
        <v>3</v>
      </c>
      <c r="HQ70" t="s">
        <v>3</v>
      </c>
      <c r="HS70">
        <v>0</v>
      </c>
      <c r="IK70">
        <v>0</v>
      </c>
    </row>
    <row r="71" spans="1:245" x14ac:dyDescent="0.2">
      <c r="A71">
        <v>17</v>
      </c>
      <c r="B71">
        <v>1</v>
      </c>
      <c r="C71">
        <f>ROW(SmtRes!A10)</f>
        <v>10</v>
      </c>
      <c r="D71">
        <f>ROW(EtalonRes!A10)</f>
        <v>10</v>
      </c>
      <c r="E71" t="s">
        <v>91</v>
      </c>
      <c r="F71" t="s">
        <v>92</v>
      </c>
      <c r="G71" t="s">
        <v>93</v>
      </c>
      <c r="H71" t="s">
        <v>18</v>
      </c>
      <c r="I71">
        <v>2</v>
      </c>
      <c r="J71">
        <v>0</v>
      </c>
      <c r="K71">
        <v>2</v>
      </c>
      <c r="O71">
        <f t="shared" si="37"/>
        <v>904.06</v>
      </c>
      <c r="P71">
        <f t="shared" si="38"/>
        <v>6.4</v>
      </c>
      <c r="Q71">
        <f t="shared" si="39"/>
        <v>0.52</v>
      </c>
      <c r="R71">
        <f t="shared" si="40"/>
        <v>0</v>
      </c>
      <c r="S71">
        <f t="shared" si="41"/>
        <v>897.14</v>
      </c>
      <c r="T71">
        <f t="shared" si="42"/>
        <v>0</v>
      </c>
      <c r="U71">
        <f t="shared" si="43"/>
        <v>1.32</v>
      </c>
      <c r="V71">
        <f t="shared" si="44"/>
        <v>0</v>
      </c>
      <c r="W71">
        <f t="shared" si="45"/>
        <v>0</v>
      </c>
      <c r="X71">
        <f t="shared" si="46"/>
        <v>628</v>
      </c>
      <c r="Y71">
        <f t="shared" si="47"/>
        <v>89.71</v>
      </c>
      <c r="AA71">
        <v>76395835</v>
      </c>
      <c r="AB71">
        <f t="shared" si="48"/>
        <v>452.03</v>
      </c>
      <c r="AC71">
        <f t="shared" si="49"/>
        <v>3.2</v>
      </c>
      <c r="AD71">
        <f t="shared" si="50"/>
        <v>0.26</v>
      </c>
      <c r="AE71">
        <f t="shared" si="51"/>
        <v>0</v>
      </c>
      <c r="AF71">
        <f t="shared" si="52"/>
        <v>448.57</v>
      </c>
      <c r="AG71">
        <f t="shared" si="53"/>
        <v>0</v>
      </c>
      <c r="AH71">
        <f t="shared" si="54"/>
        <v>0.66</v>
      </c>
      <c r="AI71">
        <f t="shared" si="55"/>
        <v>0</v>
      </c>
      <c r="AJ71">
        <f t="shared" si="56"/>
        <v>0</v>
      </c>
      <c r="AK71">
        <v>452.03</v>
      </c>
      <c r="AL71">
        <v>3.2</v>
      </c>
      <c r="AM71">
        <v>0.26</v>
      </c>
      <c r="AN71">
        <v>0</v>
      </c>
      <c r="AO71">
        <v>448.57</v>
      </c>
      <c r="AP71">
        <v>0</v>
      </c>
      <c r="AQ71">
        <v>0.66</v>
      </c>
      <c r="AR71">
        <v>0</v>
      </c>
      <c r="AS71">
        <v>0</v>
      </c>
      <c r="AT71">
        <v>70</v>
      </c>
      <c r="AU71">
        <v>10</v>
      </c>
      <c r="AV71">
        <v>1</v>
      </c>
      <c r="AW71">
        <v>1</v>
      </c>
      <c r="AZ71">
        <v>1</v>
      </c>
      <c r="BA71">
        <v>1</v>
      </c>
      <c r="BB71">
        <v>1</v>
      </c>
      <c r="BC71">
        <v>1</v>
      </c>
      <c r="BD71" t="s">
        <v>3</v>
      </c>
      <c r="BE71" t="s">
        <v>3</v>
      </c>
      <c r="BF71" t="s">
        <v>3</v>
      </c>
      <c r="BG71" t="s">
        <v>3</v>
      </c>
      <c r="BH71">
        <v>0</v>
      </c>
      <c r="BI71">
        <v>4</v>
      </c>
      <c r="BJ71" t="s">
        <v>94</v>
      </c>
      <c r="BM71">
        <v>0</v>
      </c>
      <c r="BN71">
        <v>0</v>
      </c>
      <c r="BO71" t="s">
        <v>3</v>
      </c>
      <c r="BP71">
        <v>0</v>
      </c>
      <c r="BQ71">
        <v>1</v>
      </c>
      <c r="BR71">
        <v>0</v>
      </c>
      <c r="BS71">
        <v>1</v>
      </c>
      <c r="BT71">
        <v>1</v>
      </c>
      <c r="BU71">
        <v>1</v>
      </c>
      <c r="BV71">
        <v>1</v>
      </c>
      <c r="BW71">
        <v>1</v>
      </c>
      <c r="BX71">
        <v>1</v>
      </c>
      <c r="BY71" t="s">
        <v>3</v>
      </c>
      <c r="BZ71">
        <v>70</v>
      </c>
      <c r="CA71">
        <v>10</v>
      </c>
      <c r="CB71" t="s">
        <v>3</v>
      </c>
      <c r="CE71">
        <v>0</v>
      </c>
      <c r="CF71">
        <v>0</v>
      </c>
      <c r="CG71">
        <v>0</v>
      </c>
      <c r="CM71">
        <v>0</v>
      </c>
      <c r="CN71" t="s">
        <v>3</v>
      </c>
      <c r="CO71">
        <v>0</v>
      </c>
      <c r="CP71">
        <f t="shared" si="57"/>
        <v>904.06</v>
      </c>
      <c r="CQ71">
        <f t="shared" si="58"/>
        <v>3.2</v>
      </c>
      <c r="CR71">
        <f t="shared" si="59"/>
        <v>0.26</v>
      </c>
      <c r="CS71">
        <f t="shared" si="60"/>
        <v>0</v>
      </c>
      <c r="CT71">
        <f t="shared" si="61"/>
        <v>448.57</v>
      </c>
      <c r="CU71">
        <f t="shared" si="62"/>
        <v>0</v>
      </c>
      <c r="CV71">
        <f t="shared" si="63"/>
        <v>0.66</v>
      </c>
      <c r="CW71">
        <f t="shared" si="64"/>
        <v>0</v>
      </c>
      <c r="CX71">
        <f t="shared" si="65"/>
        <v>0</v>
      </c>
      <c r="CY71">
        <f t="shared" si="66"/>
        <v>627.99799999999993</v>
      </c>
      <c r="CZ71">
        <f t="shared" si="67"/>
        <v>89.713999999999999</v>
      </c>
      <c r="DC71" t="s">
        <v>3</v>
      </c>
      <c r="DD71" t="s">
        <v>3</v>
      </c>
      <c r="DE71" t="s">
        <v>3</v>
      </c>
      <c r="DF71" t="s">
        <v>3</v>
      </c>
      <c r="DG71" t="s">
        <v>3</v>
      </c>
      <c r="DH71" t="s">
        <v>3</v>
      </c>
      <c r="DI71" t="s">
        <v>3</v>
      </c>
      <c r="DJ71" t="s">
        <v>3</v>
      </c>
      <c r="DK71" t="s">
        <v>3</v>
      </c>
      <c r="DL71" t="s">
        <v>3</v>
      </c>
      <c r="DM71" t="s">
        <v>3</v>
      </c>
      <c r="DN71">
        <v>0</v>
      </c>
      <c r="DO71">
        <v>0</v>
      </c>
      <c r="DP71">
        <v>1</v>
      </c>
      <c r="DQ71">
        <v>1</v>
      </c>
      <c r="DU71">
        <v>1010</v>
      </c>
      <c r="DV71" t="s">
        <v>18</v>
      </c>
      <c r="DW71" t="s">
        <v>18</v>
      </c>
      <c r="DX71">
        <v>1</v>
      </c>
      <c r="DZ71" t="s">
        <v>3</v>
      </c>
      <c r="EA71" t="s">
        <v>3</v>
      </c>
      <c r="EB71" t="s">
        <v>3</v>
      </c>
      <c r="EC71" t="s">
        <v>3</v>
      </c>
      <c r="EE71">
        <v>75858748</v>
      </c>
      <c r="EF71">
        <v>1</v>
      </c>
      <c r="EG71" t="s">
        <v>19</v>
      </c>
      <c r="EH71">
        <v>0</v>
      </c>
      <c r="EI71" t="s">
        <v>3</v>
      </c>
      <c r="EJ71">
        <v>4</v>
      </c>
      <c r="EK71">
        <v>0</v>
      </c>
      <c r="EL71" t="s">
        <v>20</v>
      </c>
      <c r="EM71" t="s">
        <v>21</v>
      </c>
      <c r="EO71" t="s">
        <v>3</v>
      </c>
      <c r="EQ71">
        <v>0</v>
      </c>
      <c r="ER71">
        <v>452.03</v>
      </c>
      <c r="ES71">
        <v>3.2</v>
      </c>
      <c r="ET71">
        <v>0.26</v>
      </c>
      <c r="EU71">
        <v>0</v>
      </c>
      <c r="EV71">
        <v>448.57</v>
      </c>
      <c r="EW71">
        <v>0.66</v>
      </c>
      <c r="EX71">
        <v>0</v>
      </c>
      <c r="EY71">
        <v>0</v>
      </c>
      <c r="FQ71">
        <v>0</v>
      </c>
      <c r="FR71">
        <v>0</v>
      </c>
      <c r="FS71">
        <v>0</v>
      </c>
      <c r="FX71">
        <v>70</v>
      </c>
      <c r="FY71">
        <v>10</v>
      </c>
      <c r="GA71" t="s">
        <v>3</v>
      </c>
      <c r="GD71">
        <v>0</v>
      </c>
      <c r="GF71">
        <v>-2079412077</v>
      </c>
      <c r="GG71">
        <v>2</v>
      </c>
      <c r="GH71">
        <v>1</v>
      </c>
      <c r="GI71">
        <v>-2</v>
      </c>
      <c r="GJ71">
        <v>0</v>
      </c>
      <c r="GK71">
        <f>ROUND(R71*(R12)/100,2)</f>
        <v>0</v>
      </c>
      <c r="GL71">
        <f t="shared" si="68"/>
        <v>0</v>
      </c>
      <c r="GM71">
        <f t="shared" si="69"/>
        <v>1621.77</v>
      </c>
      <c r="GN71">
        <f t="shared" si="70"/>
        <v>0</v>
      </c>
      <c r="GO71">
        <f t="shared" si="71"/>
        <v>0</v>
      </c>
      <c r="GP71">
        <f t="shared" si="72"/>
        <v>1621.77</v>
      </c>
      <c r="GR71">
        <v>0</v>
      </c>
      <c r="GS71">
        <v>3</v>
      </c>
      <c r="GT71">
        <v>0</v>
      </c>
      <c r="GU71" t="s">
        <v>3</v>
      </c>
      <c r="GV71">
        <f t="shared" si="73"/>
        <v>0</v>
      </c>
      <c r="GW71">
        <v>1</v>
      </c>
      <c r="GX71">
        <f t="shared" si="74"/>
        <v>0</v>
      </c>
      <c r="HA71">
        <v>0</v>
      </c>
      <c r="HB71">
        <v>0</v>
      </c>
      <c r="HC71">
        <f t="shared" si="75"/>
        <v>0</v>
      </c>
      <c r="HE71" t="s">
        <v>3</v>
      </c>
      <c r="HF71" t="s">
        <v>3</v>
      </c>
      <c r="HM71" t="s">
        <v>3</v>
      </c>
      <c r="HN71" t="s">
        <v>3</v>
      </c>
      <c r="HO71" t="s">
        <v>3</v>
      </c>
      <c r="HP71" t="s">
        <v>3</v>
      </c>
      <c r="HQ71" t="s">
        <v>3</v>
      </c>
      <c r="HS71">
        <v>0</v>
      </c>
      <c r="IK71">
        <v>0</v>
      </c>
    </row>
    <row r="72" spans="1:245" x14ac:dyDescent="0.2">
      <c r="A72">
        <v>17</v>
      </c>
      <c r="B72">
        <v>1</v>
      </c>
      <c r="C72">
        <f>ROW(SmtRes!A13)</f>
        <v>13</v>
      </c>
      <c r="D72">
        <f>ROW(EtalonRes!A13)</f>
        <v>13</v>
      </c>
      <c r="E72" t="s">
        <v>95</v>
      </c>
      <c r="F72" t="s">
        <v>96</v>
      </c>
      <c r="G72" t="s">
        <v>97</v>
      </c>
      <c r="H72" t="s">
        <v>18</v>
      </c>
      <c r="I72">
        <v>1</v>
      </c>
      <c r="J72">
        <v>0</v>
      </c>
      <c r="K72">
        <v>1</v>
      </c>
      <c r="O72">
        <f t="shared" si="37"/>
        <v>8532.02</v>
      </c>
      <c r="P72">
        <f t="shared" si="38"/>
        <v>0</v>
      </c>
      <c r="Q72">
        <f t="shared" si="39"/>
        <v>754.83</v>
      </c>
      <c r="R72">
        <f t="shared" si="40"/>
        <v>418.81</v>
      </c>
      <c r="S72">
        <f t="shared" si="41"/>
        <v>7777.19</v>
      </c>
      <c r="T72">
        <f t="shared" si="42"/>
        <v>0</v>
      </c>
      <c r="U72">
        <f t="shared" si="43"/>
        <v>10.7</v>
      </c>
      <c r="V72">
        <f t="shared" si="44"/>
        <v>0</v>
      </c>
      <c r="W72">
        <f t="shared" si="45"/>
        <v>0</v>
      </c>
      <c r="X72">
        <f t="shared" si="46"/>
        <v>5444.03</v>
      </c>
      <c r="Y72">
        <f t="shared" si="47"/>
        <v>777.72</v>
      </c>
      <c r="AA72">
        <v>76395835</v>
      </c>
      <c r="AB72">
        <f t="shared" si="48"/>
        <v>8532.02</v>
      </c>
      <c r="AC72">
        <f t="shared" si="49"/>
        <v>0</v>
      </c>
      <c r="AD72">
        <f t="shared" si="50"/>
        <v>754.83</v>
      </c>
      <c r="AE72">
        <f t="shared" si="51"/>
        <v>418.81</v>
      </c>
      <c r="AF72">
        <f t="shared" si="52"/>
        <v>7777.19</v>
      </c>
      <c r="AG72">
        <f t="shared" si="53"/>
        <v>0</v>
      </c>
      <c r="AH72">
        <f t="shared" si="54"/>
        <v>10.7</v>
      </c>
      <c r="AI72">
        <f t="shared" si="55"/>
        <v>0</v>
      </c>
      <c r="AJ72">
        <f t="shared" si="56"/>
        <v>0</v>
      </c>
      <c r="AK72">
        <v>8532.02</v>
      </c>
      <c r="AL72">
        <v>0</v>
      </c>
      <c r="AM72">
        <v>754.83</v>
      </c>
      <c r="AN72">
        <v>418.81</v>
      </c>
      <c r="AO72">
        <v>7777.19</v>
      </c>
      <c r="AP72">
        <v>0</v>
      </c>
      <c r="AQ72">
        <v>10.7</v>
      </c>
      <c r="AR72">
        <v>0</v>
      </c>
      <c r="AS72">
        <v>0</v>
      </c>
      <c r="AT72">
        <v>70</v>
      </c>
      <c r="AU72">
        <v>10</v>
      </c>
      <c r="AV72">
        <v>1</v>
      </c>
      <c r="AW72">
        <v>1</v>
      </c>
      <c r="AZ72">
        <v>1</v>
      </c>
      <c r="BA72">
        <v>1</v>
      </c>
      <c r="BB72">
        <v>1</v>
      </c>
      <c r="BC72">
        <v>1</v>
      </c>
      <c r="BD72" t="s">
        <v>3</v>
      </c>
      <c r="BE72" t="s">
        <v>3</v>
      </c>
      <c r="BF72" t="s">
        <v>3</v>
      </c>
      <c r="BG72" t="s">
        <v>3</v>
      </c>
      <c r="BH72">
        <v>0</v>
      </c>
      <c r="BI72">
        <v>4</v>
      </c>
      <c r="BJ72" t="s">
        <v>98</v>
      </c>
      <c r="BM72">
        <v>0</v>
      </c>
      <c r="BN72">
        <v>0</v>
      </c>
      <c r="BO72" t="s">
        <v>3</v>
      </c>
      <c r="BP72">
        <v>0</v>
      </c>
      <c r="BQ72">
        <v>1</v>
      </c>
      <c r="BR72">
        <v>0</v>
      </c>
      <c r="BS72">
        <v>1</v>
      </c>
      <c r="BT72">
        <v>1</v>
      </c>
      <c r="BU72">
        <v>1</v>
      </c>
      <c r="BV72">
        <v>1</v>
      </c>
      <c r="BW72">
        <v>1</v>
      </c>
      <c r="BX72">
        <v>1</v>
      </c>
      <c r="BY72" t="s">
        <v>3</v>
      </c>
      <c r="BZ72">
        <v>70</v>
      </c>
      <c r="CA72">
        <v>10</v>
      </c>
      <c r="CB72" t="s">
        <v>3</v>
      </c>
      <c r="CE72">
        <v>0</v>
      </c>
      <c r="CF72">
        <v>0</v>
      </c>
      <c r="CG72">
        <v>0</v>
      </c>
      <c r="CM72">
        <v>0</v>
      </c>
      <c r="CN72" t="s">
        <v>3</v>
      </c>
      <c r="CO72">
        <v>0</v>
      </c>
      <c r="CP72">
        <f t="shared" si="57"/>
        <v>8532.02</v>
      </c>
      <c r="CQ72">
        <f t="shared" si="58"/>
        <v>0</v>
      </c>
      <c r="CR72">
        <f t="shared" si="59"/>
        <v>754.83</v>
      </c>
      <c r="CS72">
        <f t="shared" si="60"/>
        <v>418.81</v>
      </c>
      <c r="CT72">
        <f t="shared" si="61"/>
        <v>7777.19</v>
      </c>
      <c r="CU72">
        <f t="shared" si="62"/>
        <v>0</v>
      </c>
      <c r="CV72">
        <f t="shared" si="63"/>
        <v>10.7</v>
      </c>
      <c r="CW72">
        <f t="shared" si="64"/>
        <v>0</v>
      </c>
      <c r="CX72">
        <f t="shared" si="65"/>
        <v>0</v>
      </c>
      <c r="CY72">
        <f t="shared" si="66"/>
        <v>5444.0329999999994</v>
      </c>
      <c r="CZ72">
        <f t="shared" si="67"/>
        <v>777.71899999999994</v>
      </c>
      <c r="DC72" t="s">
        <v>3</v>
      </c>
      <c r="DD72" t="s">
        <v>3</v>
      </c>
      <c r="DE72" t="s">
        <v>3</v>
      </c>
      <c r="DF72" t="s">
        <v>3</v>
      </c>
      <c r="DG72" t="s">
        <v>3</v>
      </c>
      <c r="DH72" t="s">
        <v>3</v>
      </c>
      <c r="DI72" t="s">
        <v>3</v>
      </c>
      <c r="DJ72" t="s">
        <v>3</v>
      </c>
      <c r="DK72" t="s">
        <v>3</v>
      </c>
      <c r="DL72" t="s">
        <v>3</v>
      </c>
      <c r="DM72" t="s">
        <v>3</v>
      </c>
      <c r="DN72">
        <v>0</v>
      </c>
      <c r="DO72">
        <v>0</v>
      </c>
      <c r="DP72">
        <v>1</v>
      </c>
      <c r="DQ72">
        <v>1</v>
      </c>
      <c r="DU72">
        <v>1010</v>
      </c>
      <c r="DV72" t="s">
        <v>18</v>
      </c>
      <c r="DW72" t="s">
        <v>18</v>
      </c>
      <c r="DX72">
        <v>1</v>
      </c>
      <c r="DZ72" t="s">
        <v>3</v>
      </c>
      <c r="EA72" t="s">
        <v>3</v>
      </c>
      <c r="EB72" t="s">
        <v>3</v>
      </c>
      <c r="EC72" t="s">
        <v>3</v>
      </c>
      <c r="EE72">
        <v>75858748</v>
      </c>
      <c r="EF72">
        <v>1</v>
      </c>
      <c r="EG72" t="s">
        <v>19</v>
      </c>
      <c r="EH72">
        <v>0</v>
      </c>
      <c r="EI72" t="s">
        <v>3</v>
      </c>
      <c r="EJ72">
        <v>4</v>
      </c>
      <c r="EK72">
        <v>0</v>
      </c>
      <c r="EL72" t="s">
        <v>20</v>
      </c>
      <c r="EM72" t="s">
        <v>21</v>
      </c>
      <c r="EO72" t="s">
        <v>3</v>
      </c>
      <c r="EQ72">
        <v>0</v>
      </c>
      <c r="ER72">
        <v>8532.02</v>
      </c>
      <c r="ES72">
        <v>0</v>
      </c>
      <c r="ET72">
        <v>754.83</v>
      </c>
      <c r="EU72">
        <v>418.81</v>
      </c>
      <c r="EV72">
        <v>7777.19</v>
      </c>
      <c r="EW72">
        <v>10.7</v>
      </c>
      <c r="EX72">
        <v>0</v>
      </c>
      <c r="EY72">
        <v>0</v>
      </c>
      <c r="FQ72">
        <v>0</v>
      </c>
      <c r="FR72">
        <v>0</v>
      </c>
      <c r="FS72">
        <v>0</v>
      </c>
      <c r="FX72">
        <v>70</v>
      </c>
      <c r="FY72">
        <v>10</v>
      </c>
      <c r="GA72" t="s">
        <v>3</v>
      </c>
      <c r="GD72">
        <v>0</v>
      </c>
      <c r="GF72">
        <v>-703846861</v>
      </c>
      <c r="GG72">
        <v>2</v>
      </c>
      <c r="GH72">
        <v>1</v>
      </c>
      <c r="GI72">
        <v>-2</v>
      </c>
      <c r="GJ72">
        <v>0</v>
      </c>
      <c r="GK72">
        <f>ROUND(R72*(R12)/100,2)</f>
        <v>452.31</v>
      </c>
      <c r="GL72">
        <f t="shared" si="68"/>
        <v>0</v>
      </c>
      <c r="GM72">
        <f t="shared" si="69"/>
        <v>15206.08</v>
      </c>
      <c r="GN72">
        <f t="shared" si="70"/>
        <v>0</v>
      </c>
      <c r="GO72">
        <f t="shared" si="71"/>
        <v>0</v>
      </c>
      <c r="GP72">
        <f t="shared" si="72"/>
        <v>15206.08</v>
      </c>
      <c r="GR72">
        <v>0</v>
      </c>
      <c r="GS72">
        <v>3</v>
      </c>
      <c r="GT72">
        <v>0</v>
      </c>
      <c r="GU72" t="s">
        <v>3</v>
      </c>
      <c r="GV72">
        <f t="shared" si="73"/>
        <v>0</v>
      </c>
      <c r="GW72">
        <v>1</v>
      </c>
      <c r="GX72">
        <f t="shared" si="74"/>
        <v>0</v>
      </c>
      <c r="HA72">
        <v>0</v>
      </c>
      <c r="HB72">
        <v>0</v>
      </c>
      <c r="HC72">
        <f t="shared" si="75"/>
        <v>0</v>
      </c>
      <c r="HE72" t="s">
        <v>3</v>
      </c>
      <c r="HF72" t="s">
        <v>3</v>
      </c>
      <c r="HM72" t="s">
        <v>3</v>
      </c>
      <c r="HN72" t="s">
        <v>3</v>
      </c>
      <c r="HO72" t="s">
        <v>3</v>
      </c>
      <c r="HP72" t="s">
        <v>3</v>
      </c>
      <c r="HQ72" t="s">
        <v>3</v>
      </c>
      <c r="HS72">
        <v>0</v>
      </c>
      <c r="IK72">
        <v>0</v>
      </c>
    </row>
    <row r="73" spans="1:245" x14ac:dyDescent="0.2">
      <c r="A73">
        <v>17</v>
      </c>
      <c r="B73">
        <v>1</v>
      </c>
      <c r="C73">
        <f>ROW(SmtRes!A17)</f>
        <v>17</v>
      </c>
      <c r="D73">
        <f>ROW(EtalonRes!A17)</f>
        <v>17</v>
      </c>
      <c r="E73" t="s">
        <v>99</v>
      </c>
      <c r="F73" t="s">
        <v>100</v>
      </c>
      <c r="G73" t="s">
        <v>101</v>
      </c>
      <c r="H73" t="s">
        <v>18</v>
      </c>
      <c r="I73">
        <v>2</v>
      </c>
      <c r="J73">
        <v>0</v>
      </c>
      <c r="K73">
        <v>2</v>
      </c>
      <c r="O73">
        <f t="shared" si="37"/>
        <v>3214.28</v>
      </c>
      <c r="P73">
        <f t="shared" si="38"/>
        <v>216.46</v>
      </c>
      <c r="Q73">
        <f t="shared" si="39"/>
        <v>0</v>
      </c>
      <c r="R73">
        <f t="shared" si="40"/>
        <v>0</v>
      </c>
      <c r="S73">
        <f t="shared" si="41"/>
        <v>2997.82</v>
      </c>
      <c r="T73">
        <f t="shared" si="42"/>
        <v>0</v>
      </c>
      <c r="U73">
        <f t="shared" si="43"/>
        <v>4.74</v>
      </c>
      <c r="V73">
        <f t="shared" si="44"/>
        <v>0</v>
      </c>
      <c r="W73">
        <f t="shared" si="45"/>
        <v>0</v>
      </c>
      <c r="X73">
        <f t="shared" si="46"/>
        <v>2098.4699999999998</v>
      </c>
      <c r="Y73">
        <f t="shared" si="47"/>
        <v>299.77999999999997</v>
      </c>
      <c r="AA73">
        <v>76395835</v>
      </c>
      <c r="AB73">
        <f t="shared" si="48"/>
        <v>1607.14</v>
      </c>
      <c r="AC73">
        <f t="shared" si="49"/>
        <v>108.23</v>
      </c>
      <c r="AD73">
        <f t="shared" si="50"/>
        <v>0</v>
      </c>
      <c r="AE73">
        <f t="shared" si="51"/>
        <v>0</v>
      </c>
      <c r="AF73">
        <f t="shared" si="52"/>
        <v>1498.91</v>
      </c>
      <c r="AG73">
        <f t="shared" si="53"/>
        <v>0</v>
      </c>
      <c r="AH73">
        <f t="shared" si="54"/>
        <v>2.37</v>
      </c>
      <c r="AI73">
        <f t="shared" si="55"/>
        <v>0</v>
      </c>
      <c r="AJ73">
        <f t="shared" si="56"/>
        <v>0</v>
      </c>
      <c r="AK73">
        <v>1607.14</v>
      </c>
      <c r="AL73">
        <v>108.23</v>
      </c>
      <c r="AM73">
        <v>0</v>
      </c>
      <c r="AN73">
        <v>0</v>
      </c>
      <c r="AO73">
        <v>1498.91</v>
      </c>
      <c r="AP73">
        <v>0</v>
      </c>
      <c r="AQ73">
        <v>2.37</v>
      </c>
      <c r="AR73">
        <v>0</v>
      </c>
      <c r="AS73">
        <v>0</v>
      </c>
      <c r="AT73">
        <v>70</v>
      </c>
      <c r="AU73">
        <v>10</v>
      </c>
      <c r="AV73">
        <v>1</v>
      </c>
      <c r="AW73">
        <v>1</v>
      </c>
      <c r="AZ73">
        <v>1</v>
      </c>
      <c r="BA73">
        <v>1</v>
      </c>
      <c r="BB73">
        <v>1</v>
      </c>
      <c r="BC73">
        <v>1</v>
      </c>
      <c r="BD73" t="s">
        <v>3</v>
      </c>
      <c r="BE73" t="s">
        <v>3</v>
      </c>
      <c r="BF73" t="s">
        <v>3</v>
      </c>
      <c r="BG73" t="s">
        <v>3</v>
      </c>
      <c r="BH73">
        <v>0</v>
      </c>
      <c r="BI73">
        <v>4</v>
      </c>
      <c r="BJ73" t="s">
        <v>102</v>
      </c>
      <c r="BM73">
        <v>0</v>
      </c>
      <c r="BN73">
        <v>0</v>
      </c>
      <c r="BO73" t="s">
        <v>3</v>
      </c>
      <c r="BP73">
        <v>0</v>
      </c>
      <c r="BQ73">
        <v>1</v>
      </c>
      <c r="BR73">
        <v>0</v>
      </c>
      <c r="BS73">
        <v>1</v>
      </c>
      <c r="BT73">
        <v>1</v>
      </c>
      <c r="BU73">
        <v>1</v>
      </c>
      <c r="BV73">
        <v>1</v>
      </c>
      <c r="BW73">
        <v>1</v>
      </c>
      <c r="BX73">
        <v>1</v>
      </c>
      <c r="BY73" t="s">
        <v>3</v>
      </c>
      <c r="BZ73">
        <v>70</v>
      </c>
      <c r="CA73">
        <v>10</v>
      </c>
      <c r="CB73" t="s">
        <v>3</v>
      </c>
      <c r="CE73">
        <v>0</v>
      </c>
      <c r="CF73">
        <v>0</v>
      </c>
      <c r="CG73">
        <v>0</v>
      </c>
      <c r="CM73">
        <v>0</v>
      </c>
      <c r="CN73" t="s">
        <v>3</v>
      </c>
      <c r="CO73">
        <v>0</v>
      </c>
      <c r="CP73">
        <f t="shared" si="57"/>
        <v>3214.28</v>
      </c>
      <c r="CQ73">
        <f t="shared" si="58"/>
        <v>108.23</v>
      </c>
      <c r="CR73">
        <f t="shared" si="59"/>
        <v>0</v>
      </c>
      <c r="CS73">
        <f t="shared" si="60"/>
        <v>0</v>
      </c>
      <c r="CT73">
        <f t="shared" si="61"/>
        <v>1498.91</v>
      </c>
      <c r="CU73">
        <f t="shared" si="62"/>
        <v>0</v>
      </c>
      <c r="CV73">
        <f t="shared" si="63"/>
        <v>2.37</v>
      </c>
      <c r="CW73">
        <f t="shared" si="64"/>
        <v>0</v>
      </c>
      <c r="CX73">
        <f t="shared" si="65"/>
        <v>0</v>
      </c>
      <c r="CY73">
        <f t="shared" si="66"/>
        <v>2098.4740000000002</v>
      </c>
      <c r="CZ73">
        <f t="shared" si="67"/>
        <v>299.78199999999998</v>
      </c>
      <c r="DC73" t="s">
        <v>3</v>
      </c>
      <c r="DD73" t="s">
        <v>3</v>
      </c>
      <c r="DE73" t="s">
        <v>3</v>
      </c>
      <c r="DF73" t="s">
        <v>3</v>
      </c>
      <c r="DG73" t="s">
        <v>3</v>
      </c>
      <c r="DH73" t="s">
        <v>3</v>
      </c>
      <c r="DI73" t="s">
        <v>3</v>
      </c>
      <c r="DJ73" t="s">
        <v>3</v>
      </c>
      <c r="DK73" t="s">
        <v>3</v>
      </c>
      <c r="DL73" t="s">
        <v>3</v>
      </c>
      <c r="DM73" t="s">
        <v>3</v>
      </c>
      <c r="DN73">
        <v>0</v>
      </c>
      <c r="DO73">
        <v>0</v>
      </c>
      <c r="DP73">
        <v>1</v>
      </c>
      <c r="DQ73">
        <v>1</v>
      </c>
      <c r="DU73">
        <v>1010</v>
      </c>
      <c r="DV73" t="s">
        <v>18</v>
      </c>
      <c r="DW73" t="s">
        <v>18</v>
      </c>
      <c r="DX73">
        <v>1</v>
      </c>
      <c r="DZ73" t="s">
        <v>3</v>
      </c>
      <c r="EA73" t="s">
        <v>3</v>
      </c>
      <c r="EB73" t="s">
        <v>3</v>
      </c>
      <c r="EC73" t="s">
        <v>3</v>
      </c>
      <c r="EE73">
        <v>75858748</v>
      </c>
      <c r="EF73">
        <v>1</v>
      </c>
      <c r="EG73" t="s">
        <v>19</v>
      </c>
      <c r="EH73">
        <v>0</v>
      </c>
      <c r="EI73" t="s">
        <v>3</v>
      </c>
      <c r="EJ73">
        <v>4</v>
      </c>
      <c r="EK73">
        <v>0</v>
      </c>
      <c r="EL73" t="s">
        <v>20</v>
      </c>
      <c r="EM73" t="s">
        <v>21</v>
      </c>
      <c r="EO73" t="s">
        <v>3</v>
      </c>
      <c r="EQ73">
        <v>0</v>
      </c>
      <c r="ER73">
        <v>1607.14</v>
      </c>
      <c r="ES73">
        <v>108.23</v>
      </c>
      <c r="ET73">
        <v>0</v>
      </c>
      <c r="EU73">
        <v>0</v>
      </c>
      <c r="EV73">
        <v>1498.91</v>
      </c>
      <c r="EW73">
        <v>2.37</v>
      </c>
      <c r="EX73">
        <v>0</v>
      </c>
      <c r="EY73">
        <v>0</v>
      </c>
      <c r="FQ73">
        <v>0</v>
      </c>
      <c r="FR73">
        <v>0</v>
      </c>
      <c r="FS73">
        <v>0</v>
      </c>
      <c r="FX73">
        <v>70</v>
      </c>
      <c r="FY73">
        <v>10</v>
      </c>
      <c r="GA73" t="s">
        <v>3</v>
      </c>
      <c r="GD73">
        <v>0</v>
      </c>
      <c r="GF73">
        <v>-1043770664</v>
      </c>
      <c r="GG73">
        <v>2</v>
      </c>
      <c r="GH73">
        <v>1</v>
      </c>
      <c r="GI73">
        <v>-2</v>
      </c>
      <c r="GJ73">
        <v>0</v>
      </c>
      <c r="GK73">
        <f>ROUND(R73*(R12)/100,2)</f>
        <v>0</v>
      </c>
      <c r="GL73">
        <f t="shared" si="68"/>
        <v>0</v>
      </c>
      <c r="GM73">
        <f t="shared" si="69"/>
        <v>5612.53</v>
      </c>
      <c r="GN73">
        <f t="shared" si="70"/>
        <v>0</v>
      </c>
      <c r="GO73">
        <f t="shared" si="71"/>
        <v>0</v>
      </c>
      <c r="GP73">
        <f t="shared" si="72"/>
        <v>5612.53</v>
      </c>
      <c r="GR73">
        <v>0</v>
      </c>
      <c r="GS73">
        <v>3</v>
      </c>
      <c r="GT73">
        <v>0</v>
      </c>
      <c r="GU73" t="s">
        <v>3</v>
      </c>
      <c r="GV73">
        <f t="shared" si="73"/>
        <v>0</v>
      </c>
      <c r="GW73">
        <v>1</v>
      </c>
      <c r="GX73">
        <f t="shared" si="74"/>
        <v>0</v>
      </c>
      <c r="HA73">
        <v>0</v>
      </c>
      <c r="HB73">
        <v>0</v>
      </c>
      <c r="HC73">
        <f t="shared" si="75"/>
        <v>0</v>
      </c>
      <c r="HE73" t="s">
        <v>3</v>
      </c>
      <c r="HF73" t="s">
        <v>3</v>
      </c>
      <c r="HM73" t="s">
        <v>3</v>
      </c>
      <c r="HN73" t="s">
        <v>3</v>
      </c>
      <c r="HO73" t="s">
        <v>3</v>
      </c>
      <c r="HP73" t="s">
        <v>3</v>
      </c>
      <c r="HQ73" t="s">
        <v>3</v>
      </c>
      <c r="HS73">
        <v>0</v>
      </c>
      <c r="IK73">
        <v>0</v>
      </c>
    </row>
    <row r="74" spans="1:245" x14ac:dyDescent="0.2">
      <c r="A74">
        <v>17</v>
      </c>
      <c r="B74">
        <v>1</v>
      </c>
      <c r="C74">
        <f>ROW(SmtRes!A18)</f>
        <v>18</v>
      </c>
      <c r="D74">
        <f>ROW(EtalonRes!A18)</f>
        <v>18</v>
      </c>
      <c r="E74" t="s">
        <v>103</v>
      </c>
      <c r="F74" t="s">
        <v>104</v>
      </c>
      <c r="G74" t="s">
        <v>105</v>
      </c>
      <c r="H74" t="s">
        <v>18</v>
      </c>
      <c r="I74">
        <v>2</v>
      </c>
      <c r="J74">
        <v>0</v>
      </c>
      <c r="K74">
        <v>2</v>
      </c>
      <c r="O74">
        <f t="shared" si="37"/>
        <v>2909.28</v>
      </c>
      <c r="P74">
        <f t="shared" si="38"/>
        <v>0</v>
      </c>
      <c r="Q74">
        <f t="shared" si="39"/>
        <v>0</v>
      </c>
      <c r="R74">
        <f t="shared" si="40"/>
        <v>0</v>
      </c>
      <c r="S74">
        <f t="shared" si="41"/>
        <v>2909.28</v>
      </c>
      <c r="T74">
        <f t="shared" si="42"/>
        <v>0</v>
      </c>
      <c r="U74">
        <f t="shared" si="43"/>
        <v>4.5999999999999996</v>
      </c>
      <c r="V74">
        <f t="shared" si="44"/>
        <v>0</v>
      </c>
      <c r="W74">
        <f t="shared" si="45"/>
        <v>0</v>
      </c>
      <c r="X74">
        <f t="shared" si="46"/>
        <v>2036.5</v>
      </c>
      <c r="Y74">
        <f t="shared" si="47"/>
        <v>290.93</v>
      </c>
      <c r="AA74">
        <v>76395835</v>
      </c>
      <c r="AB74">
        <f t="shared" si="48"/>
        <v>1454.64</v>
      </c>
      <c r="AC74">
        <f t="shared" si="49"/>
        <v>0</v>
      </c>
      <c r="AD74">
        <f t="shared" si="50"/>
        <v>0</v>
      </c>
      <c r="AE74">
        <f t="shared" si="51"/>
        <v>0</v>
      </c>
      <c r="AF74">
        <f t="shared" si="52"/>
        <v>1454.64</v>
      </c>
      <c r="AG74">
        <f t="shared" si="53"/>
        <v>0</v>
      </c>
      <c r="AH74">
        <f t="shared" si="54"/>
        <v>2.2999999999999998</v>
      </c>
      <c r="AI74">
        <f t="shared" si="55"/>
        <v>0</v>
      </c>
      <c r="AJ74">
        <f t="shared" si="56"/>
        <v>0</v>
      </c>
      <c r="AK74">
        <v>1454.64</v>
      </c>
      <c r="AL74">
        <v>0</v>
      </c>
      <c r="AM74">
        <v>0</v>
      </c>
      <c r="AN74">
        <v>0</v>
      </c>
      <c r="AO74">
        <v>1454.64</v>
      </c>
      <c r="AP74">
        <v>0</v>
      </c>
      <c r="AQ74">
        <v>2.2999999999999998</v>
      </c>
      <c r="AR74">
        <v>0</v>
      </c>
      <c r="AS74">
        <v>0</v>
      </c>
      <c r="AT74">
        <v>70</v>
      </c>
      <c r="AU74">
        <v>10</v>
      </c>
      <c r="AV74">
        <v>1</v>
      </c>
      <c r="AW74">
        <v>1</v>
      </c>
      <c r="AZ74">
        <v>1</v>
      </c>
      <c r="BA74">
        <v>1</v>
      </c>
      <c r="BB74">
        <v>1</v>
      </c>
      <c r="BC74">
        <v>1</v>
      </c>
      <c r="BD74" t="s">
        <v>3</v>
      </c>
      <c r="BE74" t="s">
        <v>3</v>
      </c>
      <c r="BF74" t="s">
        <v>3</v>
      </c>
      <c r="BG74" t="s">
        <v>3</v>
      </c>
      <c r="BH74">
        <v>0</v>
      </c>
      <c r="BI74">
        <v>4</v>
      </c>
      <c r="BJ74" t="s">
        <v>106</v>
      </c>
      <c r="BM74">
        <v>0</v>
      </c>
      <c r="BN74">
        <v>0</v>
      </c>
      <c r="BO74" t="s">
        <v>3</v>
      </c>
      <c r="BP74">
        <v>0</v>
      </c>
      <c r="BQ74">
        <v>1</v>
      </c>
      <c r="BR74">
        <v>0</v>
      </c>
      <c r="BS74">
        <v>1</v>
      </c>
      <c r="BT74">
        <v>1</v>
      </c>
      <c r="BU74">
        <v>1</v>
      </c>
      <c r="BV74">
        <v>1</v>
      </c>
      <c r="BW74">
        <v>1</v>
      </c>
      <c r="BX74">
        <v>1</v>
      </c>
      <c r="BY74" t="s">
        <v>3</v>
      </c>
      <c r="BZ74">
        <v>70</v>
      </c>
      <c r="CA74">
        <v>10</v>
      </c>
      <c r="CB74" t="s">
        <v>3</v>
      </c>
      <c r="CE74">
        <v>0</v>
      </c>
      <c r="CF74">
        <v>0</v>
      </c>
      <c r="CG74">
        <v>0</v>
      </c>
      <c r="CM74">
        <v>0</v>
      </c>
      <c r="CN74" t="s">
        <v>3</v>
      </c>
      <c r="CO74">
        <v>0</v>
      </c>
      <c r="CP74">
        <f t="shared" si="57"/>
        <v>2909.28</v>
      </c>
      <c r="CQ74">
        <f t="shared" si="58"/>
        <v>0</v>
      </c>
      <c r="CR74">
        <f t="shared" si="59"/>
        <v>0</v>
      </c>
      <c r="CS74">
        <f t="shared" si="60"/>
        <v>0</v>
      </c>
      <c r="CT74">
        <f t="shared" si="61"/>
        <v>1454.64</v>
      </c>
      <c r="CU74">
        <f t="shared" si="62"/>
        <v>0</v>
      </c>
      <c r="CV74">
        <f t="shared" si="63"/>
        <v>2.2999999999999998</v>
      </c>
      <c r="CW74">
        <f t="shared" si="64"/>
        <v>0</v>
      </c>
      <c r="CX74">
        <f t="shared" si="65"/>
        <v>0</v>
      </c>
      <c r="CY74">
        <f t="shared" si="66"/>
        <v>2036.4960000000001</v>
      </c>
      <c r="CZ74">
        <f t="shared" si="67"/>
        <v>290.92800000000005</v>
      </c>
      <c r="DC74" t="s">
        <v>3</v>
      </c>
      <c r="DD74" t="s">
        <v>3</v>
      </c>
      <c r="DE74" t="s">
        <v>3</v>
      </c>
      <c r="DF74" t="s">
        <v>3</v>
      </c>
      <c r="DG74" t="s">
        <v>3</v>
      </c>
      <c r="DH74" t="s">
        <v>3</v>
      </c>
      <c r="DI74" t="s">
        <v>3</v>
      </c>
      <c r="DJ74" t="s">
        <v>3</v>
      </c>
      <c r="DK74" t="s">
        <v>3</v>
      </c>
      <c r="DL74" t="s">
        <v>3</v>
      </c>
      <c r="DM74" t="s">
        <v>3</v>
      </c>
      <c r="DN74">
        <v>0</v>
      </c>
      <c r="DO74">
        <v>0</v>
      </c>
      <c r="DP74">
        <v>1</v>
      </c>
      <c r="DQ74">
        <v>1</v>
      </c>
      <c r="DU74">
        <v>1010</v>
      </c>
      <c r="DV74" t="s">
        <v>18</v>
      </c>
      <c r="DW74" t="s">
        <v>18</v>
      </c>
      <c r="DX74">
        <v>1</v>
      </c>
      <c r="DZ74" t="s">
        <v>3</v>
      </c>
      <c r="EA74" t="s">
        <v>3</v>
      </c>
      <c r="EB74" t="s">
        <v>3</v>
      </c>
      <c r="EC74" t="s">
        <v>3</v>
      </c>
      <c r="EE74">
        <v>75858748</v>
      </c>
      <c r="EF74">
        <v>1</v>
      </c>
      <c r="EG74" t="s">
        <v>19</v>
      </c>
      <c r="EH74">
        <v>0</v>
      </c>
      <c r="EI74" t="s">
        <v>3</v>
      </c>
      <c r="EJ74">
        <v>4</v>
      </c>
      <c r="EK74">
        <v>0</v>
      </c>
      <c r="EL74" t="s">
        <v>20</v>
      </c>
      <c r="EM74" t="s">
        <v>21</v>
      </c>
      <c r="EO74" t="s">
        <v>3</v>
      </c>
      <c r="EQ74">
        <v>0</v>
      </c>
      <c r="ER74">
        <v>1454.64</v>
      </c>
      <c r="ES74">
        <v>0</v>
      </c>
      <c r="ET74">
        <v>0</v>
      </c>
      <c r="EU74">
        <v>0</v>
      </c>
      <c r="EV74">
        <v>1454.64</v>
      </c>
      <c r="EW74">
        <v>2.2999999999999998</v>
      </c>
      <c r="EX74">
        <v>0</v>
      </c>
      <c r="EY74">
        <v>0</v>
      </c>
      <c r="FQ74">
        <v>0</v>
      </c>
      <c r="FR74">
        <v>0</v>
      </c>
      <c r="FS74">
        <v>0</v>
      </c>
      <c r="FX74">
        <v>70</v>
      </c>
      <c r="FY74">
        <v>10</v>
      </c>
      <c r="GA74" t="s">
        <v>3</v>
      </c>
      <c r="GD74">
        <v>0</v>
      </c>
      <c r="GF74">
        <v>-1001245931</v>
      </c>
      <c r="GG74">
        <v>2</v>
      </c>
      <c r="GH74">
        <v>1</v>
      </c>
      <c r="GI74">
        <v>-2</v>
      </c>
      <c r="GJ74">
        <v>0</v>
      </c>
      <c r="GK74">
        <f>ROUND(R74*(R12)/100,2)</f>
        <v>0</v>
      </c>
      <c r="GL74">
        <f t="shared" si="68"/>
        <v>0</v>
      </c>
      <c r="GM74">
        <f t="shared" si="69"/>
        <v>5236.71</v>
      </c>
      <c r="GN74">
        <f t="shared" si="70"/>
        <v>0</v>
      </c>
      <c r="GO74">
        <f t="shared" si="71"/>
        <v>0</v>
      </c>
      <c r="GP74">
        <f t="shared" si="72"/>
        <v>5236.71</v>
      </c>
      <c r="GR74">
        <v>0</v>
      </c>
      <c r="GS74">
        <v>3</v>
      </c>
      <c r="GT74">
        <v>0</v>
      </c>
      <c r="GU74" t="s">
        <v>3</v>
      </c>
      <c r="GV74">
        <f t="shared" si="73"/>
        <v>0</v>
      </c>
      <c r="GW74">
        <v>1</v>
      </c>
      <c r="GX74">
        <f t="shared" si="74"/>
        <v>0</v>
      </c>
      <c r="HA74">
        <v>0</v>
      </c>
      <c r="HB74">
        <v>0</v>
      </c>
      <c r="HC74">
        <f t="shared" si="75"/>
        <v>0</v>
      </c>
      <c r="HE74" t="s">
        <v>3</v>
      </c>
      <c r="HF74" t="s">
        <v>3</v>
      </c>
      <c r="HM74" t="s">
        <v>3</v>
      </c>
      <c r="HN74" t="s">
        <v>3</v>
      </c>
      <c r="HO74" t="s">
        <v>3</v>
      </c>
      <c r="HP74" t="s">
        <v>3</v>
      </c>
      <c r="HQ74" t="s">
        <v>3</v>
      </c>
      <c r="HS74">
        <v>0</v>
      </c>
      <c r="IK74">
        <v>0</v>
      </c>
    </row>
    <row r="75" spans="1:245" x14ac:dyDescent="0.2">
      <c r="A75">
        <v>17</v>
      </c>
      <c r="B75">
        <v>1</v>
      </c>
      <c r="C75">
        <f>ROW(SmtRes!A38)</f>
        <v>38</v>
      </c>
      <c r="D75">
        <f>ROW(EtalonRes!A31)</f>
        <v>31</v>
      </c>
      <c r="E75" t="s">
        <v>107</v>
      </c>
      <c r="F75" t="s">
        <v>108</v>
      </c>
      <c r="G75" t="s">
        <v>109</v>
      </c>
      <c r="H75" t="s">
        <v>110</v>
      </c>
      <c r="I75">
        <f>ROUND(10/100,9)</f>
        <v>0.1</v>
      </c>
      <c r="J75">
        <v>0</v>
      </c>
      <c r="K75">
        <f>ROUND(10/100,9)</f>
        <v>0.1</v>
      </c>
      <c r="O75">
        <f t="shared" si="37"/>
        <v>4315.18</v>
      </c>
      <c r="P75">
        <f t="shared" si="38"/>
        <v>1649.85</v>
      </c>
      <c r="Q75">
        <f t="shared" si="39"/>
        <v>6.74</v>
      </c>
      <c r="R75">
        <f t="shared" si="40"/>
        <v>0.09</v>
      </c>
      <c r="S75">
        <f t="shared" si="41"/>
        <v>2658.59</v>
      </c>
      <c r="T75">
        <f t="shared" si="42"/>
        <v>0</v>
      </c>
      <c r="U75">
        <f t="shared" si="43"/>
        <v>4.6779999999999999</v>
      </c>
      <c r="V75">
        <f t="shared" si="44"/>
        <v>0</v>
      </c>
      <c r="W75">
        <f t="shared" si="45"/>
        <v>0</v>
      </c>
      <c r="X75">
        <f t="shared" si="46"/>
        <v>1861.01</v>
      </c>
      <c r="Y75">
        <f t="shared" si="47"/>
        <v>265.86</v>
      </c>
      <c r="AA75">
        <v>76395835</v>
      </c>
      <c r="AB75">
        <f t="shared" si="48"/>
        <v>43151.83</v>
      </c>
      <c r="AC75">
        <f t="shared" si="49"/>
        <v>16498.54</v>
      </c>
      <c r="AD75">
        <f t="shared" si="50"/>
        <v>67.400000000000006</v>
      </c>
      <c r="AE75">
        <f t="shared" si="51"/>
        <v>0.93</v>
      </c>
      <c r="AF75">
        <f t="shared" si="52"/>
        <v>26585.89</v>
      </c>
      <c r="AG75">
        <f t="shared" si="53"/>
        <v>0</v>
      </c>
      <c r="AH75">
        <f t="shared" si="54"/>
        <v>46.78</v>
      </c>
      <c r="AI75">
        <f t="shared" si="55"/>
        <v>0</v>
      </c>
      <c r="AJ75">
        <f t="shared" si="56"/>
        <v>0</v>
      </c>
      <c r="AK75">
        <v>43151.83</v>
      </c>
      <c r="AL75">
        <v>16498.54</v>
      </c>
      <c r="AM75">
        <v>67.400000000000006</v>
      </c>
      <c r="AN75">
        <v>0.93</v>
      </c>
      <c r="AO75">
        <v>26585.89</v>
      </c>
      <c r="AP75">
        <v>0</v>
      </c>
      <c r="AQ75">
        <v>46.78</v>
      </c>
      <c r="AR75">
        <v>0</v>
      </c>
      <c r="AS75">
        <v>0</v>
      </c>
      <c r="AT75">
        <v>70</v>
      </c>
      <c r="AU75">
        <v>10</v>
      </c>
      <c r="AV75">
        <v>1</v>
      </c>
      <c r="AW75">
        <v>1</v>
      </c>
      <c r="AZ75">
        <v>1</v>
      </c>
      <c r="BA75">
        <v>1</v>
      </c>
      <c r="BB75">
        <v>1</v>
      </c>
      <c r="BC75">
        <v>1</v>
      </c>
      <c r="BD75" t="s">
        <v>3</v>
      </c>
      <c r="BE75" t="s">
        <v>3</v>
      </c>
      <c r="BF75" t="s">
        <v>3</v>
      </c>
      <c r="BG75" t="s">
        <v>3</v>
      </c>
      <c r="BH75">
        <v>0</v>
      </c>
      <c r="BI75">
        <v>4</v>
      </c>
      <c r="BJ75" t="s">
        <v>111</v>
      </c>
      <c r="BM75">
        <v>0</v>
      </c>
      <c r="BN75">
        <v>0</v>
      </c>
      <c r="BO75" t="s">
        <v>3</v>
      </c>
      <c r="BP75">
        <v>0</v>
      </c>
      <c r="BQ75">
        <v>1</v>
      </c>
      <c r="BR75">
        <v>0</v>
      </c>
      <c r="BS75">
        <v>1</v>
      </c>
      <c r="BT75">
        <v>1</v>
      </c>
      <c r="BU75">
        <v>1</v>
      </c>
      <c r="BV75">
        <v>1</v>
      </c>
      <c r="BW75">
        <v>1</v>
      </c>
      <c r="BX75">
        <v>1</v>
      </c>
      <c r="BY75" t="s">
        <v>3</v>
      </c>
      <c r="BZ75">
        <v>70</v>
      </c>
      <c r="CA75">
        <v>10</v>
      </c>
      <c r="CB75" t="s">
        <v>3</v>
      </c>
      <c r="CE75">
        <v>0</v>
      </c>
      <c r="CF75">
        <v>0</v>
      </c>
      <c r="CG75">
        <v>0</v>
      </c>
      <c r="CM75">
        <v>0</v>
      </c>
      <c r="CN75" t="s">
        <v>3</v>
      </c>
      <c r="CO75">
        <v>0</v>
      </c>
      <c r="CP75">
        <f t="shared" si="57"/>
        <v>4315.18</v>
      </c>
      <c r="CQ75">
        <f t="shared" si="58"/>
        <v>16498.54</v>
      </c>
      <c r="CR75">
        <f t="shared" si="59"/>
        <v>67.400000000000006</v>
      </c>
      <c r="CS75">
        <f t="shared" si="60"/>
        <v>0.93</v>
      </c>
      <c r="CT75">
        <f t="shared" si="61"/>
        <v>26585.89</v>
      </c>
      <c r="CU75">
        <f t="shared" si="62"/>
        <v>0</v>
      </c>
      <c r="CV75">
        <f t="shared" si="63"/>
        <v>46.78</v>
      </c>
      <c r="CW75">
        <f t="shared" si="64"/>
        <v>0</v>
      </c>
      <c r="CX75">
        <f t="shared" si="65"/>
        <v>0</v>
      </c>
      <c r="CY75">
        <f t="shared" si="66"/>
        <v>1861.0130000000001</v>
      </c>
      <c r="CZ75">
        <f t="shared" si="67"/>
        <v>265.85900000000004</v>
      </c>
      <c r="DC75" t="s">
        <v>3</v>
      </c>
      <c r="DD75" t="s">
        <v>3</v>
      </c>
      <c r="DE75" t="s">
        <v>3</v>
      </c>
      <c r="DF75" t="s">
        <v>3</v>
      </c>
      <c r="DG75" t="s">
        <v>3</v>
      </c>
      <c r="DH75" t="s">
        <v>3</v>
      </c>
      <c r="DI75" t="s">
        <v>3</v>
      </c>
      <c r="DJ75" t="s">
        <v>3</v>
      </c>
      <c r="DK75" t="s">
        <v>3</v>
      </c>
      <c r="DL75" t="s">
        <v>3</v>
      </c>
      <c r="DM75" t="s">
        <v>3</v>
      </c>
      <c r="DN75">
        <v>0</v>
      </c>
      <c r="DO75">
        <v>0</v>
      </c>
      <c r="DP75">
        <v>1</v>
      </c>
      <c r="DQ75">
        <v>1</v>
      </c>
      <c r="DU75">
        <v>1003</v>
      </c>
      <c r="DV75" t="s">
        <v>110</v>
      </c>
      <c r="DW75" t="s">
        <v>110</v>
      </c>
      <c r="DX75">
        <v>100</v>
      </c>
      <c r="DZ75" t="s">
        <v>3</v>
      </c>
      <c r="EA75" t="s">
        <v>3</v>
      </c>
      <c r="EB75" t="s">
        <v>3</v>
      </c>
      <c r="EC75" t="s">
        <v>3</v>
      </c>
      <c r="EE75">
        <v>75858748</v>
      </c>
      <c r="EF75">
        <v>1</v>
      </c>
      <c r="EG75" t="s">
        <v>19</v>
      </c>
      <c r="EH75">
        <v>0</v>
      </c>
      <c r="EI75" t="s">
        <v>3</v>
      </c>
      <c r="EJ75">
        <v>4</v>
      </c>
      <c r="EK75">
        <v>0</v>
      </c>
      <c r="EL75" t="s">
        <v>20</v>
      </c>
      <c r="EM75" t="s">
        <v>21</v>
      </c>
      <c r="EO75" t="s">
        <v>3</v>
      </c>
      <c r="EQ75">
        <v>0</v>
      </c>
      <c r="ER75">
        <v>43151.83</v>
      </c>
      <c r="ES75">
        <v>16498.54</v>
      </c>
      <c r="ET75">
        <v>67.400000000000006</v>
      </c>
      <c r="EU75">
        <v>0.93</v>
      </c>
      <c r="EV75">
        <v>26585.89</v>
      </c>
      <c r="EW75">
        <v>46.78</v>
      </c>
      <c r="EX75">
        <v>0</v>
      </c>
      <c r="EY75">
        <v>0</v>
      </c>
      <c r="FQ75">
        <v>0</v>
      </c>
      <c r="FR75">
        <v>0</v>
      </c>
      <c r="FS75">
        <v>0</v>
      </c>
      <c r="FX75">
        <v>70</v>
      </c>
      <c r="FY75">
        <v>10</v>
      </c>
      <c r="GA75" t="s">
        <v>3</v>
      </c>
      <c r="GD75">
        <v>0</v>
      </c>
      <c r="GF75">
        <v>2067566509</v>
      </c>
      <c r="GG75">
        <v>2</v>
      </c>
      <c r="GH75">
        <v>1</v>
      </c>
      <c r="GI75">
        <v>-2</v>
      </c>
      <c r="GJ75">
        <v>0</v>
      </c>
      <c r="GK75">
        <f>ROUND(R75*(R12)/100,2)</f>
        <v>0.1</v>
      </c>
      <c r="GL75">
        <f t="shared" si="68"/>
        <v>0</v>
      </c>
      <c r="GM75">
        <f t="shared" si="69"/>
        <v>6442.15</v>
      </c>
      <c r="GN75">
        <f t="shared" si="70"/>
        <v>0</v>
      </c>
      <c r="GO75">
        <f t="shared" si="71"/>
        <v>0</v>
      </c>
      <c r="GP75">
        <f t="shared" si="72"/>
        <v>6442.15</v>
      </c>
      <c r="GR75">
        <v>0</v>
      </c>
      <c r="GS75">
        <v>3</v>
      </c>
      <c r="GT75">
        <v>0</v>
      </c>
      <c r="GU75" t="s">
        <v>3</v>
      </c>
      <c r="GV75">
        <f t="shared" si="73"/>
        <v>0</v>
      </c>
      <c r="GW75">
        <v>1</v>
      </c>
      <c r="GX75">
        <f t="shared" si="74"/>
        <v>0</v>
      </c>
      <c r="HA75">
        <v>0</v>
      </c>
      <c r="HB75">
        <v>0</v>
      </c>
      <c r="HC75">
        <f t="shared" si="75"/>
        <v>0</v>
      </c>
      <c r="HE75" t="s">
        <v>3</v>
      </c>
      <c r="HF75" t="s">
        <v>3</v>
      </c>
      <c r="HM75" t="s">
        <v>3</v>
      </c>
      <c r="HN75" t="s">
        <v>3</v>
      </c>
      <c r="HO75" t="s">
        <v>3</v>
      </c>
      <c r="HP75" t="s">
        <v>3</v>
      </c>
      <c r="HQ75" t="s">
        <v>3</v>
      </c>
      <c r="HS75">
        <v>0</v>
      </c>
      <c r="IK75">
        <v>0</v>
      </c>
    </row>
    <row r="76" spans="1:245" x14ac:dyDescent="0.2">
      <c r="A76">
        <v>18</v>
      </c>
      <c r="B76">
        <v>1</v>
      </c>
      <c r="C76">
        <v>25</v>
      </c>
      <c r="E76" t="s">
        <v>112</v>
      </c>
      <c r="F76" t="s">
        <v>113</v>
      </c>
      <c r="G76" t="s">
        <v>114</v>
      </c>
      <c r="H76" t="s">
        <v>115</v>
      </c>
      <c r="I76">
        <f>I75*J76</f>
        <v>-10</v>
      </c>
      <c r="J76">
        <v>-100</v>
      </c>
      <c r="K76">
        <v>-100</v>
      </c>
      <c r="O76">
        <f t="shared" si="37"/>
        <v>-452.2</v>
      </c>
      <c r="P76">
        <f t="shared" si="38"/>
        <v>-452.2</v>
      </c>
      <c r="Q76">
        <f t="shared" si="39"/>
        <v>0</v>
      </c>
      <c r="R76">
        <f t="shared" si="40"/>
        <v>0</v>
      </c>
      <c r="S76">
        <f t="shared" si="41"/>
        <v>0</v>
      </c>
      <c r="T76">
        <f t="shared" si="42"/>
        <v>0</v>
      </c>
      <c r="U76">
        <f t="shared" si="43"/>
        <v>0</v>
      </c>
      <c r="V76">
        <f t="shared" si="44"/>
        <v>0</v>
      </c>
      <c r="W76">
        <f t="shared" si="45"/>
        <v>0</v>
      </c>
      <c r="X76">
        <f t="shared" si="46"/>
        <v>0</v>
      </c>
      <c r="Y76">
        <f t="shared" si="47"/>
        <v>0</v>
      </c>
      <c r="AA76">
        <v>76395835</v>
      </c>
      <c r="AB76">
        <f t="shared" si="48"/>
        <v>45.22</v>
      </c>
      <c r="AC76">
        <f t="shared" si="49"/>
        <v>45.22</v>
      </c>
      <c r="AD76">
        <f t="shared" si="50"/>
        <v>0</v>
      </c>
      <c r="AE76">
        <f t="shared" si="51"/>
        <v>0</v>
      </c>
      <c r="AF76">
        <f t="shared" si="52"/>
        <v>0</v>
      </c>
      <c r="AG76">
        <f t="shared" si="53"/>
        <v>0</v>
      </c>
      <c r="AH76">
        <f t="shared" si="54"/>
        <v>0</v>
      </c>
      <c r="AI76">
        <f t="shared" si="55"/>
        <v>0</v>
      </c>
      <c r="AJ76">
        <f t="shared" si="56"/>
        <v>0</v>
      </c>
      <c r="AK76">
        <v>45.22</v>
      </c>
      <c r="AL76">
        <v>45.22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70</v>
      </c>
      <c r="AU76">
        <v>10</v>
      </c>
      <c r="AV76">
        <v>1</v>
      </c>
      <c r="AW76">
        <v>1</v>
      </c>
      <c r="AZ76">
        <v>1</v>
      </c>
      <c r="BA76">
        <v>1</v>
      </c>
      <c r="BB76">
        <v>1</v>
      </c>
      <c r="BC76">
        <v>1</v>
      </c>
      <c r="BD76" t="s">
        <v>3</v>
      </c>
      <c r="BE76" t="s">
        <v>3</v>
      </c>
      <c r="BF76" t="s">
        <v>3</v>
      </c>
      <c r="BG76" t="s">
        <v>3</v>
      </c>
      <c r="BH76">
        <v>3</v>
      </c>
      <c r="BI76">
        <v>4</v>
      </c>
      <c r="BJ76" t="s">
        <v>116</v>
      </c>
      <c r="BM76">
        <v>0</v>
      </c>
      <c r="BN76">
        <v>0</v>
      </c>
      <c r="BO76" t="s">
        <v>3</v>
      </c>
      <c r="BP76">
        <v>0</v>
      </c>
      <c r="BQ76">
        <v>1</v>
      </c>
      <c r="BR76">
        <v>0</v>
      </c>
      <c r="BS76">
        <v>1</v>
      </c>
      <c r="BT76">
        <v>1</v>
      </c>
      <c r="BU76">
        <v>1</v>
      </c>
      <c r="BV76">
        <v>1</v>
      </c>
      <c r="BW76">
        <v>1</v>
      </c>
      <c r="BX76">
        <v>1</v>
      </c>
      <c r="BY76" t="s">
        <v>3</v>
      </c>
      <c r="BZ76">
        <v>70</v>
      </c>
      <c r="CA76">
        <v>10</v>
      </c>
      <c r="CB76" t="s">
        <v>3</v>
      </c>
      <c r="CE76">
        <v>0</v>
      </c>
      <c r="CF76">
        <v>0</v>
      </c>
      <c r="CG76">
        <v>0</v>
      </c>
      <c r="CM76">
        <v>0</v>
      </c>
      <c r="CN76" t="s">
        <v>3</v>
      </c>
      <c r="CO76">
        <v>0</v>
      </c>
      <c r="CP76">
        <f t="shared" si="57"/>
        <v>-452.2</v>
      </c>
      <c r="CQ76">
        <f t="shared" si="58"/>
        <v>45.22</v>
      </c>
      <c r="CR76">
        <f t="shared" si="59"/>
        <v>0</v>
      </c>
      <c r="CS76">
        <f t="shared" si="60"/>
        <v>0</v>
      </c>
      <c r="CT76">
        <f t="shared" si="61"/>
        <v>0</v>
      </c>
      <c r="CU76">
        <f t="shared" si="62"/>
        <v>0</v>
      </c>
      <c r="CV76">
        <f t="shared" si="63"/>
        <v>0</v>
      </c>
      <c r="CW76">
        <f t="shared" si="64"/>
        <v>0</v>
      </c>
      <c r="CX76">
        <f t="shared" si="65"/>
        <v>0</v>
      </c>
      <c r="CY76">
        <f t="shared" si="66"/>
        <v>0</v>
      </c>
      <c r="CZ76">
        <f t="shared" si="67"/>
        <v>0</v>
      </c>
      <c r="DC76" t="s">
        <v>3</v>
      </c>
      <c r="DD76" t="s">
        <v>3</v>
      </c>
      <c r="DE76" t="s">
        <v>3</v>
      </c>
      <c r="DF76" t="s">
        <v>3</v>
      </c>
      <c r="DG76" t="s">
        <v>3</v>
      </c>
      <c r="DH76" t="s">
        <v>3</v>
      </c>
      <c r="DI76" t="s">
        <v>3</v>
      </c>
      <c r="DJ76" t="s">
        <v>3</v>
      </c>
      <c r="DK76" t="s">
        <v>3</v>
      </c>
      <c r="DL76" t="s">
        <v>3</v>
      </c>
      <c r="DM76" t="s">
        <v>3</v>
      </c>
      <c r="DN76">
        <v>0</v>
      </c>
      <c r="DO76">
        <v>0</v>
      </c>
      <c r="DP76">
        <v>1</v>
      </c>
      <c r="DQ76">
        <v>1</v>
      </c>
      <c r="DU76">
        <v>1003</v>
      </c>
      <c r="DV76" t="s">
        <v>115</v>
      </c>
      <c r="DW76" t="s">
        <v>115</v>
      </c>
      <c r="DX76">
        <v>1</v>
      </c>
      <c r="DZ76" t="s">
        <v>3</v>
      </c>
      <c r="EA76" t="s">
        <v>3</v>
      </c>
      <c r="EB76" t="s">
        <v>3</v>
      </c>
      <c r="EC76" t="s">
        <v>3</v>
      </c>
      <c r="EE76">
        <v>75858748</v>
      </c>
      <c r="EF76">
        <v>1</v>
      </c>
      <c r="EG76" t="s">
        <v>19</v>
      </c>
      <c r="EH76">
        <v>0</v>
      </c>
      <c r="EI76" t="s">
        <v>3</v>
      </c>
      <c r="EJ76">
        <v>4</v>
      </c>
      <c r="EK76">
        <v>0</v>
      </c>
      <c r="EL76" t="s">
        <v>20</v>
      </c>
      <c r="EM76" t="s">
        <v>21</v>
      </c>
      <c r="EO76" t="s">
        <v>3</v>
      </c>
      <c r="EQ76">
        <v>0</v>
      </c>
      <c r="ER76">
        <v>45.22</v>
      </c>
      <c r="ES76">
        <v>45.22</v>
      </c>
      <c r="ET76">
        <v>0</v>
      </c>
      <c r="EU76">
        <v>0</v>
      </c>
      <c r="EV76">
        <v>0</v>
      </c>
      <c r="EW76">
        <v>0</v>
      </c>
      <c r="EX76">
        <v>0</v>
      </c>
      <c r="FQ76">
        <v>0</v>
      </c>
      <c r="FR76">
        <v>0</v>
      </c>
      <c r="FS76">
        <v>0</v>
      </c>
      <c r="FX76">
        <v>70</v>
      </c>
      <c r="FY76">
        <v>10</v>
      </c>
      <c r="GA76" t="s">
        <v>3</v>
      </c>
      <c r="GD76">
        <v>0</v>
      </c>
      <c r="GF76">
        <v>346125033</v>
      </c>
      <c r="GG76">
        <v>2</v>
      </c>
      <c r="GH76">
        <v>1</v>
      </c>
      <c r="GI76">
        <v>-2</v>
      </c>
      <c r="GJ76">
        <v>0</v>
      </c>
      <c r="GK76">
        <f>ROUND(R76*(R12)/100,2)</f>
        <v>0</v>
      </c>
      <c r="GL76">
        <f t="shared" si="68"/>
        <v>0</v>
      </c>
      <c r="GM76">
        <f t="shared" si="69"/>
        <v>-452.2</v>
      </c>
      <c r="GN76">
        <f t="shared" si="70"/>
        <v>0</v>
      </c>
      <c r="GO76">
        <f t="shared" si="71"/>
        <v>0</v>
      </c>
      <c r="GP76">
        <f t="shared" si="72"/>
        <v>-452.2</v>
      </c>
      <c r="GR76">
        <v>0</v>
      </c>
      <c r="GS76">
        <v>3</v>
      </c>
      <c r="GT76">
        <v>0</v>
      </c>
      <c r="GU76" t="s">
        <v>3</v>
      </c>
      <c r="GV76">
        <f t="shared" si="73"/>
        <v>0</v>
      </c>
      <c r="GW76">
        <v>1</v>
      </c>
      <c r="GX76">
        <f t="shared" si="74"/>
        <v>0</v>
      </c>
      <c r="HA76">
        <v>0</v>
      </c>
      <c r="HB76">
        <v>0</v>
      </c>
      <c r="HC76">
        <f t="shared" si="75"/>
        <v>0</v>
      </c>
      <c r="HE76" t="s">
        <v>3</v>
      </c>
      <c r="HF76" t="s">
        <v>3</v>
      </c>
      <c r="HM76" t="s">
        <v>3</v>
      </c>
      <c r="HN76" t="s">
        <v>3</v>
      </c>
      <c r="HO76" t="s">
        <v>3</v>
      </c>
      <c r="HP76" t="s">
        <v>3</v>
      </c>
      <c r="HQ76" t="s">
        <v>3</v>
      </c>
      <c r="HS76">
        <v>0</v>
      </c>
      <c r="IK76">
        <v>0</v>
      </c>
    </row>
    <row r="77" spans="1:245" x14ac:dyDescent="0.2">
      <c r="A77">
        <v>18</v>
      </c>
      <c r="B77">
        <v>1</v>
      </c>
      <c r="C77">
        <v>27</v>
      </c>
      <c r="E77" t="s">
        <v>117</v>
      </c>
      <c r="F77" t="s">
        <v>118</v>
      </c>
      <c r="G77" t="s">
        <v>119</v>
      </c>
      <c r="H77" t="s">
        <v>120</v>
      </c>
      <c r="I77">
        <f>I75*J77</f>
        <v>-2.0000000000000001E-4</v>
      </c>
      <c r="J77">
        <v>-2E-3</v>
      </c>
      <c r="K77">
        <v>-2E-3</v>
      </c>
      <c r="O77">
        <f t="shared" si="37"/>
        <v>-9.23</v>
      </c>
      <c r="P77">
        <f t="shared" si="38"/>
        <v>-9.23</v>
      </c>
      <c r="Q77">
        <f t="shared" si="39"/>
        <v>0</v>
      </c>
      <c r="R77">
        <f t="shared" si="40"/>
        <v>0</v>
      </c>
      <c r="S77">
        <f t="shared" si="41"/>
        <v>0</v>
      </c>
      <c r="T77">
        <f t="shared" si="42"/>
        <v>0</v>
      </c>
      <c r="U77">
        <f t="shared" si="43"/>
        <v>0</v>
      </c>
      <c r="V77">
        <f t="shared" si="44"/>
        <v>0</v>
      </c>
      <c r="W77">
        <f t="shared" si="45"/>
        <v>0</v>
      </c>
      <c r="X77">
        <f t="shared" si="46"/>
        <v>0</v>
      </c>
      <c r="Y77">
        <f t="shared" si="47"/>
        <v>0</v>
      </c>
      <c r="AA77">
        <v>76395835</v>
      </c>
      <c r="AB77">
        <f t="shared" si="48"/>
        <v>46130.16</v>
      </c>
      <c r="AC77">
        <f t="shared" si="49"/>
        <v>46130.16</v>
      </c>
      <c r="AD77">
        <f t="shared" si="50"/>
        <v>0</v>
      </c>
      <c r="AE77">
        <f t="shared" si="51"/>
        <v>0</v>
      </c>
      <c r="AF77">
        <f t="shared" si="52"/>
        <v>0</v>
      </c>
      <c r="AG77">
        <f t="shared" si="53"/>
        <v>0</v>
      </c>
      <c r="AH77">
        <f t="shared" si="54"/>
        <v>0</v>
      </c>
      <c r="AI77">
        <f t="shared" si="55"/>
        <v>0</v>
      </c>
      <c r="AJ77">
        <f t="shared" si="56"/>
        <v>0</v>
      </c>
      <c r="AK77">
        <v>46130.16</v>
      </c>
      <c r="AL77">
        <v>46130.16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70</v>
      </c>
      <c r="AU77">
        <v>10</v>
      </c>
      <c r="AV77">
        <v>1</v>
      </c>
      <c r="AW77">
        <v>1</v>
      </c>
      <c r="AZ77">
        <v>1</v>
      </c>
      <c r="BA77">
        <v>1</v>
      </c>
      <c r="BB77">
        <v>1</v>
      </c>
      <c r="BC77">
        <v>1</v>
      </c>
      <c r="BD77" t="s">
        <v>3</v>
      </c>
      <c r="BE77" t="s">
        <v>3</v>
      </c>
      <c r="BF77" t="s">
        <v>3</v>
      </c>
      <c r="BG77" t="s">
        <v>3</v>
      </c>
      <c r="BH77">
        <v>3</v>
      </c>
      <c r="BI77">
        <v>4</v>
      </c>
      <c r="BJ77" t="s">
        <v>121</v>
      </c>
      <c r="BM77">
        <v>0</v>
      </c>
      <c r="BN77">
        <v>0</v>
      </c>
      <c r="BO77" t="s">
        <v>3</v>
      </c>
      <c r="BP77">
        <v>0</v>
      </c>
      <c r="BQ77">
        <v>1</v>
      </c>
      <c r="BR77">
        <v>0</v>
      </c>
      <c r="BS77">
        <v>1</v>
      </c>
      <c r="BT77">
        <v>1</v>
      </c>
      <c r="BU77">
        <v>1</v>
      </c>
      <c r="BV77">
        <v>1</v>
      </c>
      <c r="BW77">
        <v>1</v>
      </c>
      <c r="BX77">
        <v>1</v>
      </c>
      <c r="BY77" t="s">
        <v>3</v>
      </c>
      <c r="BZ77">
        <v>70</v>
      </c>
      <c r="CA77">
        <v>10</v>
      </c>
      <c r="CB77" t="s">
        <v>3</v>
      </c>
      <c r="CE77">
        <v>0</v>
      </c>
      <c r="CF77">
        <v>0</v>
      </c>
      <c r="CG77">
        <v>0</v>
      </c>
      <c r="CM77">
        <v>0</v>
      </c>
      <c r="CN77" t="s">
        <v>3</v>
      </c>
      <c r="CO77">
        <v>0</v>
      </c>
      <c r="CP77">
        <f t="shared" si="57"/>
        <v>-9.23</v>
      </c>
      <c r="CQ77">
        <f t="shared" si="58"/>
        <v>46130.16</v>
      </c>
      <c r="CR77">
        <f t="shared" si="59"/>
        <v>0</v>
      </c>
      <c r="CS77">
        <f t="shared" si="60"/>
        <v>0</v>
      </c>
      <c r="CT77">
        <f t="shared" si="61"/>
        <v>0</v>
      </c>
      <c r="CU77">
        <f t="shared" si="62"/>
        <v>0</v>
      </c>
      <c r="CV77">
        <f t="shared" si="63"/>
        <v>0</v>
      </c>
      <c r="CW77">
        <f t="shared" si="64"/>
        <v>0</v>
      </c>
      <c r="CX77">
        <f t="shared" si="65"/>
        <v>0</v>
      </c>
      <c r="CY77">
        <f t="shared" si="66"/>
        <v>0</v>
      </c>
      <c r="CZ77">
        <f t="shared" si="67"/>
        <v>0</v>
      </c>
      <c r="DC77" t="s">
        <v>3</v>
      </c>
      <c r="DD77" t="s">
        <v>3</v>
      </c>
      <c r="DE77" t="s">
        <v>3</v>
      </c>
      <c r="DF77" t="s">
        <v>3</v>
      </c>
      <c r="DG77" t="s">
        <v>3</v>
      </c>
      <c r="DH77" t="s">
        <v>3</v>
      </c>
      <c r="DI77" t="s">
        <v>3</v>
      </c>
      <c r="DJ77" t="s">
        <v>3</v>
      </c>
      <c r="DK77" t="s">
        <v>3</v>
      </c>
      <c r="DL77" t="s">
        <v>3</v>
      </c>
      <c r="DM77" t="s">
        <v>3</v>
      </c>
      <c r="DN77">
        <v>0</v>
      </c>
      <c r="DO77">
        <v>0</v>
      </c>
      <c r="DP77">
        <v>1</v>
      </c>
      <c r="DQ77">
        <v>1</v>
      </c>
      <c r="DU77">
        <v>1010</v>
      </c>
      <c r="DV77" t="s">
        <v>120</v>
      </c>
      <c r="DW77" t="s">
        <v>120</v>
      </c>
      <c r="DX77">
        <v>1000</v>
      </c>
      <c r="DZ77" t="s">
        <v>3</v>
      </c>
      <c r="EA77" t="s">
        <v>3</v>
      </c>
      <c r="EB77" t="s">
        <v>3</v>
      </c>
      <c r="EC77" t="s">
        <v>3</v>
      </c>
      <c r="EE77">
        <v>75858748</v>
      </c>
      <c r="EF77">
        <v>1</v>
      </c>
      <c r="EG77" t="s">
        <v>19</v>
      </c>
      <c r="EH77">
        <v>0</v>
      </c>
      <c r="EI77" t="s">
        <v>3</v>
      </c>
      <c r="EJ77">
        <v>4</v>
      </c>
      <c r="EK77">
        <v>0</v>
      </c>
      <c r="EL77" t="s">
        <v>20</v>
      </c>
      <c r="EM77" t="s">
        <v>21</v>
      </c>
      <c r="EO77" t="s">
        <v>3</v>
      </c>
      <c r="EQ77">
        <v>0</v>
      </c>
      <c r="ER77">
        <v>46130.16</v>
      </c>
      <c r="ES77">
        <v>46130.16</v>
      </c>
      <c r="ET77">
        <v>0</v>
      </c>
      <c r="EU77">
        <v>0</v>
      </c>
      <c r="EV77">
        <v>0</v>
      </c>
      <c r="EW77">
        <v>0</v>
      </c>
      <c r="EX77">
        <v>0</v>
      </c>
      <c r="FQ77">
        <v>0</v>
      </c>
      <c r="FR77">
        <v>0</v>
      </c>
      <c r="FS77">
        <v>0</v>
      </c>
      <c r="FX77">
        <v>70</v>
      </c>
      <c r="FY77">
        <v>10</v>
      </c>
      <c r="GA77" t="s">
        <v>3</v>
      </c>
      <c r="GD77">
        <v>0</v>
      </c>
      <c r="GF77">
        <v>2135828952</v>
      </c>
      <c r="GG77">
        <v>2</v>
      </c>
      <c r="GH77">
        <v>1</v>
      </c>
      <c r="GI77">
        <v>-2</v>
      </c>
      <c r="GJ77">
        <v>0</v>
      </c>
      <c r="GK77">
        <f>ROUND(R77*(R12)/100,2)</f>
        <v>0</v>
      </c>
      <c r="GL77">
        <f t="shared" si="68"/>
        <v>0</v>
      </c>
      <c r="GM77">
        <f t="shared" si="69"/>
        <v>-9.23</v>
      </c>
      <c r="GN77">
        <f t="shared" si="70"/>
        <v>0</v>
      </c>
      <c r="GO77">
        <f t="shared" si="71"/>
        <v>0</v>
      </c>
      <c r="GP77">
        <f t="shared" si="72"/>
        <v>-9.23</v>
      </c>
      <c r="GR77">
        <v>0</v>
      </c>
      <c r="GS77">
        <v>3</v>
      </c>
      <c r="GT77">
        <v>0</v>
      </c>
      <c r="GU77" t="s">
        <v>3</v>
      </c>
      <c r="GV77">
        <f t="shared" si="73"/>
        <v>0</v>
      </c>
      <c r="GW77">
        <v>1</v>
      </c>
      <c r="GX77">
        <f t="shared" si="74"/>
        <v>0</v>
      </c>
      <c r="HA77">
        <v>0</v>
      </c>
      <c r="HB77">
        <v>0</v>
      </c>
      <c r="HC77">
        <f t="shared" si="75"/>
        <v>0</v>
      </c>
      <c r="HE77" t="s">
        <v>3</v>
      </c>
      <c r="HF77" t="s">
        <v>3</v>
      </c>
      <c r="HM77" t="s">
        <v>3</v>
      </c>
      <c r="HN77" t="s">
        <v>3</v>
      </c>
      <c r="HO77" t="s">
        <v>3</v>
      </c>
      <c r="HP77" t="s">
        <v>3</v>
      </c>
      <c r="HQ77" t="s">
        <v>3</v>
      </c>
      <c r="HS77">
        <v>0</v>
      </c>
      <c r="IK77">
        <v>0</v>
      </c>
    </row>
    <row r="78" spans="1:245" x14ac:dyDescent="0.2">
      <c r="A78">
        <v>18</v>
      </c>
      <c r="B78">
        <v>1</v>
      </c>
      <c r="C78">
        <v>29</v>
      </c>
      <c r="E78" t="s">
        <v>122</v>
      </c>
      <c r="F78" t="s">
        <v>123</v>
      </c>
      <c r="G78" t="s">
        <v>124</v>
      </c>
      <c r="H78" t="s">
        <v>120</v>
      </c>
      <c r="I78">
        <f>I75*J78</f>
        <v>-1.5E-3</v>
      </c>
      <c r="J78">
        <v>-1.4999999999999999E-2</v>
      </c>
      <c r="K78">
        <v>-1.4999999999999999E-2</v>
      </c>
      <c r="O78">
        <f t="shared" si="37"/>
        <v>-71.5</v>
      </c>
      <c r="P78">
        <f t="shared" si="38"/>
        <v>-71.5</v>
      </c>
      <c r="Q78">
        <f t="shared" si="39"/>
        <v>0</v>
      </c>
      <c r="R78">
        <f t="shared" si="40"/>
        <v>0</v>
      </c>
      <c r="S78">
        <f t="shared" si="41"/>
        <v>0</v>
      </c>
      <c r="T78">
        <f t="shared" si="42"/>
        <v>0</v>
      </c>
      <c r="U78">
        <f t="shared" si="43"/>
        <v>0</v>
      </c>
      <c r="V78">
        <f t="shared" si="44"/>
        <v>0</v>
      </c>
      <c r="W78">
        <f t="shared" si="45"/>
        <v>0</v>
      </c>
      <c r="X78">
        <f t="shared" si="46"/>
        <v>0</v>
      </c>
      <c r="Y78">
        <f t="shared" si="47"/>
        <v>0</v>
      </c>
      <c r="AA78">
        <v>76395835</v>
      </c>
      <c r="AB78">
        <f t="shared" si="48"/>
        <v>47663.58</v>
      </c>
      <c r="AC78">
        <f t="shared" si="49"/>
        <v>47663.58</v>
      </c>
      <c r="AD78">
        <f t="shared" si="50"/>
        <v>0</v>
      </c>
      <c r="AE78">
        <f t="shared" si="51"/>
        <v>0</v>
      </c>
      <c r="AF78">
        <f t="shared" si="52"/>
        <v>0</v>
      </c>
      <c r="AG78">
        <f t="shared" si="53"/>
        <v>0</v>
      </c>
      <c r="AH78">
        <f t="shared" si="54"/>
        <v>0</v>
      </c>
      <c r="AI78">
        <f t="shared" si="55"/>
        <v>0</v>
      </c>
      <c r="AJ78">
        <f t="shared" si="56"/>
        <v>0</v>
      </c>
      <c r="AK78">
        <v>47663.58</v>
      </c>
      <c r="AL78">
        <v>47663.58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70</v>
      </c>
      <c r="AU78">
        <v>10</v>
      </c>
      <c r="AV78">
        <v>1</v>
      </c>
      <c r="AW78">
        <v>1</v>
      </c>
      <c r="AZ78">
        <v>1</v>
      </c>
      <c r="BA78">
        <v>1</v>
      </c>
      <c r="BB78">
        <v>1</v>
      </c>
      <c r="BC78">
        <v>1</v>
      </c>
      <c r="BD78" t="s">
        <v>3</v>
      </c>
      <c r="BE78" t="s">
        <v>3</v>
      </c>
      <c r="BF78" t="s">
        <v>3</v>
      </c>
      <c r="BG78" t="s">
        <v>3</v>
      </c>
      <c r="BH78">
        <v>3</v>
      </c>
      <c r="BI78">
        <v>4</v>
      </c>
      <c r="BJ78" t="s">
        <v>125</v>
      </c>
      <c r="BM78">
        <v>0</v>
      </c>
      <c r="BN78">
        <v>0</v>
      </c>
      <c r="BO78" t="s">
        <v>3</v>
      </c>
      <c r="BP78">
        <v>0</v>
      </c>
      <c r="BQ78">
        <v>1</v>
      </c>
      <c r="BR78">
        <v>0</v>
      </c>
      <c r="BS78">
        <v>1</v>
      </c>
      <c r="BT78">
        <v>1</v>
      </c>
      <c r="BU78">
        <v>1</v>
      </c>
      <c r="BV78">
        <v>1</v>
      </c>
      <c r="BW78">
        <v>1</v>
      </c>
      <c r="BX78">
        <v>1</v>
      </c>
      <c r="BY78" t="s">
        <v>3</v>
      </c>
      <c r="BZ78">
        <v>70</v>
      </c>
      <c r="CA78">
        <v>10</v>
      </c>
      <c r="CB78" t="s">
        <v>3</v>
      </c>
      <c r="CE78">
        <v>0</v>
      </c>
      <c r="CF78">
        <v>0</v>
      </c>
      <c r="CG78">
        <v>0</v>
      </c>
      <c r="CM78">
        <v>0</v>
      </c>
      <c r="CN78" t="s">
        <v>3</v>
      </c>
      <c r="CO78">
        <v>0</v>
      </c>
      <c r="CP78">
        <f t="shared" si="57"/>
        <v>-71.5</v>
      </c>
      <c r="CQ78">
        <f t="shared" si="58"/>
        <v>47663.58</v>
      </c>
      <c r="CR78">
        <f t="shared" si="59"/>
        <v>0</v>
      </c>
      <c r="CS78">
        <f t="shared" si="60"/>
        <v>0</v>
      </c>
      <c r="CT78">
        <f t="shared" si="61"/>
        <v>0</v>
      </c>
      <c r="CU78">
        <f t="shared" si="62"/>
        <v>0</v>
      </c>
      <c r="CV78">
        <f t="shared" si="63"/>
        <v>0</v>
      </c>
      <c r="CW78">
        <f t="shared" si="64"/>
        <v>0</v>
      </c>
      <c r="CX78">
        <f t="shared" si="65"/>
        <v>0</v>
      </c>
      <c r="CY78">
        <f t="shared" si="66"/>
        <v>0</v>
      </c>
      <c r="CZ78">
        <f t="shared" si="67"/>
        <v>0</v>
      </c>
      <c r="DC78" t="s">
        <v>3</v>
      </c>
      <c r="DD78" t="s">
        <v>3</v>
      </c>
      <c r="DE78" t="s">
        <v>3</v>
      </c>
      <c r="DF78" t="s">
        <v>3</v>
      </c>
      <c r="DG78" t="s">
        <v>3</v>
      </c>
      <c r="DH78" t="s">
        <v>3</v>
      </c>
      <c r="DI78" t="s">
        <v>3</v>
      </c>
      <c r="DJ78" t="s">
        <v>3</v>
      </c>
      <c r="DK78" t="s">
        <v>3</v>
      </c>
      <c r="DL78" t="s">
        <v>3</v>
      </c>
      <c r="DM78" t="s">
        <v>3</v>
      </c>
      <c r="DN78">
        <v>0</v>
      </c>
      <c r="DO78">
        <v>0</v>
      </c>
      <c r="DP78">
        <v>1</v>
      </c>
      <c r="DQ78">
        <v>1</v>
      </c>
      <c r="DU78">
        <v>1010</v>
      </c>
      <c r="DV78" t="s">
        <v>120</v>
      </c>
      <c r="DW78" t="s">
        <v>120</v>
      </c>
      <c r="DX78">
        <v>1000</v>
      </c>
      <c r="DZ78" t="s">
        <v>3</v>
      </c>
      <c r="EA78" t="s">
        <v>3</v>
      </c>
      <c r="EB78" t="s">
        <v>3</v>
      </c>
      <c r="EC78" t="s">
        <v>3</v>
      </c>
      <c r="EE78">
        <v>75858748</v>
      </c>
      <c r="EF78">
        <v>1</v>
      </c>
      <c r="EG78" t="s">
        <v>19</v>
      </c>
      <c r="EH78">
        <v>0</v>
      </c>
      <c r="EI78" t="s">
        <v>3</v>
      </c>
      <c r="EJ78">
        <v>4</v>
      </c>
      <c r="EK78">
        <v>0</v>
      </c>
      <c r="EL78" t="s">
        <v>20</v>
      </c>
      <c r="EM78" t="s">
        <v>21</v>
      </c>
      <c r="EO78" t="s">
        <v>3</v>
      </c>
      <c r="EQ78">
        <v>0</v>
      </c>
      <c r="ER78">
        <v>47663.58</v>
      </c>
      <c r="ES78">
        <v>47663.58</v>
      </c>
      <c r="ET78">
        <v>0</v>
      </c>
      <c r="EU78">
        <v>0</v>
      </c>
      <c r="EV78">
        <v>0</v>
      </c>
      <c r="EW78">
        <v>0</v>
      </c>
      <c r="EX78">
        <v>0</v>
      </c>
      <c r="FQ78">
        <v>0</v>
      </c>
      <c r="FR78">
        <v>0</v>
      </c>
      <c r="FS78">
        <v>0</v>
      </c>
      <c r="FX78">
        <v>70</v>
      </c>
      <c r="FY78">
        <v>10</v>
      </c>
      <c r="GA78" t="s">
        <v>3</v>
      </c>
      <c r="GD78">
        <v>0</v>
      </c>
      <c r="GF78">
        <v>1788884033</v>
      </c>
      <c r="GG78">
        <v>2</v>
      </c>
      <c r="GH78">
        <v>1</v>
      </c>
      <c r="GI78">
        <v>-2</v>
      </c>
      <c r="GJ78">
        <v>0</v>
      </c>
      <c r="GK78">
        <f>ROUND(R78*(R12)/100,2)</f>
        <v>0</v>
      </c>
      <c r="GL78">
        <f t="shared" si="68"/>
        <v>0</v>
      </c>
      <c r="GM78">
        <f t="shared" si="69"/>
        <v>-71.5</v>
      </c>
      <c r="GN78">
        <f t="shared" si="70"/>
        <v>0</v>
      </c>
      <c r="GO78">
        <f t="shared" si="71"/>
        <v>0</v>
      </c>
      <c r="GP78">
        <f t="shared" si="72"/>
        <v>-71.5</v>
      </c>
      <c r="GR78">
        <v>0</v>
      </c>
      <c r="GS78">
        <v>3</v>
      </c>
      <c r="GT78">
        <v>0</v>
      </c>
      <c r="GU78" t="s">
        <v>3</v>
      </c>
      <c r="GV78">
        <f t="shared" si="73"/>
        <v>0</v>
      </c>
      <c r="GW78">
        <v>1</v>
      </c>
      <c r="GX78">
        <f t="shared" si="74"/>
        <v>0</v>
      </c>
      <c r="HA78">
        <v>0</v>
      </c>
      <c r="HB78">
        <v>0</v>
      </c>
      <c r="HC78">
        <f t="shared" si="75"/>
        <v>0</v>
      </c>
      <c r="HE78" t="s">
        <v>3</v>
      </c>
      <c r="HF78" t="s">
        <v>3</v>
      </c>
      <c r="HM78" t="s">
        <v>3</v>
      </c>
      <c r="HN78" t="s">
        <v>3</v>
      </c>
      <c r="HO78" t="s">
        <v>3</v>
      </c>
      <c r="HP78" t="s">
        <v>3</v>
      </c>
      <c r="HQ78" t="s">
        <v>3</v>
      </c>
      <c r="HS78">
        <v>0</v>
      </c>
      <c r="IK78">
        <v>0</v>
      </c>
    </row>
    <row r="79" spans="1:245" x14ac:dyDescent="0.2">
      <c r="A79">
        <v>18</v>
      </c>
      <c r="B79">
        <v>1</v>
      </c>
      <c r="C79">
        <v>31</v>
      </c>
      <c r="E79" t="s">
        <v>126</v>
      </c>
      <c r="F79" t="s">
        <v>127</v>
      </c>
      <c r="G79" t="s">
        <v>128</v>
      </c>
      <c r="H79" t="s">
        <v>120</v>
      </c>
      <c r="I79">
        <f>I75*J79</f>
        <v>-2.0000000000000001E-4</v>
      </c>
      <c r="J79">
        <v>-2E-3</v>
      </c>
      <c r="K79">
        <v>-2E-3</v>
      </c>
      <c r="O79">
        <f t="shared" si="37"/>
        <v>-9.98</v>
      </c>
      <c r="P79">
        <f t="shared" si="38"/>
        <v>-9.98</v>
      </c>
      <c r="Q79">
        <f t="shared" si="39"/>
        <v>0</v>
      </c>
      <c r="R79">
        <f t="shared" si="40"/>
        <v>0</v>
      </c>
      <c r="S79">
        <f t="shared" si="41"/>
        <v>0</v>
      </c>
      <c r="T79">
        <f t="shared" si="42"/>
        <v>0</v>
      </c>
      <c r="U79">
        <f t="shared" si="43"/>
        <v>0</v>
      </c>
      <c r="V79">
        <f t="shared" si="44"/>
        <v>0</v>
      </c>
      <c r="W79">
        <f t="shared" si="45"/>
        <v>0</v>
      </c>
      <c r="X79">
        <f t="shared" si="46"/>
        <v>0</v>
      </c>
      <c r="Y79">
        <f t="shared" si="47"/>
        <v>0</v>
      </c>
      <c r="AA79">
        <v>76395835</v>
      </c>
      <c r="AB79">
        <f t="shared" si="48"/>
        <v>49894.85</v>
      </c>
      <c r="AC79">
        <f t="shared" si="49"/>
        <v>49894.85</v>
      </c>
      <c r="AD79">
        <f t="shared" si="50"/>
        <v>0</v>
      </c>
      <c r="AE79">
        <f t="shared" si="51"/>
        <v>0</v>
      </c>
      <c r="AF79">
        <f t="shared" si="52"/>
        <v>0</v>
      </c>
      <c r="AG79">
        <f t="shared" si="53"/>
        <v>0</v>
      </c>
      <c r="AH79">
        <f t="shared" si="54"/>
        <v>0</v>
      </c>
      <c r="AI79">
        <f t="shared" si="55"/>
        <v>0</v>
      </c>
      <c r="AJ79">
        <f t="shared" si="56"/>
        <v>0</v>
      </c>
      <c r="AK79">
        <v>49894.85</v>
      </c>
      <c r="AL79">
        <v>49894.85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70</v>
      </c>
      <c r="AU79">
        <v>10</v>
      </c>
      <c r="AV79">
        <v>1</v>
      </c>
      <c r="AW79">
        <v>1</v>
      </c>
      <c r="AZ79">
        <v>1</v>
      </c>
      <c r="BA79">
        <v>1</v>
      </c>
      <c r="BB79">
        <v>1</v>
      </c>
      <c r="BC79">
        <v>1</v>
      </c>
      <c r="BD79" t="s">
        <v>3</v>
      </c>
      <c r="BE79" t="s">
        <v>3</v>
      </c>
      <c r="BF79" t="s">
        <v>3</v>
      </c>
      <c r="BG79" t="s">
        <v>3</v>
      </c>
      <c r="BH79">
        <v>3</v>
      </c>
      <c r="BI79">
        <v>4</v>
      </c>
      <c r="BJ79" t="s">
        <v>129</v>
      </c>
      <c r="BM79">
        <v>0</v>
      </c>
      <c r="BN79">
        <v>0</v>
      </c>
      <c r="BO79" t="s">
        <v>3</v>
      </c>
      <c r="BP79">
        <v>0</v>
      </c>
      <c r="BQ79">
        <v>1</v>
      </c>
      <c r="BR79">
        <v>0</v>
      </c>
      <c r="BS79">
        <v>1</v>
      </c>
      <c r="BT79">
        <v>1</v>
      </c>
      <c r="BU79">
        <v>1</v>
      </c>
      <c r="BV79">
        <v>1</v>
      </c>
      <c r="BW79">
        <v>1</v>
      </c>
      <c r="BX79">
        <v>1</v>
      </c>
      <c r="BY79" t="s">
        <v>3</v>
      </c>
      <c r="BZ79">
        <v>70</v>
      </c>
      <c r="CA79">
        <v>10</v>
      </c>
      <c r="CB79" t="s">
        <v>3</v>
      </c>
      <c r="CE79">
        <v>0</v>
      </c>
      <c r="CF79">
        <v>0</v>
      </c>
      <c r="CG79">
        <v>0</v>
      </c>
      <c r="CM79">
        <v>0</v>
      </c>
      <c r="CN79" t="s">
        <v>3</v>
      </c>
      <c r="CO79">
        <v>0</v>
      </c>
      <c r="CP79">
        <f t="shared" si="57"/>
        <v>-9.98</v>
      </c>
      <c r="CQ79">
        <f t="shared" si="58"/>
        <v>49894.85</v>
      </c>
      <c r="CR79">
        <f t="shared" si="59"/>
        <v>0</v>
      </c>
      <c r="CS79">
        <f t="shared" si="60"/>
        <v>0</v>
      </c>
      <c r="CT79">
        <f t="shared" si="61"/>
        <v>0</v>
      </c>
      <c r="CU79">
        <f t="shared" si="62"/>
        <v>0</v>
      </c>
      <c r="CV79">
        <f t="shared" si="63"/>
        <v>0</v>
      </c>
      <c r="CW79">
        <f t="shared" si="64"/>
        <v>0</v>
      </c>
      <c r="CX79">
        <f t="shared" si="65"/>
        <v>0</v>
      </c>
      <c r="CY79">
        <f t="shared" si="66"/>
        <v>0</v>
      </c>
      <c r="CZ79">
        <f t="shared" si="67"/>
        <v>0</v>
      </c>
      <c r="DC79" t="s">
        <v>3</v>
      </c>
      <c r="DD79" t="s">
        <v>3</v>
      </c>
      <c r="DE79" t="s">
        <v>3</v>
      </c>
      <c r="DF79" t="s">
        <v>3</v>
      </c>
      <c r="DG79" t="s">
        <v>3</v>
      </c>
      <c r="DH79" t="s">
        <v>3</v>
      </c>
      <c r="DI79" t="s">
        <v>3</v>
      </c>
      <c r="DJ79" t="s">
        <v>3</v>
      </c>
      <c r="DK79" t="s">
        <v>3</v>
      </c>
      <c r="DL79" t="s">
        <v>3</v>
      </c>
      <c r="DM79" t="s">
        <v>3</v>
      </c>
      <c r="DN79">
        <v>0</v>
      </c>
      <c r="DO79">
        <v>0</v>
      </c>
      <c r="DP79">
        <v>1</v>
      </c>
      <c r="DQ79">
        <v>1</v>
      </c>
      <c r="DU79">
        <v>1010</v>
      </c>
      <c r="DV79" t="s">
        <v>120</v>
      </c>
      <c r="DW79" t="s">
        <v>120</v>
      </c>
      <c r="DX79">
        <v>1000</v>
      </c>
      <c r="DZ79" t="s">
        <v>3</v>
      </c>
      <c r="EA79" t="s">
        <v>3</v>
      </c>
      <c r="EB79" t="s">
        <v>3</v>
      </c>
      <c r="EC79" t="s">
        <v>3</v>
      </c>
      <c r="EE79">
        <v>75858748</v>
      </c>
      <c r="EF79">
        <v>1</v>
      </c>
      <c r="EG79" t="s">
        <v>19</v>
      </c>
      <c r="EH79">
        <v>0</v>
      </c>
      <c r="EI79" t="s">
        <v>3</v>
      </c>
      <c r="EJ79">
        <v>4</v>
      </c>
      <c r="EK79">
        <v>0</v>
      </c>
      <c r="EL79" t="s">
        <v>20</v>
      </c>
      <c r="EM79" t="s">
        <v>21</v>
      </c>
      <c r="EO79" t="s">
        <v>3</v>
      </c>
      <c r="EQ79">
        <v>0</v>
      </c>
      <c r="ER79">
        <v>49894.85</v>
      </c>
      <c r="ES79">
        <v>49894.85</v>
      </c>
      <c r="ET79">
        <v>0</v>
      </c>
      <c r="EU79">
        <v>0</v>
      </c>
      <c r="EV79">
        <v>0</v>
      </c>
      <c r="EW79">
        <v>0</v>
      </c>
      <c r="EX79">
        <v>0</v>
      </c>
      <c r="FQ79">
        <v>0</v>
      </c>
      <c r="FR79">
        <v>0</v>
      </c>
      <c r="FS79">
        <v>0</v>
      </c>
      <c r="FX79">
        <v>70</v>
      </c>
      <c r="FY79">
        <v>10</v>
      </c>
      <c r="GA79" t="s">
        <v>3</v>
      </c>
      <c r="GD79">
        <v>0</v>
      </c>
      <c r="GF79">
        <v>1974258039</v>
      </c>
      <c r="GG79">
        <v>2</v>
      </c>
      <c r="GH79">
        <v>1</v>
      </c>
      <c r="GI79">
        <v>-2</v>
      </c>
      <c r="GJ79">
        <v>0</v>
      </c>
      <c r="GK79">
        <f>ROUND(R79*(R12)/100,2)</f>
        <v>0</v>
      </c>
      <c r="GL79">
        <f t="shared" si="68"/>
        <v>0</v>
      </c>
      <c r="GM79">
        <f t="shared" si="69"/>
        <v>-9.98</v>
      </c>
      <c r="GN79">
        <f t="shared" si="70"/>
        <v>0</v>
      </c>
      <c r="GO79">
        <f t="shared" si="71"/>
        <v>0</v>
      </c>
      <c r="GP79">
        <f t="shared" si="72"/>
        <v>-9.98</v>
      </c>
      <c r="GR79">
        <v>0</v>
      </c>
      <c r="GS79">
        <v>3</v>
      </c>
      <c r="GT79">
        <v>0</v>
      </c>
      <c r="GU79" t="s">
        <v>3</v>
      </c>
      <c r="GV79">
        <f t="shared" si="73"/>
        <v>0</v>
      </c>
      <c r="GW79">
        <v>1</v>
      </c>
      <c r="GX79">
        <f t="shared" si="74"/>
        <v>0</v>
      </c>
      <c r="HA79">
        <v>0</v>
      </c>
      <c r="HB79">
        <v>0</v>
      </c>
      <c r="HC79">
        <f t="shared" si="75"/>
        <v>0</v>
      </c>
      <c r="HE79" t="s">
        <v>3</v>
      </c>
      <c r="HF79" t="s">
        <v>3</v>
      </c>
      <c r="HM79" t="s">
        <v>3</v>
      </c>
      <c r="HN79" t="s">
        <v>3</v>
      </c>
      <c r="HO79" t="s">
        <v>3</v>
      </c>
      <c r="HP79" t="s">
        <v>3</v>
      </c>
      <c r="HQ79" t="s">
        <v>3</v>
      </c>
      <c r="HS79">
        <v>0</v>
      </c>
      <c r="IK79">
        <v>0</v>
      </c>
    </row>
    <row r="80" spans="1:245" x14ac:dyDescent="0.2">
      <c r="A80">
        <v>18</v>
      </c>
      <c r="B80">
        <v>1</v>
      </c>
      <c r="C80">
        <v>33</v>
      </c>
      <c r="E80" t="s">
        <v>130</v>
      </c>
      <c r="F80" t="s">
        <v>131</v>
      </c>
      <c r="G80" t="s">
        <v>132</v>
      </c>
      <c r="H80" t="s">
        <v>120</v>
      </c>
      <c r="I80">
        <f>I75*J80</f>
        <v>-1.5E-3</v>
      </c>
      <c r="J80">
        <v>-1.4999999999999999E-2</v>
      </c>
      <c r="K80">
        <v>-1.4999999999999999E-2</v>
      </c>
      <c r="O80">
        <f t="shared" si="37"/>
        <v>-53.32</v>
      </c>
      <c r="P80">
        <f t="shared" si="38"/>
        <v>-53.32</v>
      </c>
      <c r="Q80">
        <f t="shared" si="39"/>
        <v>0</v>
      </c>
      <c r="R80">
        <f t="shared" si="40"/>
        <v>0</v>
      </c>
      <c r="S80">
        <f t="shared" si="41"/>
        <v>0</v>
      </c>
      <c r="T80">
        <f t="shared" si="42"/>
        <v>0</v>
      </c>
      <c r="U80">
        <f t="shared" si="43"/>
        <v>0</v>
      </c>
      <c r="V80">
        <f t="shared" si="44"/>
        <v>0</v>
      </c>
      <c r="W80">
        <f t="shared" si="45"/>
        <v>0</v>
      </c>
      <c r="X80">
        <f t="shared" si="46"/>
        <v>0</v>
      </c>
      <c r="Y80">
        <f t="shared" si="47"/>
        <v>0</v>
      </c>
      <c r="AA80">
        <v>76395835</v>
      </c>
      <c r="AB80">
        <f t="shared" si="48"/>
        <v>35547.599999999999</v>
      </c>
      <c r="AC80">
        <f t="shared" si="49"/>
        <v>35547.599999999999</v>
      </c>
      <c r="AD80">
        <f t="shared" si="50"/>
        <v>0</v>
      </c>
      <c r="AE80">
        <f t="shared" si="51"/>
        <v>0</v>
      </c>
      <c r="AF80">
        <f t="shared" si="52"/>
        <v>0</v>
      </c>
      <c r="AG80">
        <f t="shared" si="53"/>
        <v>0</v>
      </c>
      <c r="AH80">
        <f t="shared" si="54"/>
        <v>0</v>
      </c>
      <c r="AI80">
        <f t="shared" si="55"/>
        <v>0</v>
      </c>
      <c r="AJ80">
        <f t="shared" si="56"/>
        <v>0</v>
      </c>
      <c r="AK80">
        <v>35547.599999999999</v>
      </c>
      <c r="AL80">
        <v>35547.599999999999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70</v>
      </c>
      <c r="AU80">
        <v>10</v>
      </c>
      <c r="AV80">
        <v>1</v>
      </c>
      <c r="AW80">
        <v>1</v>
      </c>
      <c r="AZ80">
        <v>1</v>
      </c>
      <c r="BA80">
        <v>1</v>
      </c>
      <c r="BB80">
        <v>1</v>
      </c>
      <c r="BC80">
        <v>1</v>
      </c>
      <c r="BD80" t="s">
        <v>3</v>
      </c>
      <c r="BE80" t="s">
        <v>3</v>
      </c>
      <c r="BF80" t="s">
        <v>3</v>
      </c>
      <c r="BG80" t="s">
        <v>3</v>
      </c>
      <c r="BH80">
        <v>3</v>
      </c>
      <c r="BI80">
        <v>4</v>
      </c>
      <c r="BJ80" t="s">
        <v>133</v>
      </c>
      <c r="BM80">
        <v>0</v>
      </c>
      <c r="BN80">
        <v>0</v>
      </c>
      <c r="BO80" t="s">
        <v>3</v>
      </c>
      <c r="BP80">
        <v>0</v>
      </c>
      <c r="BQ80">
        <v>1</v>
      </c>
      <c r="BR80">
        <v>0</v>
      </c>
      <c r="BS80">
        <v>1</v>
      </c>
      <c r="BT80">
        <v>1</v>
      </c>
      <c r="BU80">
        <v>1</v>
      </c>
      <c r="BV80">
        <v>1</v>
      </c>
      <c r="BW80">
        <v>1</v>
      </c>
      <c r="BX80">
        <v>1</v>
      </c>
      <c r="BY80" t="s">
        <v>3</v>
      </c>
      <c r="BZ80">
        <v>70</v>
      </c>
      <c r="CA80">
        <v>10</v>
      </c>
      <c r="CB80" t="s">
        <v>3</v>
      </c>
      <c r="CE80">
        <v>0</v>
      </c>
      <c r="CF80">
        <v>0</v>
      </c>
      <c r="CG80">
        <v>0</v>
      </c>
      <c r="CM80">
        <v>0</v>
      </c>
      <c r="CN80" t="s">
        <v>3</v>
      </c>
      <c r="CO80">
        <v>0</v>
      </c>
      <c r="CP80">
        <f t="shared" si="57"/>
        <v>-53.32</v>
      </c>
      <c r="CQ80">
        <f t="shared" si="58"/>
        <v>35547.599999999999</v>
      </c>
      <c r="CR80">
        <f t="shared" si="59"/>
        <v>0</v>
      </c>
      <c r="CS80">
        <f t="shared" si="60"/>
        <v>0</v>
      </c>
      <c r="CT80">
        <f t="shared" si="61"/>
        <v>0</v>
      </c>
      <c r="CU80">
        <f t="shared" si="62"/>
        <v>0</v>
      </c>
      <c r="CV80">
        <f t="shared" si="63"/>
        <v>0</v>
      </c>
      <c r="CW80">
        <f t="shared" si="64"/>
        <v>0</v>
      </c>
      <c r="CX80">
        <f t="shared" si="65"/>
        <v>0</v>
      </c>
      <c r="CY80">
        <f t="shared" si="66"/>
        <v>0</v>
      </c>
      <c r="CZ80">
        <f t="shared" si="67"/>
        <v>0</v>
      </c>
      <c r="DC80" t="s">
        <v>3</v>
      </c>
      <c r="DD80" t="s">
        <v>3</v>
      </c>
      <c r="DE80" t="s">
        <v>3</v>
      </c>
      <c r="DF80" t="s">
        <v>3</v>
      </c>
      <c r="DG80" t="s">
        <v>3</v>
      </c>
      <c r="DH80" t="s">
        <v>3</v>
      </c>
      <c r="DI80" t="s">
        <v>3</v>
      </c>
      <c r="DJ80" t="s">
        <v>3</v>
      </c>
      <c r="DK80" t="s">
        <v>3</v>
      </c>
      <c r="DL80" t="s">
        <v>3</v>
      </c>
      <c r="DM80" t="s">
        <v>3</v>
      </c>
      <c r="DN80">
        <v>0</v>
      </c>
      <c r="DO80">
        <v>0</v>
      </c>
      <c r="DP80">
        <v>1</v>
      </c>
      <c r="DQ80">
        <v>1</v>
      </c>
      <c r="DU80">
        <v>1010</v>
      </c>
      <c r="DV80" t="s">
        <v>120</v>
      </c>
      <c r="DW80" t="s">
        <v>120</v>
      </c>
      <c r="DX80">
        <v>1000</v>
      </c>
      <c r="DZ80" t="s">
        <v>3</v>
      </c>
      <c r="EA80" t="s">
        <v>3</v>
      </c>
      <c r="EB80" t="s">
        <v>3</v>
      </c>
      <c r="EC80" t="s">
        <v>3</v>
      </c>
      <c r="EE80">
        <v>75858748</v>
      </c>
      <c r="EF80">
        <v>1</v>
      </c>
      <c r="EG80" t="s">
        <v>19</v>
      </c>
      <c r="EH80">
        <v>0</v>
      </c>
      <c r="EI80" t="s">
        <v>3</v>
      </c>
      <c r="EJ80">
        <v>4</v>
      </c>
      <c r="EK80">
        <v>0</v>
      </c>
      <c r="EL80" t="s">
        <v>20</v>
      </c>
      <c r="EM80" t="s">
        <v>21</v>
      </c>
      <c r="EO80" t="s">
        <v>3</v>
      </c>
      <c r="EQ80">
        <v>0</v>
      </c>
      <c r="ER80">
        <v>35547.599999999999</v>
      </c>
      <c r="ES80">
        <v>35547.599999999999</v>
      </c>
      <c r="ET80">
        <v>0</v>
      </c>
      <c r="EU80">
        <v>0</v>
      </c>
      <c r="EV80">
        <v>0</v>
      </c>
      <c r="EW80">
        <v>0</v>
      </c>
      <c r="EX80">
        <v>0</v>
      </c>
      <c r="FQ80">
        <v>0</v>
      </c>
      <c r="FR80">
        <v>0</v>
      </c>
      <c r="FS80">
        <v>0</v>
      </c>
      <c r="FX80">
        <v>70</v>
      </c>
      <c r="FY80">
        <v>10</v>
      </c>
      <c r="GA80" t="s">
        <v>3</v>
      </c>
      <c r="GD80">
        <v>0</v>
      </c>
      <c r="GF80">
        <v>1865267899</v>
      </c>
      <c r="GG80">
        <v>2</v>
      </c>
      <c r="GH80">
        <v>1</v>
      </c>
      <c r="GI80">
        <v>-2</v>
      </c>
      <c r="GJ80">
        <v>0</v>
      </c>
      <c r="GK80">
        <f>ROUND(R80*(R12)/100,2)</f>
        <v>0</v>
      </c>
      <c r="GL80">
        <f t="shared" si="68"/>
        <v>0</v>
      </c>
      <c r="GM80">
        <f t="shared" si="69"/>
        <v>-53.32</v>
      </c>
      <c r="GN80">
        <f t="shared" si="70"/>
        <v>0</v>
      </c>
      <c r="GO80">
        <f t="shared" si="71"/>
        <v>0</v>
      </c>
      <c r="GP80">
        <f t="shared" si="72"/>
        <v>-53.32</v>
      </c>
      <c r="GR80">
        <v>0</v>
      </c>
      <c r="GS80">
        <v>3</v>
      </c>
      <c r="GT80">
        <v>0</v>
      </c>
      <c r="GU80" t="s">
        <v>3</v>
      </c>
      <c r="GV80">
        <f t="shared" si="73"/>
        <v>0</v>
      </c>
      <c r="GW80">
        <v>1</v>
      </c>
      <c r="GX80">
        <f t="shared" si="74"/>
        <v>0</v>
      </c>
      <c r="HA80">
        <v>0</v>
      </c>
      <c r="HB80">
        <v>0</v>
      </c>
      <c r="HC80">
        <f t="shared" si="75"/>
        <v>0</v>
      </c>
      <c r="HE80" t="s">
        <v>3</v>
      </c>
      <c r="HF80" t="s">
        <v>3</v>
      </c>
      <c r="HM80" t="s">
        <v>3</v>
      </c>
      <c r="HN80" t="s">
        <v>3</v>
      </c>
      <c r="HO80" t="s">
        <v>3</v>
      </c>
      <c r="HP80" t="s">
        <v>3</v>
      </c>
      <c r="HQ80" t="s">
        <v>3</v>
      </c>
      <c r="HS80">
        <v>0</v>
      </c>
      <c r="IK80">
        <v>0</v>
      </c>
    </row>
    <row r="81" spans="1:245" x14ac:dyDescent="0.2">
      <c r="A81">
        <v>18</v>
      </c>
      <c r="B81">
        <v>1</v>
      </c>
      <c r="C81">
        <v>35</v>
      </c>
      <c r="E81" t="s">
        <v>134</v>
      </c>
      <c r="F81" t="s">
        <v>135</v>
      </c>
      <c r="G81" t="s">
        <v>136</v>
      </c>
      <c r="H81" t="s">
        <v>120</v>
      </c>
      <c r="I81">
        <f>I75*J81</f>
        <v>-2.0000000000000001E-4</v>
      </c>
      <c r="J81">
        <v>-2E-3</v>
      </c>
      <c r="K81">
        <v>-2E-3</v>
      </c>
      <c r="O81">
        <f t="shared" si="37"/>
        <v>-10.119999999999999</v>
      </c>
      <c r="P81">
        <f t="shared" si="38"/>
        <v>-10.119999999999999</v>
      </c>
      <c r="Q81">
        <f t="shared" si="39"/>
        <v>0</v>
      </c>
      <c r="R81">
        <f t="shared" si="40"/>
        <v>0</v>
      </c>
      <c r="S81">
        <f t="shared" si="41"/>
        <v>0</v>
      </c>
      <c r="T81">
        <f t="shared" si="42"/>
        <v>0</v>
      </c>
      <c r="U81">
        <f t="shared" si="43"/>
        <v>0</v>
      </c>
      <c r="V81">
        <f t="shared" si="44"/>
        <v>0</v>
      </c>
      <c r="W81">
        <f t="shared" si="45"/>
        <v>0</v>
      </c>
      <c r="X81">
        <f t="shared" si="46"/>
        <v>0</v>
      </c>
      <c r="Y81">
        <f t="shared" si="47"/>
        <v>0</v>
      </c>
      <c r="AA81">
        <v>76395835</v>
      </c>
      <c r="AB81">
        <f t="shared" si="48"/>
        <v>50599.41</v>
      </c>
      <c r="AC81">
        <f t="shared" si="49"/>
        <v>50599.41</v>
      </c>
      <c r="AD81">
        <f t="shared" si="50"/>
        <v>0</v>
      </c>
      <c r="AE81">
        <f t="shared" si="51"/>
        <v>0</v>
      </c>
      <c r="AF81">
        <f t="shared" si="52"/>
        <v>0</v>
      </c>
      <c r="AG81">
        <f t="shared" si="53"/>
        <v>0</v>
      </c>
      <c r="AH81">
        <f t="shared" si="54"/>
        <v>0</v>
      </c>
      <c r="AI81">
        <f t="shared" si="55"/>
        <v>0</v>
      </c>
      <c r="AJ81">
        <f t="shared" si="56"/>
        <v>0</v>
      </c>
      <c r="AK81">
        <v>50599.41</v>
      </c>
      <c r="AL81">
        <v>50599.41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70</v>
      </c>
      <c r="AU81">
        <v>10</v>
      </c>
      <c r="AV81">
        <v>1</v>
      </c>
      <c r="AW81">
        <v>1</v>
      </c>
      <c r="AZ81">
        <v>1</v>
      </c>
      <c r="BA81">
        <v>1</v>
      </c>
      <c r="BB81">
        <v>1</v>
      </c>
      <c r="BC81">
        <v>1</v>
      </c>
      <c r="BD81" t="s">
        <v>3</v>
      </c>
      <c r="BE81" t="s">
        <v>3</v>
      </c>
      <c r="BF81" t="s">
        <v>3</v>
      </c>
      <c r="BG81" t="s">
        <v>3</v>
      </c>
      <c r="BH81">
        <v>3</v>
      </c>
      <c r="BI81">
        <v>4</v>
      </c>
      <c r="BJ81" t="s">
        <v>137</v>
      </c>
      <c r="BM81">
        <v>0</v>
      </c>
      <c r="BN81">
        <v>0</v>
      </c>
      <c r="BO81" t="s">
        <v>3</v>
      </c>
      <c r="BP81">
        <v>0</v>
      </c>
      <c r="BQ81">
        <v>1</v>
      </c>
      <c r="BR81">
        <v>0</v>
      </c>
      <c r="BS81">
        <v>1</v>
      </c>
      <c r="BT81">
        <v>1</v>
      </c>
      <c r="BU81">
        <v>1</v>
      </c>
      <c r="BV81">
        <v>1</v>
      </c>
      <c r="BW81">
        <v>1</v>
      </c>
      <c r="BX81">
        <v>1</v>
      </c>
      <c r="BY81" t="s">
        <v>3</v>
      </c>
      <c r="BZ81">
        <v>70</v>
      </c>
      <c r="CA81">
        <v>10</v>
      </c>
      <c r="CB81" t="s">
        <v>3</v>
      </c>
      <c r="CE81">
        <v>0</v>
      </c>
      <c r="CF81">
        <v>0</v>
      </c>
      <c r="CG81">
        <v>0</v>
      </c>
      <c r="CM81">
        <v>0</v>
      </c>
      <c r="CN81" t="s">
        <v>3</v>
      </c>
      <c r="CO81">
        <v>0</v>
      </c>
      <c r="CP81">
        <f t="shared" si="57"/>
        <v>-10.119999999999999</v>
      </c>
      <c r="CQ81">
        <f t="shared" si="58"/>
        <v>50599.41</v>
      </c>
      <c r="CR81">
        <f t="shared" si="59"/>
        <v>0</v>
      </c>
      <c r="CS81">
        <f t="shared" si="60"/>
        <v>0</v>
      </c>
      <c r="CT81">
        <f t="shared" si="61"/>
        <v>0</v>
      </c>
      <c r="CU81">
        <f t="shared" si="62"/>
        <v>0</v>
      </c>
      <c r="CV81">
        <f t="shared" si="63"/>
        <v>0</v>
      </c>
      <c r="CW81">
        <f t="shared" si="64"/>
        <v>0</v>
      </c>
      <c r="CX81">
        <f t="shared" si="65"/>
        <v>0</v>
      </c>
      <c r="CY81">
        <f t="shared" si="66"/>
        <v>0</v>
      </c>
      <c r="CZ81">
        <f t="shared" si="67"/>
        <v>0</v>
      </c>
      <c r="DC81" t="s">
        <v>3</v>
      </c>
      <c r="DD81" t="s">
        <v>3</v>
      </c>
      <c r="DE81" t="s">
        <v>3</v>
      </c>
      <c r="DF81" t="s">
        <v>3</v>
      </c>
      <c r="DG81" t="s">
        <v>3</v>
      </c>
      <c r="DH81" t="s">
        <v>3</v>
      </c>
      <c r="DI81" t="s">
        <v>3</v>
      </c>
      <c r="DJ81" t="s">
        <v>3</v>
      </c>
      <c r="DK81" t="s">
        <v>3</v>
      </c>
      <c r="DL81" t="s">
        <v>3</v>
      </c>
      <c r="DM81" t="s">
        <v>3</v>
      </c>
      <c r="DN81">
        <v>0</v>
      </c>
      <c r="DO81">
        <v>0</v>
      </c>
      <c r="DP81">
        <v>1</v>
      </c>
      <c r="DQ81">
        <v>1</v>
      </c>
      <c r="DU81">
        <v>1010</v>
      </c>
      <c r="DV81" t="s">
        <v>120</v>
      </c>
      <c r="DW81" t="s">
        <v>120</v>
      </c>
      <c r="DX81">
        <v>1000</v>
      </c>
      <c r="DZ81" t="s">
        <v>3</v>
      </c>
      <c r="EA81" t="s">
        <v>3</v>
      </c>
      <c r="EB81" t="s">
        <v>3</v>
      </c>
      <c r="EC81" t="s">
        <v>3</v>
      </c>
      <c r="EE81">
        <v>75858748</v>
      </c>
      <c r="EF81">
        <v>1</v>
      </c>
      <c r="EG81" t="s">
        <v>19</v>
      </c>
      <c r="EH81">
        <v>0</v>
      </c>
      <c r="EI81" t="s">
        <v>3</v>
      </c>
      <c r="EJ81">
        <v>4</v>
      </c>
      <c r="EK81">
        <v>0</v>
      </c>
      <c r="EL81" t="s">
        <v>20</v>
      </c>
      <c r="EM81" t="s">
        <v>21</v>
      </c>
      <c r="EO81" t="s">
        <v>3</v>
      </c>
      <c r="EQ81">
        <v>0</v>
      </c>
      <c r="ER81">
        <v>50599.41</v>
      </c>
      <c r="ES81">
        <v>50599.41</v>
      </c>
      <c r="ET81">
        <v>0</v>
      </c>
      <c r="EU81">
        <v>0</v>
      </c>
      <c r="EV81">
        <v>0</v>
      </c>
      <c r="EW81">
        <v>0</v>
      </c>
      <c r="EX81">
        <v>0</v>
      </c>
      <c r="FQ81">
        <v>0</v>
      </c>
      <c r="FR81">
        <v>0</v>
      </c>
      <c r="FS81">
        <v>0</v>
      </c>
      <c r="FX81">
        <v>70</v>
      </c>
      <c r="FY81">
        <v>10</v>
      </c>
      <c r="GA81" t="s">
        <v>3</v>
      </c>
      <c r="GD81">
        <v>0</v>
      </c>
      <c r="GF81">
        <v>-1262690695</v>
      </c>
      <c r="GG81">
        <v>2</v>
      </c>
      <c r="GH81">
        <v>1</v>
      </c>
      <c r="GI81">
        <v>-2</v>
      </c>
      <c r="GJ81">
        <v>0</v>
      </c>
      <c r="GK81">
        <f>ROUND(R81*(R12)/100,2)</f>
        <v>0</v>
      </c>
      <c r="GL81">
        <f t="shared" si="68"/>
        <v>0</v>
      </c>
      <c r="GM81">
        <f t="shared" si="69"/>
        <v>-10.119999999999999</v>
      </c>
      <c r="GN81">
        <f t="shared" si="70"/>
        <v>0</v>
      </c>
      <c r="GO81">
        <f t="shared" si="71"/>
        <v>0</v>
      </c>
      <c r="GP81">
        <f t="shared" si="72"/>
        <v>-10.119999999999999</v>
      </c>
      <c r="GR81">
        <v>0</v>
      </c>
      <c r="GS81">
        <v>3</v>
      </c>
      <c r="GT81">
        <v>0</v>
      </c>
      <c r="GU81" t="s">
        <v>3</v>
      </c>
      <c r="GV81">
        <f t="shared" si="73"/>
        <v>0</v>
      </c>
      <c r="GW81">
        <v>1</v>
      </c>
      <c r="GX81">
        <f t="shared" si="74"/>
        <v>0</v>
      </c>
      <c r="HA81">
        <v>0</v>
      </c>
      <c r="HB81">
        <v>0</v>
      </c>
      <c r="HC81">
        <f t="shared" si="75"/>
        <v>0</v>
      </c>
      <c r="HE81" t="s">
        <v>3</v>
      </c>
      <c r="HF81" t="s">
        <v>3</v>
      </c>
      <c r="HM81" t="s">
        <v>3</v>
      </c>
      <c r="HN81" t="s">
        <v>3</v>
      </c>
      <c r="HO81" t="s">
        <v>3</v>
      </c>
      <c r="HP81" t="s">
        <v>3</v>
      </c>
      <c r="HQ81" t="s">
        <v>3</v>
      </c>
      <c r="HS81">
        <v>0</v>
      </c>
      <c r="IK81">
        <v>0</v>
      </c>
    </row>
    <row r="82" spans="1:245" x14ac:dyDescent="0.2">
      <c r="A82">
        <v>18</v>
      </c>
      <c r="B82">
        <v>1</v>
      </c>
      <c r="C82">
        <v>37</v>
      </c>
      <c r="E82" t="s">
        <v>138</v>
      </c>
      <c r="F82" t="s">
        <v>139</v>
      </c>
      <c r="G82" t="s">
        <v>140</v>
      </c>
      <c r="H82" t="s">
        <v>120</v>
      </c>
      <c r="I82">
        <f>I75*J82</f>
        <v>-4.0000000000000002E-4</v>
      </c>
      <c r="J82">
        <v>-4.0000000000000001E-3</v>
      </c>
      <c r="K82">
        <v>-4.0000000000000001E-3</v>
      </c>
      <c r="O82">
        <f t="shared" si="37"/>
        <v>-8.27</v>
      </c>
      <c r="P82">
        <f t="shared" si="38"/>
        <v>-8.27</v>
      </c>
      <c r="Q82">
        <f t="shared" si="39"/>
        <v>0</v>
      </c>
      <c r="R82">
        <f t="shared" si="40"/>
        <v>0</v>
      </c>
      <c r="S82">
        <f t="shared" si="41"/>
        <v>0</v>
      </c>
      <c r="T82">
        <f t="shared" si="42"/>
        <v>0</v>
      </c>
      <c r="U82">
        <f t="shared" si="43"/>
        <v>0</v>
      </c>
      <c r="V82">
        <f t="shared" si="44"/>
        <v>0</v>
      </c>
      <c r="W82">
        <f t="shared" si="45"/>
        <v>0</v>
      </c>
      <c r="X82">
        <f t="shared" si="46"/>
        <v>0</v>
      </c>
      <c r="Y82">
        <f t="shared" si="47"/>
        <v>0</v>
      </c>
      <c r="AA82">
        <v>76395835</v>
      </c>
      <c r="AB82">
        <f t="shared" si="48"/>
        <v>20680.189999999999</v>
      </c>
      <c r="AC82">
        <f t="shared" si="49"/>
        <v>20680.189999999999</v>
      </c>
      <c r="AD82">
        <f t="shared" si="50"/>
        <v>0</v>
      </c>
      <c r="AE82">
        <f t="shared" si="51"/>
        <v>0</v>
      </c>
      <c r="AF82">
        <f t="shared" si="52"/>
        <v>0</v>
      </c>
      <c r="AG82">
        <f t="shared" si="53"/>
        <v>0</v>
      </c>
      <c r="AH82">
        <f t="shared" si="54"/>
        <v>0</v>
      </c>
      <c r="AI82">
        <f t="shared" si="55"/>
        <v>0</v>
      </c>
      <c r="AJ82">
        <f t="shared" si="56"/>
        <v>0</v>
      </c>
      <c r="AK82">
        <v>20680.189999999999</v>
      </c>
      <c r="AL82">
        <v>20680.189999999999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70</v>
      </c>
      <c r="AU82">
        <v>10</v>
      </c>
      <c r="AV82">
        <v>1</v>
      </c>
      <c r="AW82">
        <v>1</v>
      </c>
      <c r="AZ82">
        <v>1</v>
      </c>
      <c r="BA82">
        <v>1</v>
      </c>
      <c r="BB82">
        <v>1</v>
      </c>
      <c r="BC82">
        <v>1</v>
      </c>
      <c r="BD82" t="s">
        <v>3</v>
      </c>
      <c r="BE82" t="s">
        <v>3</v>
      </c>
      <c r="BF82" t="s">
        <v>3</v>
      </c>
      <c r="BG82" t="s">
        <v>3</v>
      </c>
      <c r="BH82">
        <v>3</v>
      </c>
      <c r="BI82">
        <v>4</v>
      </c>
      <c r="BJ82" t="s">
        <v>141</v>
      </c>
      <c r="BM82">
        <v>0</v>
      </c>
      <c r="BN82">
        <v>0</v>
      </c>
      <c r="BO82" t="s">
        <v>3</v>
      </c>
      <c r="BP82">
        <v>0</v>
      </c>
      <c r="BQ82">
        <v>1</v>
      </c>
      <c r="BR82">
        <v>0</v>
      </c>
      <c r="BS82">
        <v>1</v>
      </c>
      <c r="BT82">
        <v>1</v>
      </c>
      <c r="BU82">
        <v>1</v>
      </c>
      <c r="BV82">
        <v>1</v>
      </c>
      <c r="BW82">
        <v>1</v>
      </c>
      <c r="BX82">
        <v>1</v>
      </c>
      <c r="BY82" t="s">
        <v>3</v>
      </c>
      <c r="BZ82">
        <v>70</v>
      </c>
      <c r="CA82">
        <v>10</v>
      </c>
      <c r="CB82" t="s">
        <v>3</v>
      </c>
      <c r="CE82">
        <v>0</v>
      </c>
      <c r="CF82">
        <v>0</v>
      </c>
      <c r="CG82">
        <v>0</v>
      </c>
      <c r="CM82">
        <v>0</v>
      </c>
      <c r="CN82" t="s">
        <v>3</v>
      </c>
      <c r="CO82">
        <v>0</v>
      </c>
      <c r="CP82">
        <f t="shared" si="57"/>
        <v>-8.27</v>
      </c>
      <c r="CQ82">
        <f t="shared" si="58"/>
        <v>20680.189999999999</v>
      </c>
      <c r="CR82">
        <f t="shared" si="59"/>
        <v>0</v>
      </c>
      <c r="CS82">
        <f t="shared" si="60"/>
        <v>0</v>
      </c>
      <c r="CT82">
        <f t="shared" si="61"/>
        <v>0</v>
      </c>
      <c r="CU82">
        <f t="shared" si="62"/>
        <v>0</v>
      </c>
      <c r="CV82">
        <f t="shared" si="63"/>
        <v>0</v>
      </c>
      <c r="CW82">
        <f t="shared" si="64"/>
        <v>0</v>
      </c>
      <c r="CX82">
        <f t="shared" si="65"/>
        <v>0</v>
      </c>
      <c r="CY82">
        <f t="shared" si="66"/>
        <v>0</v>
      </c>
      <c r="CZ82">
        <f t="shared" si="67"/>
        <v>0</v>
      </c>
      <c r="DC82" t="s">
        <v>3</v>
      </c>
      <c r="DD82" t="s">
        <v>3</v>
      </c>
      <c r="DE82" t="s">
        <v>3</v>
      </c>
      <c r="DF82" t="s">
        <v>3</v>
      </c>
      <c r="DG82" t="s">
        <v>3</v>
      </c>
      <c r="DH82" t="s">
        <v>3</v>
      </c>
      <c r="DI82" t="s">
        <v>3</v>
      </c>
      <c r="DJ82" t="s">
        <v>3</v>
      </c>
      <c r="DK82" t="s">
        <v>3</v>
      </c>
      <c r="DL82" t="s">
        <v>3</v>
      </c>
      <c r="DM82" t="s">
        <v>3</v>
      </c>
      <c r="DN82">
        <v>0</v>
      </c>
      <c r="DO82">
        <v>0</v>
      </c>
      <c r="DP82">
        <v>1</v>
      </c>
      <c r="DQ82">
        <v>1</v>
      </c>
      <c r="DU82">
        <v>1010</v>
      </c>
      <c r="DV82" t="s">
        <v>120</v>
      </c>
      <c r="DW82" t="s">
        <v>120</v>
      </c>
      <c r="DX82">
        <v>1000</v>
      </c>
      <c r="DZ82" t="s">
        <v>3</v>
      </c>
      <c r="EA82" t="s">
        <v>3</v>
      </c>
      <c r="EB82" t="s">
        <v>3</v>
      </c>
      <c r="EC82" t="s">
        <v>3</v>
      </c>
      <c r="EE82">
        <v>75858748</v>
      </c>
      <c r="EF82">
        <v>1</v>
      </c>
      <c r="EG82" t="s">
        <v>19</v>
      </c>
      <c r="EH82">
        <v>0</v>
      </c>
      <c r="EI82" t="s">
        <v>3</v>
      </c>
      <c r="EJ82">
        <v>4</v>
      </c>
      <c r="EK82">
        <v>0</v>
      </c>
      <c r="EL82" t="s">
        <v>20</v>
      </c>
      <c r="EM82" t="s">
        <v>21</v>
      </c>
      <c r="EO82" t="s">
        <v>3</v>
      </c>
      <c r="EQ82">
        <v>0</v>
      </c>
      <c r="ER82">
        <v>20680.189999999999</v>
      </c>
      <c r="ES82">
        <v>20680.189999999999</v>
      </c>
      <c r="ET82">
        <v>0</v>
      </c>
      <c r="EU82">
        <v>0</v>
      </c>
      <c r="EV82">
        <v>0</v>
      </c>
      <c r="EW82">
        <v>0</v>
      </c>
      <c r="EX82">
        <v>0</v>
      </c>
      <c r="FQ82">
        <v>0</v>
      </c>
      <c r="FR82">
        <v>0</v>
      </c>
      <c r="FS82">
        <v>0</v>
      </c>
      <c r="FX82">
        <v>70</v>
      </c>
      <c r="FY82">
        <v>10</v>
      </c>
      <c r="GA82" t="s">
        <v>3</v>
      </c>
      <c r="GD82">
        <v>0</v>
      </c>
      <c r="GF82">
        <v>2018493704</v>
      </c>
      <c r="GG82">
        <v>2</v>
      </c>
      <c r="GH82">
        <v>1</v>
      </c>
      <c r="GI82">
        <v>-2</v>
      </c>
      <c r="GJ82">
        <v>0</v>
      </c>
      <c r="GK82">
        <f>ROUND(R82*(R12)/100,2)</f>
        <v>0</v>
      </c>
      <c r="GL82">
        <f t="shared" si="68"/>
        <v>0</v>
      </c>
      <c r="GM82">
        <f t="shared" si="69"/>
        <v>-8.27</v>
      </c>
      <c r="GN82">
        <f t="shared" si="70"/>
        <v>0</v>
      </c>
      <c r="GO82">
        <f t="shared" si="71"/>
        <v>0</v>
      </c>
      <c r="GP82">
        <f t="shared" si="72"/>
        <v>-8.27</v>
      </c>
      <c r="GR82">
        <v>0</v>
      </c>
      <c r="GS82">
        <v>3</v>
      </c>
      <c r="GT82">
        <v>0</v>
      </c>
      <c r="GU82" t="s">
        <v>3</v>
      </c>
      <c r="GV82">
        <f t="shared" si="73"/>
        <v>0</v>
      </c>
      <c r="GW82">
        <v>1</v>
      </c>
      <c r="GX82">
        <f t="shared" si="74"/>
        <v>0</v>
      </c>
      <c r="HA82">
        <v>0</v>
      </c>
      <c r="HB82">
        <v>0</v>
      </c>
      <c r="HC82">
        <f t="shared" si="75"/>
        <v>0</v>
      </c>
      <c r="HE82" t="s">
        <v>3</v>
      </c>
      <c r="HF82" t="s">
        <v>3</v>
      </c>
      <c r="HM82" t="s">
        <v>3</v>
      </c>
      <c r="HN82" t="s">
        <v>3</v>
      </c>
      <c r="HO82" t="s">
        <v>3</v>
      </c>
      <c r="HP82" t="s">
        <v>3</v>
      </c>
      <c r="HQ82" t="s">
        <v>3</v>
      </c>
      <c r="HS82">
        <v>0</v>
      </c>
      <c r="IK82">
        <v>0</v>
      </c>
    </row>
    <row r="83" spans="1:245" x14ac:dyDescent="0.2">
      <c r="A83">
        <v>17</v>
      </c>
      <c r="B83">
        <v>1</v>
      </c>
      <c r="C83">
        <f>ROW(SmtRes!A47)</f>
        <v>47</v>
      </c>
      <c r="D83">
        <f>ROW(EtalonRes!A39)</f>
        <v>39</v>
      </c>
      <c r="E83" t="s">
        <v>142</v>
      </c>
      <c r="F83" t="s">
        <v>143</v>
      </c>
      <c r="G83" t="s">
        <v>144</v>
      </c>
      <c r="H83" t="s">
        <v>110</v>
      </c>
      <c r="I83">
        <f>ROUND(15/100,9)</f>
        <v>0.15</v>
      </c>
      <c r="J83">
        <v>0</v>
      </c>
      <c r="K83">
        <f>ROUND(15/100,9)</f>
        <v>0.15</v>
      </c>
      <c r="O83">
        <f t="shared" si="37"/>
        <v>1927.52</v>
      </c>
      <c r="P83">
        <f t="shared" si="38"/>
        <v>1602.81</v>
      </c>
      <c r="Q83">
        <f t="shared" si="39"/>
        <v>0</v>
      </c>
      <c r="R83">
        <f t="shared" si="40"/>
        <v>0</v>
      </c>
      <c r="S83">
        <f t="shared" si="41"/>
        <v>324.70999999999998</v>
      </c>
      <c r="T83">
        <f t="shared" si="42"/>
        <v>0</v>
      </c>
      <c r="U83">
        <f t="shared" si="43"/>
        <v>0.53249999999999997</v>
      </c>
      <c r="V83">
        <f t="shared" si="44"/>
        <v>0</v>
      </c>
      <c r="W83">
        <f t="shared" si="45"/>
        <v>0</v>
      </c>
      <c r="X83">
        <f t="shared" si="46"/>
        <v>227.3</v>
      </c>
      <c r="Y83">
        <f t="shared" si="47"/>
        <v>32.47</v>
      </c>
      <c r="AA83">
        <v>76395835</v>
      </c>
      <c r="AB83">
        <f t="shared" si="48"/>
        <v>12850.13</v>
      </c>
      <c r="AC83">
        <f t="shared" si="49"/>
        <v>10685.41</v>
      </c>
      <c r="AD83">
        <f t="shared" si="50"/>
        <v>0</v>
      </c>
      <c r="AE83">
        <f t="shared" si="51"/>
        <v>0</v>
      </c>
      <c r="AF83">
        <f t="shared" si="52"/>
        <v>2164.7199999999998</v>
      </c>
      <c r="AG83">
        <f t="shared" si="53"/>
        <v>0</v>
      </c>
      <c r="AH83">
        <f t="shared" si="54"/>
        <v>3.55</v>
      </c>
      <c r="AI83">
        <f t="shared" si="55"/>
        <v>0</v>
      </c>
      <c r="AJ83">
        <f t="shared" si="56"/>
        <v>0</v>
      </c>
      <c r="AK83">
        <v>12850.13</v>
      </c>
      <c r="AL83">
        <v>10685.41</v>
      </c>
      <c r="AM83">
        <v>0</v>
      </c>
      <c r="AN83">
        <v>0</v>
      </c>
      <c r="AO83">
        <v>2164.7199999999998</v>
      </c>
      <c r="AP83">
        <v>0</v>
      </c>
      <c r="AQ83">
        <v>3.55</v>
      </c>
      <c r="AR83">
        <v>0</v>
      </c>
      <c r="AS83">
        <v>0</v>
      </c>
      <c r="AT83">
        <v>70</v>
      </c>
      <c r="AU83">
        <v>10</v>
      </c>
      <c r="AV83">
        <v>1</v>
      </c>
      <c r="AW83">
        <v>1</v>
      </c>
      <c r="AZ83">
        <v>1</v>
      </c>
      <c r="BA83">
        <v>1</v>
      </c>
      <c r="BB83">
        <v>1</v>
      </c>
      <c r="BC83">
        <v>1</v>
      </c>
      <c r="BD83" t="s">
        <v>3</v>
      </c>
      <c r="BE83" t="s">
        <v>3</v>
      </c>
      <c r="BF83" t="s">
        <v>3</v>
      </c>
      <c r="BG83" t="s">
        <v>3</v>
      </c>
      <c r="BH83">
        <v>0</v>
      </c>
      <c r="BI83">
        <v>4</v>
      </c>
      <c r="BJ83" t="s">
        <v>145</v>
      </c>
      <c r="BM83">
        <v>0</v>
      </c>
      <c r="BN83">
        <v>0</v>
      </c>
      <c r="BO83" t="s">
        <v>3</v>
      </c>
      <c r="BP83">
        <v>0</v>
      </c>
      <c r="BQ83">
        <v>1</v>
      </c>
      <c r="BR83">
        <v>0</v>
      </c>
      <c r="BS83">
        <v>1</v>
      </c>
      <c r="BT83">
        <v>1</v>
      </c>
      <c r="BU83">
        <v>1</v>
      </c>
      <c r="BV83">
        <v>1</v>
      </c>
      <c r="BW83">
        <v>1</v>
      </c>
      <c r="BX83">
        <v>1</v>
      </c>
      <c r="BY83" t="s">
        <v>3</v>
      </c>
      <c r="BZ83">
        <v>70</v>
      </c>
      <c r="CA83">
        <v>10</v>
      </c>
      <c r="CB83" t="s">
        <v>3</v>
      </c>
      <c r="CE83">
        <v>0</v>
      </c>
      <c r="CF83">
        <v>0</v>
      </c>
      <c r="CG83">
        <v>0</v>
      </c>
      <c r="CM83">
        <v>0</v>
      </c>
      <c r="CN83" t="s">
        <v>3</v>
      </c>
      <c r="CO83">
        <v>0</v>
      </c>
      <c r="CP83">
        <f t="shared" si="57"/>
        <v>1927.52</v>
      </c>
      <c r="CQ83">
        <f t="shared" si="58"/>
        <v>10685.41</v>
      </c>
      <c r="CR83">
        <f t="shared" si="59"/>
        <v>0</v>
      </c>
      <c r="CS83">
        <f t="shared" si="60"/>
        <v>0</v>
      </c>
      <c r="CT83">
        <f t="shared" si="61"/>
        <v>2164.7199999999998</v>
      </c>
      <c r="CU83">
        <f t="shared" si="62"/>
        <v>0</v>
      </c>
      <c r="CV83">
        <f t="shared" si="63"/>
        <v>3.55</v>
      </c>
      <c r="CW83">
        <f t="shared" si="64"/>
        <v>0</v>
      </c>
      <c r="CX83">
        <f t="shared" si="65"/>
        <v>0</v>
      </c>
      <c r="CY83">
        <f t="shared" si="66"/>
        <v>227.29699999999997</v>
      </c>
      <c r="CZ83">
        <f t="shared" si="67"/>
        <v>32.470999999999997</v>
      </c>
      <c r="DC83" t="s">
        <v>3</v>
      </c>
      <c r="DD83" t="s">
        <v>3</v>
      </c>
      <c r="DE83" t="s">
        <v>3</v>
      </c>
      <c r="DF83" t="s">
        <v>3</v>
      </c>
      <c r="DG83" t="s">
        <v>3</v>
      </c>
      <c r="DH83" t="s">
        <v>3</v>
      </c>
      <c r="DI83" t="s">
        <v>3</v>
      </c>
      <c r="DJ83" t="s">
        <v>3</v>
      </c>
      <c r="DK83" t="s">
        <v>3</v>
      </c>
      <c r="DL83" t="s">
        <v>3</v>
      </c>
      <c r="DM83" t="s">
        <v>3</v>
      </c>
      <c r="DN83">
        <v>0</v>
      </c>
      <c r="DO83">
        <v>0</v>
      </c>
      <c r="DP83">
        <v>1</v>
      </c>
      <c r="DQ83">
        <v>1</v>
      </c>
      <c r="DU83">
        <v>1003</v>
      </c>
      <c r="DV83" t="s">
        <v>110</v>
      </c>
      <c r="DW83" t="s">
        <v>110</v>
      </c>
      <c r="DX83">
        <v>100</v>
      </c>
      <c r="DZ83" t="s">
        <v>3</v>
      </c>
      <c r="EA83" t="s">
        <v>3</v>
      </c>
      <c r="EB83" t="s">
        <v>3</v>
      </c>
      <c r="EC83" t="s">
        <v>3</v>
      </c>
      <c r="EE83">
        <v>75858748</v>
      </c>
      <c r="EF83">
        <v>1</v>
      </c>
      <c r="EG83" t="s">
        <v>19</v>
      </c>
      <c r="EH83">
        <v>0</v>
      </c>
      <c r="EI83" t="s">
        <v>3</v>
      </c>
      <c r="EJ83">
        <v>4</v>
      </c>
      <c r="EK83">
        <v>0</v>
      </c>
      <c r="EL83" t="s">
        <v>20</v>
      </c>
      <c r="EM83" t="s">
        <v>21</v>
      </c>
      <c r="EO83" t="s">
        <v>3</v>
      </c>
      <c r="EQ83">
        <v>0</v>
      </c>
      <c r="ER83">
        <v>12850.13</v>
      </c>
      <c r="ES83">
        <v>10685.41</v>
      </c>
      <c r="ET83">
        <v>0</v>
      </c>
      <c r="EU83">
        <v>0</v>
      </c>
      <c r="EV83">
        <v>2164.7199999999998</v>
      </c>
      <c r="EW83">
        <v>3.55</v>
      </c>
      <c r="EX83">
        <v>0</v>
      </c>
      <c r="EY83">
        <v>0</v>
      </c>
      <c r="FQ83">
        <v>0</v>
      </c>
      <c r="FR83">
        <v>0</v>
      </c>
      <c r="FS83">
        <v>0</v>
      </c>
      <c r="FX83">
        <v>70</v>
      </c>
      <c r="FY83">
        <v>10</v>
      </c>
      <c r="GA83" t="s">
        <v>3</v>
      </c>
      <c r="GD83">
        <v>0</v>
      </c>
      <c r="GF83">
        <v>340609393</v>
      </c>
      <c r="GG83">
        <v>2</v>
      </c>
      <c r="GH83">
        <v>1</v>
      </c>
      <c r="GI83">
        <v>-2</v>
      </c>
      <c r="GJ83">
        <v>0</v>
      </c>
      <c r="GK83">
        <f>ROUND(R83*(R12)/100,2)</f>
        <v>0</v>
      </c>
      <c r="GL83">
        <f t="shared" si="68"/>
        <v>0</v>
      </c>
      <c r="GM83">
        <f t="shared" si="69"/>
        <v>2187.29</v>
      </c>
      <c r="GN83">
        <f t="shared" si="70"/>
        <v>0</v>
      </c>
      <c r="GO83">
        <f t="shared" si="71"/>
        <v>0</v>
      </c>
      <c r="GP83">
        <f t="shared" si="72"/>
        <v>2187.29</v>
      </c>
      <c r="GR83">
        <v>0</v>
      </c>
      <c r="GS83">
        <v>3</v>
      </c>
      <c r="GT83">
        <v>0</v>
      </c>
      <c r="GU83" t="s">
        <v>3</v>
      </c>
      <c r="GV83">
        <f t="shared" si="73"/>
        <v>0</v>
      </c>
      <c r="GW83">
        <v>1</v>
      </c>
      <c r="GX83">
        <f t="shared" si="74"/>
        <v>0</v>
      </c>
      <c r="HA83">
        <v>0</v>
      </c>
      <c r="HB83">
        <v>0</v>
      </c>
      <c r="HC83">
        <f t="shared" si="75"/>
        <v>0</v>
      </c>
      <c r="HE83" t="s">
        <v>3</v>
      </c>
      <c r="HF83" t="s">
        <v>3</v>
      </c>
      <c r="HM83" t="s">
        <v>3</v>
      </c>
      <c r="HN83" t="s">
        <v>3</v>
      </c>
      <c r="HO83" t="s">
        <v>3</v>
      </c>
      <c r="HP83" t="s">
        <v>3</v>
      </c>
      <c r="HQ83" t="s">
        <v>3</v>
      </c>
      <c r="HS83">
        <v>0</v>
      </c>
      <c r="IK83">
        <v>0</v>
      </c>
    </row>
    <row r="84" spans="1:245" x14ac:dyDescent="0.2">
      <c r="A84">
        <v>18</v>
      </c>
      <c r="B84">
        <v>1</v>
      </c>
      <c r="C84">
        <v>47</v>
      </c>
      <c r="E84" t="s">
        <v>146</v>
      </c>
      <c r="F84" t="s">
        <v>147</v>
      </c>
      <c r="G84" t="s">
        <v>148</v>
      </c>
      <c r="H84" t="s">
        <v>149</v>
      </c>
      <c r="I84">
        <f>I83*J84</f>
        <v>-1.545E-2</v>
      </c>
      <c r="J84">
        <v>-0.10300000000000001</v>
      </c>
      <c r="K84">
        <v>-0.10299999999999999</v>
      </c>
      <c r="O84">
        <f t="shared" si="37"/>
        <v>-1539.49</v>
      </c>
      <c r="P84">
        <f t="shared" si="38"/>
        <v>-1539.49</v>
      </c>
      <c r="Q84">
        <f t="shared" si="39"/>
        <v>0</v>
      </c>
      <c r="R84">
        <f t="shared" si="40"/>
        <v>0</v>
      </c>
      <c r="S84">
        <f t="shared" si="41"/>
        <v>0</v>
      </c>
      <c r="T84">
        <f t="shared" si="42"/>
        <v>0</v>
      </c>
      <c r="U84">
        <f t="shared" si="43"/>
        <v>0</v>
      </c>
      <c r="V84">
        <f t="shared" si="44"/>
        <v>0</v>
      </c>
      <c r="W84">
        <f t="shared" si="45"/>
        <v>0</v>
      </c>
      <c r="X84">
        <f t="shared" si="46"/>
        <v>0</v>
      </c>
      <c r="Y84">
        <f t="shared" si="47"/>
        <v>0</v>
      </c>
      <c r="AA84">
        <v>76395835</v>
      </c>
      <c r="AB84">
        <f t="shared" si="48"/>
        <v>99643.05</v>
      </c>
      <c r="AC84">
        <f t="shared" si="49"/>
        <v>99643.05</v>
      </c>
      <c r="AD84">
        <f t="shared" si="50"/>
        <v>0</v>
      </c>
      <c r="AE84">
        <f t="shared" si="51"/>
        <v>0</v>
      </c>
      <c r="AF84">
        <f t="shared" si="52"/>
        <v>0</v>
      </c>
      <c r="AG84">
        <f t="shared" si="53"/>
        <v>0</v>
      </c>
      <c r="AH84">
        <f t="shared" si="54"/>
        <v>0</v>
      </c>
      <c r="AI84">
        <f t="shared" si="55"/>
        <v>0</v>
      </c>
      <c r="AJ84">
        <f t="shared" si="56"/>
        <v>0</v>
      </c>
      <c r="AK84">
        <v>99643.05</v>
      </c>
      <c r="AL84">
        <v>99643.05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70</v>
      </c>
      <c r="AU84">
        <v>10</v>
      </c>
      <c r="AV84">
        <v>1</v>
      </c>
      <c r="AW84">
        <v>1</v>
      </c>
      <c r="AZ84">
        <v>1</v>
      </c>
      <c r="BA84">
        <v>1</v>
      </c>
      <c r="BB84">
        <v>1</v>
      </c>
      <c r="BC84">
        <v>1</v>
      </c>
      <c r="BD84" t="s">
        <v>3</v>
      </c>
      <c r="BE84" t="s">
        <v>3</v>
      </c>
      <c r="BF84" t="s">
        <v>3</v>
      </c>
      <c r="BG84" t="s">
        <v>3</v>
      </c>
      <c r="BH84">
        <v>3</v>
      </c>
      <c r="BI84">
        <v>4</v>
      </c>
      <c r="BJ84" t="s">
        <v>150</v>
      </c>
      <c r="BM84">
        <v>0</v>
      </c>
      <c r="BN84">
        <v>0</v>
      </c>
      <c r="BO84" t="s">
        <v>3</v>
      </c>
      <c r="BP84">
        <v>0</v>
      </c>
      <c r="BQ84">
        <v>1</v>
      </c>
      <c r="BR84">
        <v>0</v>
      </c>
      <c r="BS84">
        <v>1</v>
      </c>
      <c r="BT84">
        <v>1</v>
      </c>
      <c r="BU84">
        <v>1</v>
      </c>
      <c r="BV84">
        <v>1</v>
      </c>
      <c r="BW84">
        <v>1</v>
      </c>
      <c r="BX84">
        <v>1</v>
      </c>
      <c r="BY84" t="s">
        <v>3</v>
      </c>
      <c r="BZ84">
        <v>70</v>
      </c>
      <c r="CA84">
        <v>10</v>
      </c>
      <c r="CB84" t="s">
        <v>3</v>
      </c>
      <c r="CE84">
        <v>0</v>
      </c>
      <c r="CF84">
        <v>0</v>
      </c>
      <c r="CG84">
        <v>0</v>
      </c>
      <c r="CM84">
        <v>0</v>
      </c>
      <c r="CN84" t="s">
        <v>3</v>
      </c>
      <c r="CO84">
        <v>0</v>
      </c>
      <c r="CP84">
        <f t="shared" si="57"/>
        <v>-1539.49</v>
      </c>
      <c r="CQ84">
        <f t="shared" si="58"/>
        <v>99643.05</v>
      </c>
      <c r="CR84">
        <f t="shared" si="59"/>
        <v>0</v>
      </c>
      <c r="CS84">
        <f t="shared" si="60"/>
        <v>0</v>
      </c>
      <c r="CT84">
        <f t="shared" si="61"/>
        <v>0</v>
      </c>
      <c r="CU84">
        <f t="shared" si="62"/>
        <v>0</v>
      </c>
      <c r="CV84">
        <f t="shared" si="63"/>
        <v>0</v>
      </c>
      <c r="CW84">
        <f t="shared" si="64"/>
        <v>0</v>
      </c>
      <c r="CX84">
        <f t="shared" si="65"/>
        <v>0</v>
      </c>
      <c r="CY84">
        <f t="shared" si="66"/>
        <v>0</v>
      </c>
      <c r="CZ84">
        <f t="shared" si="67"/>
        <v>0</v>
      </c>
      <c r="DC84" t="s">
        <v>3</v>
      </c>
      <c r="DD84" t="s">
        <v>3</v>
      </c>
      <c r="DE84" t="s">
        <v>3</v>
      </c>
      <c r="DF84" t="s">
        <v>3</v>
      </c>
      <c r="DG84" t="s">
        <v>3</v>
      </c>
      <c r="DH84" t="s">
        <v>3</v>
      </c>
      <c r="DI84" t="s">
        <v>3</v>
      </c>
      <c r="DJ84" t="s">
        <v>3</v>
      </c>
      <c r="DK84" t="s">
        <v>3</v>
      </c>
      <c r="DL84" t="s">
        <v>3</v>
      </c>
      <c r="DM84" t="s">
        <v>3</v>
      </c>
      <c r="DN84">
        <v>0</v>
      </c>
      <c r="DO84">
        <v>0</v>
      </c>
      <c r="DP84">
        <v>1</v>
      </c>
      <c r="DQ84">
        <v>1</v>
      </c>
      <c r="DU84">
        <v>1003</v>
      </c>
      <c r="DV84" t="s">
        <v>149</v>
      </c>
      <c r="DW84" t="s">
        <v>149</v>
      </c>
      <c r="DX84">
        <v>1000</v>
      </c>
      <c r="DZ84" t="s">
        <v>3</v>
      </c>
      <c r="EA84" t="s">
        <v>3</v>
      </c>
      <c r="EB84" t="s">
        <v>3</v>
      </c>
      <c r="EC84" t="s">
        <v>3</v>
      </c>
      <c r="EE84">
        <v>75858748</v>
      </c>
      <c r="EF84">
        <v>1</v>
      </c>
      <c r="EG84" t="s">
        <v>19</v>
      </c>
      <c r="EH84">
        <v>0</v>
      </c>
      <c r="EI84" t="s">
        <v>3</v>
      </c>
      <c r="EJ84">
        <v>4</v>
      </c>
      <c r="EK84">
        <v>0</v>
      </c>
      <c r="EL84" t="s">
        <v>20</v>
      </c>
      <c r="EM84" t="s">
        <v>21</v>
      </c>
      <c r="EO84" t="s">
        <v>3</v>
      </c>
      <c r="EQ84">
        <v>0</v>
      </c>
      <c r="ER84">
        <v>99643.05</v>
      </c>
      <c r="ES84">
        <v>99643.05</v>
      </c>
      <c r="ET84">
        <v>0</v>
      </c>
      <c r="EU84">
        <v>0</v>
      </c>
      <c r="EV84">
        <v>0</v>
      </c>
      <c r="EW84">
        <v>0</v>
      </c>
      <c r="EX84">
        <v>0</v>
      </c>
      <c r="FQ84">
        <v>0</v>
      </c>
      <c r="FR84">
        <v>0</v>
      </c>
      <c r="FS84">
        <v>0</v>
      </c>
      <c r="FX84">
        <v>70</v>
      </c>
      <c r="FY84">
        <v>10</v>
      </c>
      <c r="GA84" t="s">
        <v>3</v>
      </c>
      <c r="GD84">
        <v>0</v>
      </c>
      <c r="GF84">
        <v>1173250179</v>
      </c>
      <c r="GG84">
        <v>2</v>
      </c>
      <c r="GH84">
        <v>1</v>
      </c>
      <c r="GI84">
        <v>-2</v>
      </c>
      <c r="GJ84">
        <v>0</v>
      </c>
      <c r="GK84">
        <f>ROUND(R84*(R12)/100,2)</f>
        <v>0</v>
      </c>
      <c r="GL84">
        <f t="shared" si="68"/>
        <v>0</v>
      </c>
      <c r="GM84">
        <f t="shared" si="69"/>
        <v>-1539.49</v>
      </c>
      <c r="GN84">
        <f t="shared" si="70"/>
        <v>0</v>
      </c>
      <c r="GO84">
        <f t="shared" si="71"/>
        <v>0</v>
      </c>
      <c r="GP84">
        <f t="shared" si="72"/>
        <v>-1539.49</v>
      </c>
      <c r="GR84">
        <v>0</v>
      </c>
      <c r="GS84">
        <v>3</v>
      </c>
      <c r="GT84">
        <v>0</v>
      </c>
      <c r="GU84" t="s">
        <v>3</v>
      </c>
      <c r="GV84">
        <f t="shared" si="73"/>
        <v>0</v>
      </c>
      <c r="GW84">
        <v>1</v>
      </c>
      <c r="GX84">
        <f t="shared" si="74"/>
        <v>0</v>
      </c>
      <c r="HA84">
        <v>0</v>
      </c>
      <c r="HB84">
        <v>0</v>
      </c>
      <c r="HC84">
        <f t="shared" si="75"/>
        <v>0</v>
      </c>
      <c r="HE84" t="s">
        <v>3</v>
      </c>
      <c r="HF84" t="s">
        <v>3</v>
      </c>
      <c r="HM84" t="s">
        <v>3</v>
      </c>
      <c r="HN84" t="s">
        <v>3</v>
      </c>
      <c r="HO84" t="s">
        <v>3</v>
      </c>
      <c r="HP84" t="s">
        <v>3</v>
      </c>
      <c r="HQ84" t="s">
        <v>3</v>
      </c>
      <c r="HS84">
        <v>0</v>
      </c>
      <c r="IK84">
        <v>0</v>
      </c>
    </row>
    <row r="85" spans="1:245" x14ac:dyDescent="0.2">
      <c r="A85">
        <v>17</v>
      </c>
      <c r="B85">
        <v>1</v>
      </c>
      <c r="C85">
        <f>ROW(SmtRes!A57)</f>
        <v>57</v>
      </c>
      <c r="D85">
        <f>ROW(EtalonRes!A48)</f>
        <v>48</v>
      </c>
      <c r="E85" t="s">
        <v>151</v>
      </c>
      <c r="F85" t="s">
        <v>152</v>
      </c>
      <c r="G85" t="s">
        <v>153</v>
      </c>
      <c r="H85" t="s">
        <v>110</v>
      </c>
      <c r="I85">
        <f>ROUND(40/100,9)</f>
        <v>0.4</v>
      </c>
      <c r="J85">
        <v>0</v>
      </c>
      <c r="K85">
        <f>ROUND(40/100,9)</f>
        <v>0.4</v>
      </c>
      <c r="O85">
        <f t="shared" si="37"/>
        <v>16165.02</v>
      </c>
      <c r="P85">
        <f t="shared" si="38"/>
        <v>4028.54</v>
      </c>
      <c r="Q85">
        <f t="shared" si="39"/>
        <v>49.58</v>
      </c>
      <c r="R85">
        <f t="shared" si="40"/>
        <v>0.68</v>
      </c>
      <c r="S85">
        <f t="shared" si="41"/>
        <v>12086.9</v>
      </c>
      <c r="T85">
        <f t="shared" si="42"/>
        <v>0</v>
      </c>
      <c r="U85">
        <f t="shared" si="43"/>
        <v>17.784000000000002</v>
      </c>
      <c r="V85">
        <f t="shared" si="44"/>
        <v>0</v>
      </c>
      <c r="W85">
        <f t="shared" si="45"/>
        <v>0</v>
      </c>
      <c r="X85">
        <f t="shared" si="46"/>
        <v>8460.83</v>
      </c>
      <c r="Y85">
        <f t="shared" si="47"/>
        <v>1208.69</v>
      </c>
      <c r="AA85">
        <v>76395835</v>
      </c>
      <c r="AB85">
        <f t="shared" si="48"/>
        <v>40412.53</v>
      </c>
      <c r="AC85">
        <f t="shared" si="49"/>
        <v>10071.35</v>
      </c>
      <c r="AD85">
        <f t="shared" si="50"/>
        <v>123.94</v>
      </c>
      <c r="AE85">
        <f t="shared" si="51"/>
        <v>1.69</v>
      </c>
      <c r="AF85">
        <f t="shared" si="52"/>
        <v>30217.24</v>
      </c>
      <c r="AG85">
        <f t="shared" si="53"/>
        <v>0</v>
      </c>
      <c r="AH85">
        <f t="shared" si="54"/>
        <v>44.46</v>
      </c>
      <c r="AI85">
        <f t="shared" si="55"/>
        <v>0</v>
      </c>
      <c r="AJ85">
        <f t="shared" si="56"/>
        <v>0</v>
      </c>
      <c r="AK85">
        <v>40412.53</v>
      </c>
      <c r="AL85">
        <v>10071.35</v>
      </c>
      <c r="AM85">
        <v>123.94</v>
      </c>
      <c r="AN85">
        <v>1.69</v>
      </c>
      <c r="AO85">
        <v>30217.24</v>
      </c>
      <c r="AP85">
        <v>0</v>
      </c>
      <c r="AQ85">
        <v>44.46</v>
      </c>
      <c r="AR85">
        <v>0</v>
      </c>
      <c r="AS85">
        <v>0</v>
      </c>
      <c r="AT85">
        <v>70</v>
      </c>
      <c r="AU85">
        <v>10</v>
      </c>
      <c r="AV85">
        <v>1</v>
      </c>
      <c r="AW85">
        <v>1</v>
      </c>
      <c r="AZ85">
        <v>1</v>
      </c>
      <c r="BA85">
        <v>1</v>
      </c>
      <c r="BB85">
        <v>1</v>
      </c>
      <c r="BC85">
        <v>1</v>
      </c>
      <c r="BD85" t="s">
        <v>3</v>
      </c>
      <c r="BE85" t="s">
        <v>3</v>
      </c>
      <c r="BF85" t="s">
        <v>3</v>
      </c>
      <c r="BG85" t="s">
        <v>3</v>
      </c>
      <c r="BH85">
        <v>0</v>
      </c>
      <c r="BI85">
        <v>4</v>
      </c>
      <c r="BJ85" t="s">
        <v>154</v>
      </c>
      <c r="BM85">
        <v>0</v>
      </c>
      <c r="BN85">
        <v>0</v>
      </c>
      <c r="BO85" t="s">
        <v>3</v>
      </c>
      <c r="BP85">
        <v>0</v>
      </c>
      <c r="BQ85">
        <v>1</v>
      </c>
      <c r="BR85">
        <v>0</v>
      </c>
      <c r="BS85">
        <v>1</v>
      </c>
      <c r="BT85">
        <v>1</v>
      </c>
      <c r="BU85">
        <v>1</v>
      </c>
      <c r="BV85">
        <v>1</v>
      </c>
      <c r="BW85">
        <v>1</v>
      </c>
      <c r="BX85">
        <v>1</v>
      </c>
      <c r="BY85" t="s">
        <v>3</v>
      </c>
      <c r="BZ85">
        <v>70</v>
      </c>
      <c r="CA85">
        <v>10</v>
      </c>
      <c r="CB85" t="s">
        <v>3</v>
      </c>
      <c r="CE85">
        <v>0</v>
      </c>
      <c r="CF85">
        <v>0</v>
      </c>
      <c r="CG85">
        <v>0</v>
      </c>
      <c r="CM85">
        <v>0</v>
      </c>
      <c r="CN85" t="s">
        <v>3</v>
      </c>
      <c r="CO85">
        <v>0</v>
      </c>
      <c r="CP85">
        <f t="shared" si="57"/>
        <v>16165.02</v>
      </c>
      <c r="CQ85">
        <f t="shared" si="58"/>
        <v>10071.35</v>
      </c>
      <c r="CR85">
        <f t="shared" si="59"/>
        <v>123.94</v>
      </c>
      <c r="CS85">
        <f t="shared" si="60"/>
        <v>1.69</v>
      </c>
      <c r="CT85">
        <f t="shared" si="61"/>
        <v>30217.24</v>
      </c>
      <c r="CU85">
        <f t="shared" si="62"/>
        <v>0</v>
      </c>
      <c r="CV85">
        <f t="shared" si="63"/>
        <v>44.46</v>
      </c>
      <c r="CW85">
        <f t="shared" si="64"/>
        <v>0</v>
      </c>
      <c r="CX85">
        <f t="shared" si="65"/>
        <v>0</v>
      </c>
      <c r="CY85">
        <f t="shared" si="66"/>
        <v>8460.83</v>
      </c>
      <c r="CZ85">
        <f t="shared" si="67"/>
        <v>1208.69</v>
      </c>
      <c r="DC85" t="s">
        <v>3</v>
      </c>
      <c r="DD85" t="s">
        <v>3</v>
      </c>
      <c r="DE85" t="s">
        <v>3</v>
      </c>
      <c r="DF85" t="s">
        <v>3</v>
      </c>
      <c r="DG85" t="s">
        <v>3</v>
      </c>
      <c r="DH85" t="s">
        <v>3</v>
      </c>
      <c r="DI85" t="s">
        <v>3</v>
      </c>
      <c r="DJ85" t="s">
        <v>3</v>
      </c>
      <c r="DK85" t="s">
        <v>3</v>
      </c>
      <c r="DL85" t="s">
        <v>3</v>
      </c>
      <c r="DM85" t="s">
        <v>3</v>
      </c>
      <c r="DN85">
        <v>0</v>
      </c>
      <c r="DO85">
        <v>0</v>
      </c>
      <c r="DP85">
        <v>1</v>
      </c>
      <c r="DQ85">
        <v>1</v>
      </c>
      <c r="DU85">
        <v>1003</v>
      </c>
      <c r="DV85" t="s">
        <v>110</v>
      </c>
      <c r="DW85" t="s">
        <v>110</v>
      </c>
      <c r="DX85">
        <v>100</v>
      </c>
      <c r="DZ85" t="s">
        <v>3</v>
      </c>
      <c r="EA85" t="s">
        <v>3</v>
      </c>
      <c r="EB85" t="s">
        <v>3</v>
      </c>
      <c r="EC85" t="s">
        <v>3</v>
      </c>
      <c r="EE85">
        <v>75858748</v>
      </c>
      <c r="EF85">
        <v>1</v>
      </c>
      <c r="EG85" t="s">
        <v>19</v>
      </c>
      <c r="EH85">
        <v>0</v>
      </c>
      <c r="EI85" t="s">
        <v>3</v>
      </c>
      <c r="EJ85">
        <v>4</v>
      </c>
      <c r="EK85">
        <v>0</v>
      </c>
      <c r="EL85" t="s">
        <v>20</v>
      </c>
      <c r="EM85" t="s">
        <v>21</v>
      </c>
      <c r="EO85" t="s">
        <v>3</v>
      </c>
      <c r="EQ85">
        <v>0</v>
      </c>
      <c r="ER85">
        <v>40412.53</v>
      </c>
      <c r="ES85">
        <v>10071.35</v>
      </c>
      <c r="ET85">
        <v>123.94</v>
      </c>
      <c r="EU85">
        <v>1.69</v>
      </c>
      <c r="EV85">
        <v>30217.24</v>
      </c>
      <c r="EW85">
        <v>44.46</v>
      </c>
      <c r="EX85">
        <v>0</v>
      </c>
      <c r="EY85">
        <v>0</v>
      </c>
      <c r="FQ85">
        <v>0</v>
      </c>
      <c r="FR85">
        <v>0</v>
      </c>
      <c r="FS85">
        <v>0</v>
      </c>
      <c r="FX85">
        <v>70</v>
      </c>
      <c r="FY85">
        <v>10</v>
      </c>
      <c r="GA85" t="s">
        <v>3</v>
      </c>
      <c r="GD85">
        <v>0</v>
      </c>
      <c r="GF85">
        <v>2107766372</v>
      </c>
      <c r="GG85">
        <v>2</v>
      </c>
      <c r="GH85">
        <v>1</v>
      </c>
      <c r="GI85">
        <v>-2</v>
      </c>
      <c r="GJ85">
        <v>0</v>
      </c>
      <c r="GK85">
        <f>ROUND(R85*(R12)/100,2)</f>
        <v>0.73</v>
      </c>
      <c r="GL85">
        <f t="shared" si="68"/>
        <v>0</v>
      </c>
      <c r="GM85">
        <f t="shared" si="69"/>
        <v>25835.27</v>
      </c>
      <c r="GN85">
        <f t="shared" si="70"/>
        <v>0</v>
      </c>
      <c r="GO85">
        <f t="shared" si="71"/>
        <v>0</v>
      </c>
      <c r="GP85">
        <f t="shared" si="72"/>
        <v>25835.27</v>
      </c>
      <c r="GR85">
        <v>0</v>
      </c>
      <c r="GS85">
        <v>3</v>
      </c>
      <c r="GT85">
        <v>0</v>
      </c>
      <c r="GU85" t="s">
        <v>3</v>
      </c>
      <c r="GV85">
        <f t="shared" si="73"/>
        <v>0</v>
      </c>
      <c r="GW85">
        <v>1</v>
      </c>
      <c r="GX85">
        <f t="shared" si="74"/>
        <v>0</v>
      </c>
      <c r="HA85">
        <v>0</v>
      </c>
      <c r="HB85">
        <v>0</v>
      </c>
      <c r="HC85">
        <f t="shared" si="75"/>
        <v>0</v>
      </c>
      <c r="HE85" t="s">
        <v>3</v>
      </c>
      <c r="HF85" t="s">
        <v>3</v>
      </c>
      <c r="HM85" t="s">
        <v>3</v>
      </c>
      <c r="HN85" t="s">
        <v>3</v>
      </c>
      <c r="HO85" t="s">
        <v>3</v>
      </c>
      <c r="HP85" t="s">
        <v>3</v>
      </c>
      <c r="HQ85" t="s">
        <v>3</v>
      </c>
      <c r="HS85">
        <v>0</v>
      </c>
      <c r="IK85">
        <v>0</v>
      </c>
    </row>
    <row r="86" spans="1:245" x14ac:dyDescent="0.2">
      <c r="A86">
        <v>18</v>
      </c>
      <c r="B86">
        <v>1</v>
      </c>
      <c r="C86">
        <v>54</v>
      </c>
      <c r="E86" t="s">
        <v>155</v>
      </c>
      <c r="F86" t="s">
        <v>156</v>
      </c>
      <c r="G86" t="s">
        <v>157</v>
      </c>
      <c r="H86" t="s">
        <v>115</v>
      </c>
      <c r="I86">
        <f>I85*J86</f>
        <v>-40.799999999999997</v>
      </c>
      <c r="J86">
        <v>-101.99999999999999</v>
      </c>
      <c r="K86">
        <v>-102</v>
      </c>
      <c r="O86">
        <f t="shared" si="37"/>
        <v>-1359.05</v>
      </c>
      <c r="P86">
        <f t="shared" si="38"/>
        <v>-1359.05</v>
      </c>
      <c r="Q86">
        <f t="shared" si="39"/>
        <v>0</v>
      </c>
      <c r="R86">
        <f t="shared" si="40"/>
        <v>0</v>
      </c>
      <c r="S86">
        <f t="shared" si="41"/>
        <v>0</v>
      </c>
      <c r="T86">
        <f t="shared" si="42"/>
        <v>0</v>
      </c>
      <c r="U86">
        <f t="shared" si="43"/>
        <v>0</v>
      </c>
      <c r="V86">
        <f t="shared" si="44"/>
        <v>0</v>
      </c>
      <c r="W86">
        <f t="shared" si="45"/>
        <v>0</v>
      </c>
      <c r="X86">
        <f t="shared" si="46"/>
        <v>0</v>
      </c>
      <c r="Y86">
        <f t="shared" si="47"/>
        <v>0</v>
      </c>
      <c r="AA86">
        <v>76395835</v>
      </c>
      <c r="AB86">
        <f t="shared" si="48"/>
        <v>33.31</v>
      </c>
      <c r="AC86">
        <f t="shared" si="49"/>
        <v>33.31</v>
      </c>
      <c r="AD86">
        <f t="shared" si="50"/>
        <v>0</v>
      </c>
      <c r="AE86">
        <f t="shared" si="51"/>
        <v>0</v>
      </c>
      <c r="AF86">
        <f t="shared" si="52"/>
        <v>0</v>
      </c>
      <c r="AG86">
        <f t="shared" si="53"/>
        <v>0</v>
      </c>
      <c r="AH86">
        <f t="shared" si="54"/>
        <v>0</v>
      </c>
      <c r="AI86">
        <f t="shared" si="55"/>
        <v>0</v>
      </c>
      <c r="AJ86">
        <f t="shared" si="56"/>
        <v>0</v>
      </c>
      <c r="AK86">
        <v>33.31</v>
      </c>
      <c r="AL86">
        <v>33.31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70</v>
      </c>
      <c r="AU86">
        <v>10</v>
      </c>
      <c r="AV86">
        <v>1</v>
      </c>
      <c r="AW86">
        <v>1</v>
      </c>
      <c r="AZ86">
        <v>1</v>
      </c>
      <c r="BA86">
        <v>1</v>
      </c>
      <c r="BB86">
        <v>1</v>
      </c>
      <c r="BC86">
        <v>1</v>
      </c>
      <c r="BD86" t="s">
        <v>3</v>
      </c>
      <c r="BE86" t="s">
        <v>3</v>
      </c>
      <c r="BF86" t="s">
        <v>3</v>
      </c>
      <c r="BG86" t="s">
        <v>3</v>
      </c>
      <c r="BH86">
        <v>3</v>
      </c>
      <c r="BI86">
        <v>4</v>
      </c>
      <c r="BJ86" t="s">
        <v>158</v>
      </c>
      <c r="BM86">
        <v>0</v>
      </c>
      <c r="BN86">
        <v>0</v>
      </c>
      <c r="BO86" t="s">
        <v>3</v>
      </c>
      <c r="BP86">
        <v>0</v>
      </c>
      <c r="BQ86">
        <v>1</v>
      </c>
      <c r="BR86">
        <v>0</v>
      </c>
      <c r="BS86">
        <v>1</v>
      </c>
      <c r="BT86">
        <v>1</v>
      </c>
      <c r="BU86">
        <v>1</v>
      </c>
      <c r="BV86">
        <v>1</v>
      </c>
      <c r="BW86">
        <v>1</v>
      </c>
      <c r="BX86">
        <v>1</v>
      </c>
      <c r="BY86" t="s">
        <v>3</v>
      </c>
      <c r="BZ86">
        <v>70</v>
      </c>
      <c r="CA86">
        <v>10</v>
      </c>
      <c r="CB86" t="s">
        <v>3</v>
      </c>
      <c r="CE86">
        <v>0</v>
      </c>
      <c r="CF86">
        <v>0</v>
      </c>
      <c r="CG86">
        <v>0</v>
      </c>
      <c r="CM86">
        <v>0</v>
      </c>
      <c r="CN86" t="s">
        <v>3</v>
      </c>
      <c r="CO86">
        <v>0</v>
      </c>
      <c r="CP86">
        <f t="shared" si="57"/>
        <v>-1359.05</v>
      </c>
      <c r="CQ86">
        <f t="shared" si="58"/>
        <v>33.31</v>
      </c>
      <c r="CR86">
        <f t="shared" si="59"/>
        <v>0</v>
      </c>
      <c r="CS86">
        <f t="shared" si="60"/>
        <v>0</v>
      </c>
      <c r="CT86">
        <f t="shared" si="61"/>
        <v>0</v>
      </c>
      <c r="CU86">
        <f t="shared" si="62"/>
        <v>0</v>
      </c>
      <c r="CV86">
        <f t="shared" si="63"/>
        <v>0</v>
      </c>
      <c r="CW86">
        <f t="shared" si="64"/>
        <v>0</v>
      </c>
      <c r="CX86">
        <f t="shared" si="65"/>
        <v>0</v>
      </c>
      <c r="CY86">
        <f t="shared" si="66"/>
        <v>0</v>
      </c>
      <c r="CZ86">
        <f t="shared" si="67"/>
        <v>0</v>
      </c>
      <c r="DC86" t="s">
        <v>3</v>
      </c>
      <c r="DD86" t="s">
        <v>3</v>
      </c>
      <c r="DE86" t="s">
        <v>3</v>
      </c>
      <c r="DF86" t="s">
        <v>3</v>
      </c>
      <c r="DG86" t="s">
        <v>3</v>
      </c>
      <c r="DH86" t="s">
        <v>3</v>
      </c>
      <c r="DI86" t="s">
        <v>3</v>
      </c>
      <c r="DJ86" t="s">
        <v>3</v>
      </c>
      <c r="DK86" t="s">
        <v>3</v>
      </c>
      <c r="DL86" t="s">
        <v>3</v>
      </c>
      <c r="DM86" t="s">
        <v>3</v>
      </c>
      <c r="DN86">
        <v>0</v>
      </c>
      <c r="DO86">
        <v>0</v>
      </c>
      <c r="DP86">
        <v>1</v>
      </c>
      <c r="DQ86">
        <v>1</v>
      </c>
      <c r="DU86">
        <v>1003</v>
      </c>
      <c r="DV86" t="s">
        <v>115</v>
      </c>
      <c r="DW86" t="s">
        <v>115</v>
      </c>
      <c r="DX86">
        <v>1</v>
      </c>
      <c r="DZ86" t="s">
        <v>3</v>
      </c>
      <c r="EA86" t="s">
        <v>3</v>
      </c>
      <c r="EB86" t="s">
        <v>3</v>
      </c>
      <c r="EC86" t="s">
        <v>3</v>
      </c>
      <c r="EE86">
        <v>75858748</v>
      </c>
      <c r="EF86">
        <v>1</v>
      </c>
      <c r="EG86" t="s">
        <v>19</v>
      </c>
      <c r="EH86">
        <v>0</v>
      </c>
      <c r="EI86" t="s">
        <v>3</v>
      </c>
      <c r="EJ86">
        <v>4</v>
      </c>
      <c r="EK86">
        <v>0</v>
      </c>
      <c r="EL86" t="s">
        <v>20</v>
      </c>
      <c r="EM86" t="s">
        <v>21</v>
      </c>
      <c r="EO86" t="s">
        <v>3</v>
      </c>
      <c r="EQ86">
        <v>0</v>
      </c>
      <c r="ER86">
        <v>33.31</v>
      </c>
      <c r="ES86">
        <v>33.31</v>
      </c>
      <c r="ET86">
        <v>0</v>
      </c>
      <c r="EU86">
        <v>0</v>
      </c>
      <c r="EV86">
        <v>0</v>
      </c>
      <c r="EW86">
        <v>0</v>
      </c>
      <c r="EX86">
        <v>0</v>
      </c>
      <c r="FQ86">
        <v>0</v>
      </c>
      <c r="FR86">
        <v>0</v>
      </c>
      <c r="FS86">
        <v>0</v>
      </c>
      <c r="FX86">
        <v>70</v>
      </c>
      <c r="FY86">
        <v>10</v>
      </c>
      <c r="GA86" t="s">
        <v>3</v>
      </c>
      <c r="GD86">
        <v>0</v>
      </c>
      <c r="GF86">
        <v>-153682322</v>
      </c>
      <c r="GG86">
        <v>2</v>
      </c>
      <c r="GH86">
        <v>1</v>
      </c>
      <c r="GI86">
        <v>-2</v>
      </c>
      <c r="GJ86">
        <v>0</v>
      </c>
      <c r="GK86">
        <f>ROUND(R86*(R12)/100,2)</f>
        <v>0</v>
      </c>
      <c r="GL86">
        <f t="shared" si="68"/>
        <v>0</v>
      </c>
      <c r="GM86">
        <f t="shared" si="69"/>
        <v>-1359.05</v>
      </c>
      <c r="GN86">
        <f t="shared" si="70"/>
        <v>0</v>
      </c>
      <c r="GO86">
        <f t="shared" si="71"/>
        <v>0</v>
      </c>
      <c r="GP86">
        <f t="shared" si="72"/>
        <v>-1359.05</v>
      </c>
      <c r="GR86">
        <v>0</v>
      </c>
      <c r="GS86">
        <v>3</v>
      </c>
      <c r="GT86">
        <v>0</v>
      </c>
      <c r="GU86" t="s">
        <v>3</v>
      </c>
      <c r="GV86">
        <f t="shared" si="73"/>
        <v>0</v>
      </c>
      <c r="GW86">
        <v>1</v>
      </c>
      <c r="GX86">
        <f t="shared" si="74"/>
        <v>0</v>
      </c>
      <c r="HA86">
        <v>0</v>
      </c>
      <c r="HB86">
        <v>0</v>
      </c>
      <c r="HC86">
        <f t="shared" si="75"/>
        <v>0</v>
      </c>
      <c r="HE86" t="s">
        <v>3</v>
      </c>
      <c r="HF86" t="s">
        <v>3</v>
      </c>
      <c r="HM86" t="s">
        <v>3</v>
      </c>
      <c r="HN86" t="s">
        <v>3</v>
      </c>
      <c r="HO86" t="s">
        <v>3</v>
      </c>
      <c r="HP86" t="s">
        <v>3</v>
      </c>
      <c r="HQ86" t="s">
        <v>3</v>
      </c>
      <c r="HS86">
        <v>0</v>
      </c>
      <c r="IK86">
        <v>0</v>
      </c>
    </row>
    <row r="87" spans="1:245" x14ac:dyDescent="0.2">
      <c r="A87">
        <v>17</v>
      </c>
      <c r="B87">
        <v>1</v>
      </c>
      <c r="C87">
        <f>ROW(SmtRes!A58)</f>
        <v>58</v>
      </c>
      <c r="D87">
        <f>ROW(EtalonRes!A49)</f>
        <v>49</v>
      </c>
      <c r="E87" t="s">
        <v>159</v>
      </c>
      <c r="F87" t="s">
        <v>160</v>
      </c>
      <c r="G87" t="s">
        <v>161</v>
      </c>
      <c r="H87" t="s">
        <v>110</v>
      </c>
      <c r="I87">
        <f>ROUND(20/100,9)</f>
        <v>0.2</v>
      </c>
      <c r="J87">
        <v>0</v>
      </c>
      <c r="K87">
        <f>ROUND(20/100,9)</f>
        <v>0.2</v>
      </c>
      <c r="O87">
        <f t="shared" si="37"/>
        <v>721.98</v>
      </c>
      <c r="P87">
        <f t="shared" si="38"/>
        <v>0</v>
      </c>
      <c r="Q87">
        <f t="shared" si="39"/>
        <v>0</v>
      </c>
      <c r="R87">
        <f t="shared" si="40"/>
        <v>0</v>
      </c>
      <c r="S87">
        <f t="shared" si="41"/>
        <v>721.98</v>
      </c>
      <c r="T87">
        <f t="shared" si="42"/>
        <v>0</v>
      </c>
      <c r="U87">
        <f t="shared" si="43"/>
        <v>1.1839999999999999</v>
      </c>
      <c r="V87">
        <f t="shared" si="44"/>
        <v>0</v>
      </c>
      <c r="W87">
        <f t="shared" si="45"/>
        <v>0</v>
      </c>
      <c r="X87">
        <f t="shared" si="46"/>
        <v>505.39</v>
      </c>
      <c r="Y87">
        <f t="shared" si="47"/>
        <v>72.2</v>
      </c>
      <c r="AA87">
        <v>76395835</v>
      </c>
      <c r="AB87">
        <f t="shared" si="48"/>
        <v>3609.9</v>
      </c>
      <c r="AC87">
        <f t="shared" si="49"/>
        <v>0</v>
      </c>
      <c r="AD87">
        <f t="shared" si="50"/>
        <v>0</v>
      </c>
      <c r="AE87">
        <f t="shared" si="51"/>
        <v>0</v>
      </c>
      <c r="AF87">
        <f t="shared" si="52"/>
        <v>3609.9</v>
      </c>
      <c r="AG87">
        <f t="shared" si="53"/>
        <v>0</v>
      </c>
      <c r="AH87">
        <f t="shared" si="54"/>
        <v>5.92</v>
      </c>
      <c r="AI87">
        <f t="shared" si="55"/>
        <v>0</v>
      </c>
      <c r="AJ87">
        <f t="shared" si="56"/>
        <v>0</v>
      </c>
      <c r="AK87">
        <v>3609.9</v>
      </c>
      <c r="AL87">
        <v>0</v>
      </c>
      <c r="AM87">
        <v>0</v>
      </c>
      <c r="AN87">
        <v>0</v>
      </c>
      <c r="AO87">
        <v>3609.9</v>
      </c>
      <c r="AP87">
        <v>0</v>
      </c>
      <c r="AQ87">
        <v>5.92</v>
      </c>
      <c r="AR87">
        <v>0</v>
      </c>
      <c r="AS87">
        <v>0</v>
      </c>
      <c r="AT87">
        <v>70</v>
      </c>
      <c r="AU87">
        <v>10</v>
      </c>
      <c r="AV87">
        <v>1</v>
      </c>
      <c r="AW87">
        <v>1</v>
      </c>
      <c r="AZ87">
        <v>1</v>
      </c>
      <c r="BA87">
        <v>1</v>
      </c>
      <c r="BB87">
        <v>1</v>
      </c>
      <c r="BC87">
        <v>1</v>
      </c>
      <c r="BD87" t="s">
        <v>3</v>
      </c>
      <c r="BE87" t="s">
        <v>3</v>
      </c>
      <c r="BF87" t="s">
        <v>3</v>
      </c>
      <c r="BG87" t="s">
        <v>3</v>
      </c>
      <c r="BH87">
        <v>0</v>
      </c>
      <c r="BI87">
        <v>4</v>
      </c>
      <c r="BJ87" t="s">
        <v>162</v>
      </c>
      <c r="BM87">
        <v>0</v>
      </c>
      <c r="BN87">
        <v>0</v>
      </c>
      <c r="BO87" t="s">
        <v>3</v>
      </c>
      <c r="BP87">
        <v>0</v>
      </c>
      <c r="BQ87">
        <v>1</v>
      </c>
      <c r="BR87">
        <v>0</v>
      </c>
      <c r="BS87">
        <v>1</v>
      </c>
      <c r="BT87">
        <v>1</v>
      </c>
      <c r="BU87">
        <v>1</v>
      </c>
      <c r="BV87">
        <v>1</v>
      </c>
      <c r="BW87">
        <v>1</v>
      </c>
      <c r="BX87">
        <v>1</v>
      </c>
      <c r="BY87" t="s">
        <v>3</v>
      </c>
      <c r="BZ87">
        <v>70</v>
      </c>
      <c r="CA87">
        <v>10</v>
      </c>
      <c r="CB87" t="s">
        <v>3</v>
      </c>
      <c r="CE87">
        <v>0</v>
      </c>
      <c r="CF87">
        <v>0</v>
      </c>
      <c r="CG87">
        <v>0</v>
      </c>
      <c r="CM87">
        <v>0</v>
      </c>
      <c r="CN87" t="s">
        <v>3</v>
      </c>
      <c r="CO87">
        <v>0</v>
      </c>
      <c r="CP87">
        <f t="shared" si="57"/>
        <v>721.98</v>
      </c>
      <c r="CQ87">
        <f t="shared" si="58"/>
        <v>0</v>
      </c>
      <c r="CR87">
        <f t="shared" si="59"/>
        <v>0</v>
      </c>
      <c r="CS87">
        <f t="shared" si="60"/>
        <v>0</v>
      </c>
      <c r="CT87">
        <f t="shared" si="61"/>
        <v>3609.9</v>
      </c>
      <c r="CU87">
        <f t="shared" si="62"/>
        <v>0</v>
      </c>
      <c r="CV87">
        <f t="shared" si="63"/>
        <v>5.92</v>
      </c>
      <c r="CW87">
        <f t="shared" si="64"/>
        <v>0</v>
      </c>
      <c r="CX87">
        <f t="shared" si="65"/>
        <v>0</v>
      </c>
      <c r="CY87">
        <f t="shared" si="66"/>
        <v>505.38599999999997</v>
      </c>
      <c r="CZ87">
        <f t="shared" si="67"/>
        <v>72.198000000000008</v>
      </c>
      <c r="DC87" t="s">
        <v>3</v>
      </c>
      <c r="DD87" t="s">
        <v>3</v>
      </c>
      <c r="DE87" t="s">
        <v>3</v>
      </c>
      <c r="DF87" t="s">
        <v>3</v>
      </c>
      <c r="DG87" t="s">
        <v>3</v>
      </c>
      <c r="DH87" t="s">
        <v>3</v>
      </c>
      <c r="DI87" t="s">
        <v>3</v>
      </c>
      <c r="DJ87" t="s">
        <v>3</v>
      </c>
      <c r="DK87" t="s">
        <v>3</v>
      </c>
      <c r="DL87" t="s">
        <v>3</v>
      </c>
      <c r="DM87" t="s">
        <v>3</v>
      </c>
      <c r="DN87">
        <v>0</v>
      </c>
      <c r="DO87">
        <v>0</v>
      </c>
      <c r="DP87">
        <v>1</v>
      </c>
      <c r="DQ87">
        <v>1</v>
      </c>
      <c r="DU87">
        <v>1003</v>
      </c>
      <c r="DV87" t="s">
        <v>110</v>
      </c>
      <c r="DW87" t="s">
        <v>110</v>
      </c>
      <c r="DX87">
        <v>100</v>
      </c>
      <c r="DZ87" t="s">
        <v>3</v>
      </c>
      <c r="EA87" t="s">
        <v>3</v>
      </c>
      <c r="EB87" t="s">
        <v>3</v>
      </c>
      <c r="EC87" t="s">
        <v>3</v>
      </c>
      <c r="EE87">
        <v>75858748</v>
      </c>
      <c r="EF87">
        <v>1</v>
      </c>
      <c r="EG87" t="s">
        <v>19</v>
      </c>
      <c r="EH87">
        <v>0</v>
      </c>
      <c r="EI87" t="s">
        <v>3</v>
      </c>
      <c r="EJ87">
        <v>4</v>
      </c>
      <c r="EK87">
        <v>0</v>
      </c>
      <c r="EL87" t="s">
        <v>20</v>
      </c>
      <c r="EM87" t="s">
        <v>21</v>
      </c>
      <c r="EO87" t="s">
        <v>3</v>
      </c>
      <c r="EQ87">
        <v>0</v>
      </c>
      <c r="ER87">
        <v>3609.9</v>
      </c>
      <c r="ES87">
        <v>0</v>
      </c>
      <c r="ET87">
        <v>0</v>
      </c>
      <c r="EU87">
        <v>0</v>
      </c>
      <c r="EV87">
        <v>3609.9</v>
      </c>
      <c r="EW87">
        <v>5.92</v>
      </c>
      <c r="EX87">
        <v>0</v>
      </c>
      <c r="EY87">
        <v>0</v>
      </c>
      <c r="FQ87">
        <v>0</v>
      </c>
      <c r="FR87">
        <v>0</v>
      </c>
      <c r="FS87">
        <v>0</v>
      </c>
      <c r="FX87">
        <v>70</v>
      </c>
      <c r="FY87">
        <v>10</v>
      </c>
      <c r="GA87" t="s">
        <v>3</v>
      </c>
      <c r="GD87">
        <v>0</v>
      </c>
      <c r="GF87">
        <v>47648628</v>
      </c>
      <c r="GG87">
        <v>2</v>
      </c>
      <c r="GH87">
        <v>1</v>
      </c>
      <c r="GI87">
        <v>-2</v>
      </c>
      <c r="GJ87">
        <v>0</v>
      </c>
      <c r="GK87">
        <f>ROUND(R87*(R12)/100,2)</f>
        <v>0</v>
      </c>
      <c r="GL87">
        <f t="shared" si="68"/>
        <v>0</v>
      </c>
      <c r="GM87">
        <f t="shared" si="69"/>
        <v>1299.57</v>
      </c>
      <c r="GN87">
        <f t="shared" si="70"/>
        <v>0</v>
      </c>
      <c r="GO87">
        <f t="shared" si="71"/>
        <v>0</v>
      </c>
      <c r="GP87">
        <f t="shared" si="72"/>
        <v>1299.57</v>
      </c>
      <c r="GR87">
        <v>0</v>
      </c>
      <c r="GS87">
        <v>3</v>
      </c>
      <c r="GT87">
        <v>0</v>
      </c>
      <c r="GU87" t="s">
        <v>3</v>
      </c>
      <c r="GV87">
        <f t="shared" si="73"/>
        <v>0</v>
      </c>
      <c r="GW87">
        <v>1</v>
      </c>
      <c r="GX87">
        <f t="shared" si="74"/>
        <v>0</v>
      </c>
      <c r="HA87">
        <v>0</v>
      </c>
      <c r="HB87">
        <v>0</v>
      </c>
      <c r="HC87">
        <f t="shared" si="75"/>
        <v>0</v>
      </c>
      <c r="HE87" t="s">
        <v>3</v>
      </c>
      <c r="HF87" t="s">
        <v>3</v>
      </c>
      <c r="HM87" t="s">
        <v>3</v>
      </c>
      <c r="HN87" t="s">
        <v>3</v>
      </c>
      <c r="HO87" t="s">
        <v>3</v>
      </c>
      <c r="HP87" t="s">
        <v>3</v>
      </c>
      <c r="HQ87" t="s">
        <v>3</v>
      </c>
      <c r="HS87">
        <v>0</v>
      </c>
      <c r="IK87">
        <v>0</v>
      </c>
    </row>
    <row r="88" spans="1:245" x14ac:dyDescent="0.2">
      <c r="A88">
        <v>17</v>
      </c>
      <c r="B88">
        <v>1</v>
      </c>
      <c r="C88">
        <f>ROW(SmtRes!A59)</f>
        <v>59</v>
      </c>
      <c r="D88">
        <f>ROW(EtalonRes!A50)</f>
        <v>50</v>
      </c>
      <c r="E88" t="s">
        <v>163</v>
      </c>
      <c r="F88" t="s">
        <v>164</v>
      </c>
      <c r="G88" t="s">
        <v>165</v>
      </c>
      <c r="H88" t="s">
        <v>110</v>
      </c>
      <c r="I88">
        <f>ROUND(20/100,9)</f>
        <v>0.2</v>
      </c>
      <c r="J88">
        <v>0</v>
      </c>
      <c r="K88">
        <f>ROUND(20/100,9)</f>
        <v>0.2</v>
      </c>
      <c r="O88">
        <f t="shared" si="37"/>
        <v>867.11</v>
      </c>
      <c r="P88">
        <f t="shared" si="38"/>
        <v>0</v>
      </c>
      <c r="Q88">
        <f t="shared" si="39"/>
        <v>0</v>
      </c>
      <c r="R88">
        <f t="shared" si="40"/>
        <v>0</v>
      </c>
      <c r="S88">
        <f t="shared" si="41"/>
        <v>867.11</v>
      </c>
      <c r="T88">
        <f t="shared" si="42"/>
        <v>0</v>
      </c>
      <c r="U88">
        <f t="shared" si="43"/>
        <v>1.4220000000000002</v>
      </c>
      <c r="V88">
        <f t="shared" si="44"/>
        <v>0</v>
      </c>
      <c r="W88">
        <f t="shared" si="45"/>
        <v>0</v>
      </c>
      <c r="X88">
        <f t="shared" si="46"/>
        <v>606.98</v>
      </c>
      <c r="Y88">
        <f t="shared" si="47"/>
        <v>86.71</v>
      </c>
      <c r="AA88">
        <v>76395835</v>
      </c>
      <c r="AB88">
        <f t="shared" si="48"/>
        <v>4335.54</v>
      </c>
      <c r="AC88">
        <f t="shared" si="49"/>
        <v>0</v>
      </c>
      <c r="AD88">
        <f t="shared" si="50"/>
        <v>0</v>
      </c>
      <c r="AE88">
        <f t="shared" si="51"/>
        <v>0</v>
      </c>
      <c r="AF88">
        <f t="shared" si="52"/>
        <v>4335.54</v>
      </c>
      <c r="AG88">
        <f t="shared" si="53"/>
        <v>0</v>
      </c>
      <c r="AH88">
        <f t="shared" si="54"/>
        <v>7.11</v>
      </c>
      <c r="AI88">
        <f t="shared" si="55"/>
        <v>0</v>
      </c>
      <c r="AJ88">
        <f t="shared" si="56"/>
        <v>0</v>
      </c>
      <c r="AK88">
        <v>4335.54</v>
      </c>
      <c r="AL88">
        <v>0</v>
      </c>
      <c r="AM88">
        <v>0</v>
      </c>
      <c r="AN88">
        <v>0</v>
      </c>
      <c r="AO88">
        <v>4335.54</v>
      </c>
      <c r="AP88">
        <v>0</v>
      </c>
      <c r="AQ88">
        <v>7.11</v>
      </c>
      <c r="AR88">
        <v>0</v>
      </c>
      <c r="AS88">
        <v>0</v>
      </c>
      <c r="AT88">
        <v>70</v>
      </c>
      <c r="AU88">
        <v>10</v>
      </c>
      <c r="AV88">
        <v>1</v>
      </c>
      <c r="AW88">
        <v>1</v>
      </c>
      <c r="AZ88">
        <v>1</v>
      </c>
      <c r="BA88">
        <v>1</v>
      </c>
      <c r="BB88">
        <v>1</v>
      </c>
      <c r="BC88">
        <v>1</v>
      </c>
      <c r="BD88" t="s">
        <v>3</v>
      </c>
      <c r="BE88" t="s">
        <v>3</v>
      </c>
      <c r="BF88" t="s">
        <v>3</v>
      </c>
      <c r="BG88" t="s">
        <v>3</v>
      </c>
      <c r="BH88">
        <v>0</v>
      </c>
      <c r="BI88">
        <v>4</v>
      </c>
      <c r="BJ88" t="s">
        <v>166</v>
      </c>
      <c r="BM88">
        <v>0</v>
      </c>
      <c r="BN88">
        <v>0</v>
      </c>
      <c r="BO88" t="s">
        <v>3</v>
      </c>
      <c r="BP88">
        <v>0</v>
      </c>
      <c r="BQ88">
        <v>1</v>
      </c>
      <c r="BR88">
        <v>0</v>
      </c>
      <c r="BS88">
        <v>1</v>
      </c>
      <c r="BT88">
        <v>1</v>
      </c>
      <c r="BU88">
        <v>1</v>
      </c>
      <c r="BV88">
        <v>1</v>
      </c>
      <c r="BW88">
        <v>1</v>
      </c>
      <c r="BX88">
        <v>1</v>
      </c>
      <c r="BY88" t="s">
        <v>3</v>
      </c>
      <c r="BZ88">
        <v>70</v>
      </c>
      <c r="CA88">
        <v>10</v>
      </c>
      <c r="CB88" t="s">
        <v>3</v>
      </c>
      <c r="CE88">
        <v>0</v>
      </c>
      <c r="CF88">
        <v>0</v>
      </c>
      <c r="CG88">
        <v>0</v>
      </c>
      <c r="CM88">
        <v>0</v>
      </c>
      <c r="CN88" t="s">
        <v>3</v>
      </c>
      <c r="CO88">
        <v>0</v>
      </c>
      <c r="CP88">
        <f t="shared" si="57"/>
        <v>867.11</v>
      </c>
      <c r="CQ88">
        <f t="shared" si="58"/>
        <v>0</v>
      </c>
      <c r="CR88">
        <f t="shared" si="59"/>
        <v>0</v>
      </c>
      <c r="CS88">
        <f t="shared" si="60"/>
        <v>0</v>
      </c>
      <c r="CT88">
        <f t="shared" si="61"/>
        <v>4335.54</v>
      </c>
      <c r="CU88">
        <f t="shared" si="62"/>
        <v>0</v>
      </c>
      <c r="CV88">
        <f t="shared" si="63"/>
        <v>7.11</v>
      </c>
      <c r="CW88">
        <f t="shared" si="64"/>
        <v>0</v>
      </c>
      <c r="CX88">
        <f t="shared" si="65"/>
        <v>0</v>
      </c>
      <c r="CY88">
        <f t="shared" si="66"/>
        <v>606.97700000000009</v>
      </c>
      <c r="CZ88">
        <f t="shared" si="67"/>
        <v>86.710999999999999</v>
      </c>
      <c r="DC88" t="s">
        <v>3</v>
      </c>
      <c r="DD88" t="s">
        <v>3</v>
      </c>
      <c r="DE88" t="s">
        <v>3</v>
      </c>
      <c r="DF88" t="s">
        <v>3</v>
      </c>
      <c r="DG88" t="s">
        <v>3</v>
      </c>
      <c r="DH88" t="s">
        <v>3</v>
      </c>
      <c r="DI88" t="s">
        <v>3</v>
      </c>
      <c r="DJ88" t="s">
        <v>3</v>
      </c>
      <c r="DK88" t="s">
        <v>3</v>
      </c>
      <c r="DL88" t="s">
        <v>3</v>
      </c>
      <c r="DM88" t="s">
        <v>3</v>
      </c>
      <c r="DN88">
        <v>0</v>
      </c>
      <c r="DO88">
        <v>0</v>
      </c>
      <c r="DP88">
        <v>1</v>
      </c>
      <c r="DQ88">
        <v>1</v>
      </c>
      <c r="DU88">
        <v>1003</v>
      </c>
      <c r="DV88" t="s">
        <v>110</v>
      </c>
      <c r="DW88" t="s">
        <v>110</v>
      </c>
      <c r="DX88">
        <v>100</v>
      </c>
      <c r="DZ88" t="s">
        <v>3</v>
      </c>
      <c r="EA88" t="s">
        <v>3</v>
      </c>
      <c r="EB88" t="s">
        <v>3</v>
      </c>
      <c r="EC88" t="s">
        <v>3</v>
      </c>
      <c r="EE88">
        <v>75858748</v>
      </c>
      <c r="EF88">
        <v>1</v>
      </c>
      <c r="EG88" t="s">
        <v>19</v>
      </c>
      <c r="EH88">
        <v>0</v>
      </c>
      <c r="EI88" t="s">
        <v>3</v>
      </c>
      <c r="EJ88">
        <v>4</v>
      </c>
      <c r="EK88">
        <v>0</v>
      </c>
      <c r="EL88" t="s">
        <v>20</v>
      </c>
      <c r="EM88" t="s">
        <v>21</v>
      </c>
      <c r="EO88" t="s">
        <v>3</v>
      </c>
      <c r="EQ88">
        <v>0</v>
      </c>
      <c r="ER88">
        <v>4335.54</v>
      </c>
      <c r="ES88">
        <v>0</v>
      </c>
      <c r="ET88">
        <v>0</v>
      </c>
      <c r="EU88">
        <v>0</v>
      </c>
      <c r="EV88">
        <v>4335.54</v>
      </c>
      <c r="EW88">
        <v>7.11</v>
      </c>
      <c r="EX88">
        <v>0</v>
      </c>
      <c r="EY88">
        <v>0</v>
      </c>
      <c r="FQ88">
        <v>0</v>
      </c>
      <c r="FR88">
        <v>0</v>
      </c>
      <c r="FS88">
        <v>0</v>
      </c>
      <c r="FX88">
        <v>70</v>
      </c>
      <c r="FY88">
        <v>10</v>
      </c>
      <c r="GA88" t="s">
        <v>3</v>
      </c>
      <c r="GD88">
        <v>0</v>
      </c>
      <c r="GF88">
        <v>2000046259</v>
      </c>
      <c r="GG88">
        <v>2</v>
      </c>
      <c r="GH88">
        <v>1</v>
      </c>
      <c r="GI88">
        <v>-2</v>
      </c>
      <c r="GJ88">
        <v>0</v>
      </c>
      <c r="GK88">
        <f>ROUND(R88*(R12)/100,2)</f>
        <v>0</v>
      </c>
      <c r="GL88">
        <f t="shared" si="68"/>
        <v>0</v>
      </c>
      <c r="GM88">
        <f t="shared" si="69"/>
        <v>1560.8</v>
      </c>
      <c r="GN88">
        <f t="shared" si="70"/>
        <v>0</v>
      </c>
      <c r="GO88">
        <f t="shared" si="71"/>
        <v>0</v>
      </c>
      <c r="GP88">
        <f t="shared" si="72"/>
        <v>1560.8</v>
      </c>
      <c r="GR88">
        <v>0</v>
      </c>
      <c r="GS88">
        <v>3</v>
      </c>
      <c r="GT88">
        <v>0</v>
      </c>
      <c r="GU88" t="s">
        <v>3</v>
      </c>
      <c r="GV88">
        <f t="shared" si="73"/>
        <v>0</v>
      </c>
      <c r="GW88">
        <v>1</v>
      </c>
      <c r="GX88">
        <f t="shared" si="74"/>
        <v>0</v>
      </c>
      <c r="HA88">
        <v>0</v>
      </c>
      <c r="HB88">
        <v>0</v>
      </c>
      <c r="HC88">
        <f t="shared" si="75"/>
        <v>0</v>
      </c>
      <c r="HE88" t="s">
        <v>3</v>
      </c>
      <c r="HF88" t="s">
        <v>3</v>
      </c>
      <c r="HM88" t="s">
        <v>3</v>
      </c>
      <c r="HN88" t="s">
        <v>3</v>
      </c>
      <c r="HO88" t="s">
        <v>3</v>
      </c>
      <c r="HP88" t="s">
        <v>3</v>
      </c>
      <c r="HQ88" t="s">
        <v>3</v>
      </c>
      <c r="HS88">
        <v>0</v>
      </c>
      <c r="IK88">
        <v>0</v>
      </c>
    </row>
    <row r="89" spans="1:245" x14ac:dyDescent="0.2">
      <c r="A89">
        <v>17</v>
      </c>
      <c r="B89">
        <v>1</v>
      </c>
      <c r="C89">
        <f>ROW(SmtRes!A61)</f>
        <v>61</v>
      </c>
      <c r="D89">
        <f>ROW(EtalonRes!A52)</f>
        <v>52</v>
      </c>
      <c r="E89" t="s">
        <v>167</v>
      </c>
      <c r="F89" t="s">
        <v>168</v>
      </c>
      <c r="G89" t="s">
        <v>169</v>
      </c>
      <c r="H89" t="s">
        <v>170</v>
      </c>
      <c r="I89">
        <v>1</v>
      </c>
      <c r="J89">
        <v>0</v>
      </c>
      <c r="K89">
        <v>1</v>
      </c>
      <c r="O89">
        <f t="shared" si="37"/>
        <v>215732.93</v>
      </c>
      <c r="P89">
        <f t="shared" si="38"/>
        <v>0</v>
      </c>
      <c r="Q89">
        <f t="shared" si="39"/>
        <v>47744.52</v>
      </c>
      <c r="R89">
        <f t="shared" si="40"/>
        <v>23630</v>
      </c>
      <c r="S89">
        <f t="shared" si="41"/>
        <v>167988.41</v>
      </c>
      <c r="T89">
        <f t="shared" si="42"/>
        <v>0</v>
      </c>
      <c r="U89">
        <f t="shared" si="43"/>
        <v>173.2</v>
      </c>
      <c r="V89">
        <f t="shared" si="44"/>
        <v>0</v>
      </c>
      <c r="W89">
        <f t="shared" si="45"/>
        <v>0</v>
      </c>
      <c r="X89">
        <f t="shared" si="46"/>
        <v>117591.89</v>
      </c>
      <c r="Y89">
        <f t="shared" si="47"/>
        <v>16798.84</v>
      </c>
      <c r="AA89">
        <v>76395835</v>
      </c>
      <c r="AB89">
        <f t="shared" si="48"/>
        <v>215732.93</v>
      </c>
      <c r="AC89">
        <f t="shared" si="49"/>
        <v>0</v>
      </c>
      <c r="AD89">
        <f t="shared" si="50"/>
        <v>47744.52</v>
      </c>
      <c r="AE89">
        <f t="shared" si="51"/>
        <v>23630</v>
      </c>
      <c r="AF89">
        <f t="shared" si="52"/>
        <v>167988.41</v>
      </c>
      <c r="AG89">
        <f t="shared" si="53"/>
        <v>0</v>
      </c>
      <c r="AH89">
        <f t="shared" si="54"/>
        <v>173.2</v>
      </c>
      <c r="AI89">
        <f t="shared" si="55"/>
        <v>0</v>
      </c>
      <c r="AJ89">
        <f t="shared" si="56"/>
        <v>0</v>
      </c>
      <c r="AK89">
        <v>215732.93</v>
      </c>
      <c r="AL89">
        <v>0</v>
      </c>
      <c r="AM89">
        <v>47744.52</v>
      </c>
      <c r="AN89">
        <v>23630</v>
      </c>
      <c r="AO89">
        <v>167988.41</v>
      </c>
      <c r="AP89">
        <v>0</v>
      </c>
      <c r="AQ89">
        <v>173.2</v>
      </c>
      <c r="AR89">
        <v>0</v>
      </c>
      <c r="AS89">
        <v>0</v>
      </c>
      <c r="AT89">
        <v>70</v>
      </c>
      <c r="AU89">
        <v>10</v>
      </c>
      <c r="AV89">
        <v>1</v>
      </c>
      <c r="AW89">
        <v>1</v>
      </c>
      <c r="AZ89">
        <v>1</v>
      </c>
      <c r="BA89">
        <v>1</v>
      </c>
      <c r="BB89">
        <v>1</v>
      </c>
      <c r="BC89">
        <v>1</v>
      </c>
      <c r="BD89" t="s">
        <v>3</v>
      </c>
      <c r="BE89" t="s">
        <v>3</v>
      </c>
      <c r="BF89" t="s">
        <v>3</v>
      </c>
      <c r="BG89" t="s">
        <v>3</v>
      </c>
      <c r="BH89">
        <v>0</v>
      </c>
      <c r="BI89">
        <v>4</v>
      </c>
      <c r="BJ89" t="s">
        <v>171</v>
      </c>
      <c r="BM89">
        <v>0</v>
      </c>
      <c r="BN89">
        <v>0</v>
      </c>
      <c r="BO89" t="s">
        <v>3</v>
      </c>
      <c r="BP89">
        <v>0</v>
      </c>
      <c r="BQ89">
        <v>1</v>
      </c>
      <c r="BR89">
        <v>0</v>
      </c>
      <c r="BS89">
        <v>1</v>
      </c>
      <c r="BT89">
        <v>1</v>
      </c>
      <c r="BU89">
        <v>1</v>
      </c>
      <c r="BV89">
        <v>1</v>
      </c>
      <c r="BW89">
        <v>1</v>
      </c>
      <c r="BX89">
        <v>1</v>
      </c>
      <c r="BY89" t="s">
        <v>3</v>
      </c>
      <c r="BZ89">
        <v>70</v>
      </c>
      <c r="CA89">
        <v>10</v>
      </c>
      <c r="CB89" t="s">
        <v>3</v>
      </c>
      <c r="CE89">
        <v>0</v>
      </c>
      <c r="CF89">
        <v>0</v>
      </c>
      <c r="CG89">
        <v>0</v>
      </c>
      <c r="CM89">
        <v>0</v>
      </c>
      <c r="CN89" t="s">
        <v>3</v>
      </c>
      <c r="CO89">
        <v>0</v>
      </c>
      <c r="CP89">
        <f t="shared" si="57"/>
        <v>215732.93</v>
      </c>
      <c r="CQ89">
        <f t="shared" si="58"/>
        <v>0</v>
      </c>
      <c r="CR89">
        <f t="shared" si="59"/>
        <v>47744.52</v>
      </c>
      <c r="CS89">
        <f t="shared" si="60"/>
        <v>23630</v>
      </c>
      <c r="CT89">
        <f t="shared" si="61"/>
        <v>167988.41</v>
      </c>
      <c r="CU89">
        <f t="shared" si="62"/>
        <v>0</v>
      </c>
      <c r="CV89">
        <f t="shared" si="63"/>
        <v>173.2</v>
      </c>
      <c r="CW89">
        <f t="shared" si="64"/>
        <v>0</v>
      </c>
      <c r="CX89">
        <f t="shared" si="65"/>
        <v>0</v>
      </c>
      <c r="CY89">
        <f t="shared" si="66"/>
        <v>117591.88700000002</v>
      </c>
      <c r="CZ89">
        <f t="shared" si="67"/>
        <v>16798.841</v>
      </c>
      <c r="DC89" t="s">
        <v>3</v>
      </c>
      <c r="DD89" t="s">
        <v>3</v>
      </c>
      <c r="DE89" t="s">
        <v>3</v>
      </c>
      <c r="DF89" t="s">
        <v>3</v>
      </c>
      <c r="DG89" t="s">
        <v>3</v>
      </c>
      <c r="DH89" t="s">
        <v>3</v>
      </c>
      <c r="DI89" t="s">
        <v>3</v>
      </c>
      <c r="DJ89" t="s">
        <v>3</v>
      </c>
      <c r="DK89" t="s">
        <v>3</v>
      </c>
      <c r="DL89" t="s">
        <v>3</v>
      </c>
      <c r="DM89" t="s">
        <v>3</v>
      </c>
      <c r="DN89">
        <v>0</v>
      </c>
      <c r="DO89">
        <v>0</v>
      </c>
      <c r="DP89">
        <v>1</v>
      </c>
      <c r="DQ89">
        <v>1</v>
      </c>
      <c r="DU89">
        <v>1013</v>
      </c>
      <c r="DV89" t="s">
        <v>170</v>
      </c>
      <c r="DW89" t="s">
        <v>170</v>
      </c>
      <c r="DX89">
        <v>1</v>
      </c>
      <c r="DZ89" t="s">
        <v>3</v>
      </c>
      <c r="EA89" t="s">
        <v>3</v>
      </c>
      <c r="EB89" t="s">
        <v>3</v>
      </c>
      <c r="EC89" t="s">
        <v>3</v>
      </c>
      <c r="EE89">
        <v>75858748</v>
      </c>
      <c r="EF89">
        <v>1</v>
      </c>
      <c r="EG89" t="s">
        <v>19</v>
      </c>
      <c r="EH89">
        <v>0</v>
      </c>
      <c r="EI89" t="s">
        <v>3</v>
      </c>
      <c r="EJ89">
        <v>4</v>
      </c>
      <c r="EK89">
        <v>0</v>
      </c>
      <c r="EL89" t="s">
        <v>20</v>
      </c>
      <c r="EM89" t="s">
        <v>21</v>
      </c>
      <c r="EO89" t="s">
        <v>3</v>
      </c>
      <c r="EQ89">
        <v>0</v>
      </c>
      <c r="ER89">
        <v>215732.93</v>
      </c>
      <c r="ES89">
        <v>0</v>
      </c>
      <c r="ET89">
        <v>47744.52</v>
      </c>
      <c r="EU89">
        <v>23630</v>
      </c>
      <c r="EV89">
        <v>167988.41</v>
      </c>
      <c r="EW89">
        <v>173.2</v>
      </c>
      <c r="EX89">
        <v>0</v>
      </c>
      <c r="EY89">
        <v>0</v>
      </c>
      <c r="FQ89">
        <v>0</v>
      </c>
      <c r="FR89">
        <v>0</v>
      </c>
      <c r="FS89">
        <v>0</v>
      </c>
      <c r="FX89">
        <v>70</v>
      </c>
      <c r="FY89">
        <v>10</v>
      </c>
      <c r="GA89" t="s">
        <v>3</v>
      </c>
      <c r="GD89">
        <v>0</v>
      </c>
      <c r="GF89">
        <v>-1884391210</v>
      </c>
      <c r="GG89">
        <v>2</v>
      </c>
      <c r="GH89">
        <v>1</v>
      </c>
      <c r="GI89">
        <v>-2</v>
      </c>
      <c r="GJ89">
        <v>0</v>
      </c>
      <c r="GK89">
        <f>ROUND(R89*(R12)/100,2)</f>
        <v>25520.400000000001</v>
      </c>
      <c r="GL89">
        <f t="shared" si="68"/>
        <v>0</v>
      </c>
      <c r="GM89">
        <f t="shared" si="69"/>
        <v>375644.06</v>
      </c>
      <c r="GN89">
        <f t="shared" si="70"/>
        <v>0</v>
      </c>
      <c r="GO89">
        <f t="shared" si="71"/>
        <v>0</v>
      </c>
      <c r="GP89">
        <f t="shared" si="72"/>
        <v>375644.06</v>
      </c>
      <c r="GR89">
        <v>0</v>
      </c>
      <c r="GS89">
        <v>3</v>
      </c>
      <c r="GT89">
        <v>0</v>
      </c>
      <c r="GU89" t="s">
        <v>3</v>
      </c>
      <c r="GV89">
        <f t="shared" si="73"/>
        <v>0</v>
      </c>
      <c r="GW89">
        <v>1</v>
      </c>
      <c r="GX89">
        <f t="shared" si="74"/>
        <v>0</v>
      </c>
      <c r="HA89">
        <v>0</v>
      </c>
      <c r="HB89">
        <v>0</v>
      </c>
      <c r="HC89">
        <f t="shared" si="75"/>
        <v>0</v>
      </c>
      <c r="HE89" t="s">
        <v>3</v>
      </c>
      <c r="HF89" t="s">
        <v>3</v>
      </c>
      <c r="HM89" t="s">
        <v>3</v>
      </c>
      <c r="HN89" t="s">
        <v>3</v>
      </c>
      <c r="HO89" t="s">
        <v>3</v>
      </c>
      <c r="HP89" t="s">
        <v>3</v>
      </c>
      <c r="HQ89" t="s">
        <v>3</v>
      </c>
      <c r="HS89">
        <v>0</v>
      </c>
      <c r="IK89">
        <v>0</v>
      </c>
    </row>
    <row r="90" spans="1:245" x14ac:dyDescent="0.2">
      <c r="A90">
        <v>17</v>
      </c>
      <c r="B90">
        <v>1</v>
      </c>
      <c r="C90">
        <f>ROW(SmtRes!A62)</f>
        <v>62</v>
      </c>
      <c r="D90">
        <f>ROW(EtalonRes!A53)</f>
        <v>53</v>
      </c>
      <c r="E90" t="s">
        <v>172</v>
      </c>
      <c r="F90" t="s">
        <v>173</v>
      </c>
      <c r="G90" t="s">
        <v>174</v>
      </c>
      <c r="H90" t="s">
        <v>18</v>
      </c>
      <c r="I90">
        <v>4</v>
      </c>
      <c r="J90">
        <v>0</v>
      </c>
      <c r="K90">
        <v>4</v>
      </c>
      <c r="O90">
        <f t="shared" si="37"/>
        <v>99939.520000000004</v>
      </c>
      <c r="P90">
        <f t="shared" si="38"/>
        <v>0</v>
      </c>
      <c r="Q90">
        <f t="shared" si="39"/>
        <v>0</v>
      </c>
      <c r="R90">
        <f t="shared" si="40"/>
        <v>0</v>
      </c>
      <c r="S90">
        <f t="shared" si="41"/>
        <v>99939.520000000004</v>
      </c>
      <c r="T90">
        <f t="shared" si="42"/>
        <v>0</v>
      </c>
      <c r="U90">
        <f t="shared" si="43"/>
        <v>103.04</v>
      </c>
      <c r="V90">
        <f t="shared" si="44"/>
        <v>0</v>
      </c>
      <c r="W90">
        <f t="shared" si="45"/>
        <v>0</v>
      </c>
      <c r="X90">
        <f t="shared" si="46"/>
        <v>69957.66</v>
      </c>
      <c r="Y90">
        <f t="shared" si="47"/>
        <v>9993.9500000000007</v>
      </c>
      <c r="AA90">
        <v>76395835</v>
      </c>
      <c r="AB90">
        <f t="shared" si="48"/>
        <v>24984.880000000001</v>
      </c>
      <c r="AC90">
        <f t="shared" si="49"/>
        <v>0</v>
      </c>
      <c r="AD90">
        <f t="shared" si="50"/>
        <v>0</v>
      </c>
      <c r="AE90">
        <f t="shared" si="51"/>
        <v>0</v>
      </c>
      <c r="AF90">
        <f t="shared" si="52"/>
        <v>24984.880000000001</v>
      </c>
      <c r="AG90">
        <f t="shared" si="53"/>
        <v>0</v>
      </c>
      <c r="AH90">
        <f t="shared" si="54"/>
        <v>25.76</v>
      </c>
      <c r="AI90">
        <f t="shared" si="55"/>
        <v>0</v>
      </c>
      <c r="AJ90">
        <f t="shared" si="56"/>
        <v>0</v>
      </c>
      <c r="AK90">
        <v>24984.880000000001</v>
      </c>
      <c r="AL90">
        <v>0</v>
      </c>
      <c r="AM90">
        <v>0</v>
      </c>
      <c r="AN90">
        <v>0</v>
      </c>
      <c r="AO90">
        <v>24984.880000000001</v>
      </c>
      <c r="AP90">
        <v>0</v>
      </c>
      <c r="AQ90">
        <v>25.76</v>
      </c>
      <c r="AR90">
        <v>0</v>
      </c>
      <c r="AS90">
        <v>0</v>
      </c>
      <c r="AT90">
        <v>70</v>
      </c>
      <c r="AU90">
        <v>10</v>
      </c>
      <c r="AV90">
        <v>1</v>
      </c>
      <c r="AW90">
        <v>1</v>
      </c>
      <c r="AZ90">
        <v>1</v>
      </c>
      <c r="BA90">
        <v>1</v>
      </c>
      <c r="BB90">
        <v>1</v>
      </c>
      <c r="BC90">
        <v>1</v>
      </c>
      <c r="BD90" t="s">
        <v>3</v>
      </c>
      <c r="BE90" t="s">
        <v>3</v>
      </c>
      <c r="BF90" t="s">
        <v>3</v>
      </c>
      <c r="BG90" t="s">
        <v>3</v>
      </c>
      <c r="BH90">
        <v>0</v>
      </c>
      <c r="BI90">
        <v>4</v>
      </c>
      <c r="BJ90" t="s">
        <v>175</v>
      </c>
      <c r="BM90">
        <v>0</v>
      </c>
      <c r="BN90">
        <v>0</v>
      </c>
      <c r="BO90" t="s">
        <v>3</v>
      </c>
      <c r="BP90">
        <v>0</v>
      </c>
      <c r="BQ90">
        <v>1</v>
      </c>
      <c r="BR90">
        <v>0</v>
      </c>
      <c r="BS90">
        <v>1</v>
      </c>
      <c r="BT90">
        <v>1</v>
      </c>
      <c r="BU90">
        <v>1</v>
      </c>
      <c r="BV90">
        <v>1</v>
      </c>
      <c r="BW90">
        <v>1</v>
      </c>
      <c r="BX90">
        <v>1</v>
      </c>
      <c r="BY90" t="s">
        <v>3</v>
      </c>
      <c r="BZ90">
        <v>70</v>
      </c>
      <c r="CA90">
        <v>10</v>
      </c>
      <c r="CB90" t="s">
        <v>3</v>
      </c>
      <c r="CE90">
        <v>0</v>
      </c>
      <c r="CF90">
        <v>0</v>
      </c>
      <c r="CG90">
        <v>0</v>
      </c>
      <c r="CM90">
        <v>0</v>
      </c>
      <c r="CN90" t="s">
        <v>3</v>
      </c>
      <c r="CO90">
        <v>0</v>
      </c>
      <c r="CP90">
        <f t="shared" si="57"/>
        <v>99939.520000000004</v>
      </c>
      <c r="CQ90">
        <f t="shared" si="58"/>
        <v>0</v>
      </c>
      <c r="CR90">
        <f t="shared" si="59"/>
        <v>0</v>
      </c>
      <c r="CS90">
        <f t="shared" si="60"/>
        <v>0</v>
      </c>
      <c r="CT90">
        <f t="shared" si="61"/>
        <v>24984.880000000001</v>
      </c>
      <c r="CU90">
        <f t="shared" si="62"/>
        <v>0</v>
      </c>
      <c r="CV90">
        <f t="shared" si="63"/>
        <v>25.76</v>
      </c>
      <c r="CW90">
        <f t="shared" si="64"/>
        <v>0</v>
      </c>
      <c r="CX90">
        <f t="shared" si="65"/>
        <v>0</v>
      </c>
      <c r="CY90">
        <f t="shared" si="66"/>
        <v>69957.664000000004</v>
      </c>
      <c r="CZ90">
        <f t="shared" si="67"/>
        <v>9993.9520000000011</v>
      </c>
      <c r="DC90" t="s">
        <v>3</v>
      </c>
      <c r="DD90" t="s">
        <v>3</v>
      </c>
      <c r="DE90" t="s">
        <v>3</v>
      </c>
      <c r="DF90" t="s">
        <v>3</v>
      </c>
      <c r="DG90" t="s">
        <v>3</v>
      </c>
      <c r="DH90" t="s">
        <v>3</v>
      </c>
      <c r="DI90" t="s">
        <v>3</v>
      </c>
      <c r="DJ90" t="s">
        <v>3</v>
      </c>
      <c r="DK90" t="s">
        <v>3</v>
      </c>
      <c r="DL90" t="s">
        <v>3</v>
      </c>
      <c r="DM90" t="s">
        <v>3</v>
      </c>
      <c r="DN90">
        <v>0</v>
      </c>
      <c r="DO90">
        <v>0</v>
      </c>
      <c r="DP90">
        <v>1</v>
      </c>
      <c r="DQ90">
        <v>1</v>
      </c>
      <c r="DU90">
        <v>1010</v>
      </c>
      <c r="DV90" t="s">
        <v>18</v>
      </c>
      <c r="DW90" t="s">
        <v>18</v>
      </c>
      <c r="DX90">
        <v>1</v>
      </c>
      <c r="DZ90" t="s">
        <v>3</v>
      </c>
      <c r="EA90" t="s">
        <v>3</v>
      </c>
      <c r="EB90" t="s">
        <v>3</v>
      </c>
      <c r="EC90" t="s">
        <v>3</v>
      </c>
      <c r="EE90">
        <v>75858748</v>
      </c>
      <c r="EF90">
        <v>1</v>
      </c>
      <c r="EG90" t="s">
        <v>19</v>
      </c>
      <c r="EH90">
        <v>0</v>
      </c>
      <c r="EI90" t="s">
        <v>3</v>
      </c>
      <c r="EJ90">
        <v>4</v>
      </c>
      <c r="EK90">
        <v>0</v>
      </c>
      <c r="EL90" t="s">
        <v>20</v>
      </c>
      <c r="EM90" t="s">
        <v>21</v>
      </c>
      <c r="EO90" t="s">
        <v>3</v>
      </c>
      <c r="EQ90">
        <v>0</v>
      </c>
      <c r="ER90">
        <v>24984.880000000001</v>
      </c>
      <c r="ES90">
        <v>0</v>
      </c>
      <c r="ET90">
        <v>0</v>
      </c>
      <c r="EU90">
        <v>0</v>
      </c>
      <c r="EV90">
        <v>24984.880000000001</v>
      </c>
      <c r="EW90">
        <v>25.76</v>
      </c>
      <c r="EX90">
        <v>0</v>
      </c>
      <c r="EY90">
        <v>0</v>
      </c>
      <c r="FQ90">
        <v>0</v>
      </c>
      <c r="FR90">
        <v>0</v>
      </c>
      <c r="FS90">
        <v>0</v>
      </c>
      <c r="FX90">
        <v>70</v>
      </c>
      <c r="FY90">
        <v>10</v>
      </c>
      <c r="GA90" t="s">
        <v>3</v>
      </c>
      <c r="GD90">
        <v>0</v>
      </c>
      <c r="GF90">
        <v>1489285089</v>
      </c>
      <c r="GG90">
        <v>2</v>
      </c>
      <c r="GH90">
        <v>1</v>
      </c>
      <c r="GI90">
        <v>-2</v>
      </c>
      <c r="GJ90">
        <v>0</v>
      </c>
      <c r="GK90">
        <f>ROUND(R90*(R12)/100,2)</f>
        <v>0</v>
      </c>
      <c r="GL90">
        <f t="shared" si="68"/>
        <v>0</v>
      </c>
      <c r="GM90">
        <f t="shared" si="69"/>
        <v>179891.13</v>
      </c>
      <c r="GN90">
        <f t="shared" si="70"/>
        <v>0</v>
      </c>
      <c r="GO90">
        <f t="shared" si="71"/>
        <v>0</v>
      </c>
      <c r="GP90">
        <f t="shared" si="72"/>
        <v>179891.13</v>
      </c>
      <c r="GR90">
        <v>0</v>
      </c>
      <c r="GS90">
        <v>3</v>
      </c>
      <c r="GT90">
        <v>0</v>
      </c>
      <c r="GU90" t="s">
        <v>3</v>
      </c>
      <c r="GV90">
        <f t="shared" si="73"/>
        <v>0</v>
      </c>
      <c r="GW90">
        <v>1</v>
      </c>
      <c r="GX90">
        <f t="shared" si="74"/>
        <v>0</v>
      </c>
      <c r="HA90">
        <v>0</v>
      </c>
      <c r="HB90">
        <v>0</v>
      </c>
      <c r="HC90">
        <f t="shared" si="75"/>
        <v>0</v>
      </c>
      <c r="HE90" t="s">
        <v>3</v>
      </c>
      <c r="HF90" t="s">
        <v>3</v>
      </c>
      <c r="HM90" t="s">
        <v>3</v>
      </c>
      <c r="HN90" t="s">
        <v>3</v>
      </c>
      <c r="HO90" t="s">
        <v>3</v>
      </c>
      <c r="HP90" t="s">
        <v>3</v>
      </c>
      <c r="HQ90" t="s">
        <v>3</v>
      </c>
      <c r="HS90">
        <v>0</v>
      </c>
      <c r="IK90">
        <v>0</v>
      </c>
    </row>
    <row r="92" spans="1:245" x14ac:dyDescent="0.2">
      <c r="A92" s="2">
        <v>51</v>
      </c>
      <c r="B92" s="2">
        <f>B64</f>
        <v>1</v>
      </c>
      <c r="C92" s="2">
        <f>A64</f>
        <v>5</v>
      </c>
      <c r="D92" s="2">
        <f>ROW(A64)</f>
        <v>64</v>
      </c>
      <c r="E92" s="2"/>
      <c r="F92" s="2" t="str">
        <f>IF(F64&lt;&gt;"",F64,"")</f>
        <v>Новый подраздел</v>
      </c>
      <c r="G92" s="2" t="str">
        <f>IF(G64&lt;&gt;"",G64,"")</f>
        <v>Монтажные работы</v>
      </c>
      <c r="H92" s="2">
        <v>0</v>
      </c>
      <c r="I92" s="2"/>
      <c r="J92" s="2"/>
      <c r="K92" s="2"/>
      <c r="L92" s="2"/>
      <c r="M92" s="2"/>
      <c r="N92" s="2"/>
      <c r="O92" s="2">
        <f t="shared" ref="O92:T92" si="76">ROUND(AB92,2)</f>
        <v>377780.32</v>
      </c>
      <c r="P92" s="2">
        <f t="shared" si="76"/>
        <v>3990.9</v>
      </c>
      <c r="Q92" s="2">
        <f t="shared" si="76"/>
        <v>48620.27</v>
      </c>
      <c r="R92" s="2">
        <f t="shared" si="76"/>
        <v>24049.78</v>
      </c>
      <c r="S92" s="2">
        <f t="shared" si="76"/>
        <v>325169.15000000002</v>
      </c>
      <c r="T92" s="2">
        <f t="shared" si="76"/>
        <v>0</v>
      </c>
      <c r="U92" s="2">
        <f>AH92</f>
        <v>372.70049999999998</v>
      </c>
      <c r="V92" s="2">
        <f>AI92</f>
        <v>0</v>
      </c>
      <c r="W92" s="2">
        <f>ROUND(AJ92,2)</f>
        <v>0</v>
      </c>
      <c r="X92" s="2">
        <f>ROUND(AK92,2)</f>
        <v>227618.41</v>
      </c>
      <c r="Y92" s="2">
        <f>ROUND(AL92,2)</f>
        <v>32516.91</v>
      </c>
      <c r="Z92" s="2"/>
      <c r="AA92" s="2"/>
      <c r="AB92" s="2">
        <f>ROUND(SUMIF(AA68:AA90,"=76395835",O68:O90),2)</f>
        <v>377780.32</v>
      </c>
      <c r="AC92" s="2">
        <f>ROUND(SUMIF(AA68:AA90,"=76395835",P68:P90),2)</f>
        <v>3990.9</v>
      </c>
      <c r="AD92" s="2">
        <f>ROUND(SUMIF(AA68:AA90,"=76395835",Q68:Q90),2)</f>
        <v>48620.27</v>
      </c>
      <c r="AE92" s="2">
        <f>ROUND(SUMIF(AA68:AA90,"=76395835",R68:R90),2)</f>
        <v>24049.78</v>
      </c>
      <c r="AF92" s="2">
        <f>ROUND(SUMIF(AA68:AA90,"=76395835",S68:S90),2)</f>
        <v>325169.15000000002</v>
      </c>
      <c r="AG92" s="2">
        <f>ROUND(SUMIF(AA68:AA90,"=76395835",T68:T90),2)</f>
        <v>0</v>
      </c>
      <c r="AH92" s="2">
        <f>SUMIF(AA68:AA90,"=76395835",U68:U90)</f>
        <v>372.70049999999998</v>
      </c>
      <c r="AI92" s="2">
        <f>SUMIF(AA68:AA90,"=76395835",V68:V90)</f>
        <v>0</v>
      </c>
      <c r="AJ92" s="2">
        <f>ROUND(SUMIF(AA68:AA90,"=76395835",W68:W90),2)</f>
        <v>0</v>
      </c>
      <c r="AK92" s="2">
        <f>ROUND(SUMIF(AA68:AA90,"=76395835",X68:X90),2)</f>
        <v>227618.41</v>
      </c>
      <c r="AL92" s="2">
        <f>ROUND(SUMIF(AA68:AA90,"=76395835",Y68:Y90),2)</f>
        <v>32516.91</v>
      </c>
      <c r="AM92" s="2"/>
      <c r="AN92" s="2"/>
      <c r="AO92" s="2">
        <f t="shared" ref="AO92:BD92" si="77">ROUND(BX92,2)</f>
        <v>0</v>
      </c>
      <c r="AP92" s="2">
        <f t="shared" si="77"/>
        <v>0</v>
      </c>
      <c r="AQ92" s="2">
        <f t="shared" si="77"/>
        <v>0</v>
      </c>
      <c r="AR92" s="2">
        <f t="shared" si="77"/>
        <v>663889.4</v>
      </c>
      <c r="AS92" s="2">
        <f t="shared" si="77"/>
        <v>0</v>
      </c>
      <c r="AT92" s="2">
        <f t="shared" si="77"/>
        <v>0</v>
      </c>
      <c r="AU92" s="2">
        <f t="shared" si="77"/>
        <v>663889.4</v>
      </c>
      <c r="AV92" s="2">
        <f t="shared" si="77"/>
        <v>3990.9</v>
      </c>
      <c r="AW92" s="2">
        <f t="shared" si="77"/>
        <v>3990.9</v>
      </c>
      <c r="AX92" s="2">
        <f t="shared" si="77"/>
        <v>0</v>
      </c>
      <c r="AY92" s="2">
        <f t="shared" si="77"/>
        <v>3990.9</v>
      </c>
      <c r="AZ92" s="2">
        <f t="shared" si="77"/>
        <v>0</v>
      </c>
      <c r="BA92" s="2">
        <f t="shared" si="77"/>
        <v>0</v>
      </c>
      <c r="BB92" s="2">
        <f t="shared" si="77"/>
        <v>0</v>
      </c>
      <c r="BC92" s="2">
        <f t="shared" si="77"/>
        <v>0</v>
      </c>
      <c r="BD92" s="2">
        <f t="shared" si="77"/>
        <v>0</v>
      </c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>
        <f>ROUND(SUMIF(AA68:AA90,"=76395835",FQ68:FQ90),2)</f>
        <v>0</v>
      </c>
      <c r="BY92" s="2">
        <f>ROUND(SUMIF(AA68:AA90,"=76395835",FR68:FR90),2)</f>
        <v>0</v>
      </c>
      <c r="BZ92" s="2">
        <f>ROUND(SUMIF(AA68:AA90,"=76395835",GL68:GL90),2)</f>
        <v>0</v>
      </c>
      <c r="CA92" s="2">
        <f>ROUND(SUMIF(AA68:AA90,"=76395835",GM68:GM90),2)</f>
        <v>663889.4</v>
      </c>
      <c r="CB92" s="2">
        <f>ROUND(SUMIF(AA68:AA90,"=76395835",GN68:GN90),2)</f>
        <v>0</v>
      </c>
      <c r="CC92" s="2">
        <f>ROUND(SUMIF(AA68:AA90,"=76395835",GO68:GO90),2)</f>
        <v>0</v>
      </c>
      <c r="CD92" s="2">
        <f>ROUND(SUMIF(AA68:AA90,"=76395835",GP68:GP90),2)</f>
        <v>663889.4</v>
      </c>
      <c r="CE92" s="2">
        <f>AC92-BX92</f>
        <v>3990.9</v>
      </c>
      <c r="CF92" s="2">
        <f>AC92-BY92</f>
        <v>3990.9</v>
      </c>
      <c r="CG92" s="2">
        <f>BX92-BZ92</f>
        <v>0</v>
      </c>
      <c r="CH92" s="2">
        <f>AC92-BX92-BY92+BZ92</f>
        <v>3990.9</v>
      </c>
      <c r="CI92" s="2">
        <f>BY92-BZ92</f>
        <v>0</v>
      </c>
      <c r="CJ92" s="2">
        <f>ROUND(SUMIF(AA68:AA90,"=76395835",GX68:GX90),2)</f>
        <v>0</v>
      </c>
      <c r="CK92" s="2">
        <f>ROUND(SUMIF(AA68:AA90,"=76395835",GY68:GY90),2)</f>
        <v>0</v>
      </c>
      <c r="CL92" s="2">
        <f>ROUND(SUMIF(AA68:AA90,"=76395835",GZ68:GZ90),2)</f>
        <v>0</v>
      </c>
      <c r="CM92" s="2">
        <f>ROUND(SUMIF(AA68:AA90,"=76395835",HD68:HD90),2)</f>
        <v>0</v>
      </c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3"/>
      <c r="EQ92" s="3"/>
      <c r="ER92" s="3"/>
      <c r="ES92" s="3"/>
      <c r="ET92" s="3"/>
      <c r="EU92" s="3"/>
      <c r="EV92" s="3"/>
      <c r="EW92" s="3"/>
      <c r="EX92" s="3"/>
      <c r="EY92" s="3"/>
      <c r="EZ92" s="3"/>
      <c r="FA92" s="3"/>
      <c r="FB92" s="3"/>
      <c r="FC92" s="3"/>
      <c r="FD92" s="3"/>
      <c r="FE92" s="3"/>
      <c r="FF92" s="3"/>
      <c r="FG92" s="3"/>
      <c r="FH92" s="3"/>
      <c r="FI92" s="3"/>
      <c r="FJ92" s="3"/>
      <c r="FK92" s="3"/>
      <c r="FL92" s="3"/>
      <c r="FM92" s="3"/>
      <c r="FN92" s="3"/>
      <c r="FO92" s="3"/>
      <c r="FP92" s="3"/>
      <c r="FQ92" s="3"/>
      <c r="FR92" s="3"/>
      <c r="FS92" s="3"/>
      <c r="FT92" s="3"/>
      <c r="FU92" s="3"/>
      <c r="FV92" s="3"/>
      <c r="FW92" s="3"/>
      <c r="FX92" s="3"/>
      <c r="FY92" s="3"/>
      <c r="FZ92" s="3"/>
      <c r="GA92" s="3"/>
      <c r="GB92" s="3"/>
      <c r="GC92" s="3"/>
      <c r="GD92" s="3"/>
      <c r="GE92" s="3"/>
      <c r="GF92" s="3"/>
      <c r="GG92" s="3"/>
      <c r="GH92" s="3"/>
      <c r="GI92" s="3"/>
      <c r="GJ92" s="3"/>
      <c r="GK92" s="3"/>
      <c r="GL92" s="3"/>
      <c r="GM92" s="3"/>
      <c r="GN92" s="3"/>
      <c r="GO92" s="3"/>
      <c r="GP92" s="3"/>
      <c r="GQ92" s="3"/>
      <c r="GR92" s="3"/>
      <c r="GS92" s="3"/>
      <c r="GT92" s="3"/>
      <c r="GU92" s="3"/>
      <c r="GV92" s="3"/>
      <c r="GW92" s="3"/>
      <c r="GX92" s="3">
        <v>0</v>
      </c>
    </row>
    <row r="94" spans="1:245" x14ac:dyDescent="0.2">
      <c r="A94" s="4">
        <v>50</v>
      </c>
      <c r="B94" s="4">
        <v>0</v>
      </c>
      <c r="C94" s="4">
        <v>0</v>
      </c>
      <c r="D94" s="4">
        <v>1</v>
      </c>
      <c r="E94" s="4">
        <v>201</v>
      </c>
      <c r="F94" s="4">
        <f>ROUND(Source!O92,O94)</f>
        <v>377780.32</v>
      </c>
      <c r="G94" s="4" t="s">
        <v>22</v>
      </c>
      <c r="H94" s="4" t="s">
        <v>23</v>
      </c>
      <c r="I94" s="4"/>
      <c r="J94" s="4"/>
      <c r="K94" s="4">
        <v>201</v>
      </c>
      <c r="L94" s="4">
        <v>1</v>
      </c>
      <c r="M94" s="4">
        <v>3</v>
      </c>
      <c r="N94" s="4" t="s">
        <v>3</v>
      </c>
      <c r="O94" s="4">
        <v>2</v>
      </c>
      <c r="P94" s="4"/>
      <c r="Q94" s="4"/>
      <c r="R94" s="4"/>
      <c r="S94" s="4"/>
      <c r="T94" s="4"/>
      <c r="U94" s="4"/>
      <c r="V94" s="4"/>
      <c r="W94" s="4">
        <v>377780.32</v>
      </c>
      <c r="X94" s="4">
        <v>1</v>
      </c>
      <c r="Y94" s="4">
        <v>377780.32</v>
      </c>
      <c r="Z94" s="4"/>
      <c r="AA94" s="4"/>
      <c r="AB94" s="4"/>
    </row>
    <row r="95" spans="1:245" x14ac:dyDescent="0.2">
      <c r="A95" s="4">
        <v>50</v>
      </c>
      <c r="B95" s="4">
        <v>0</v>
      </c>
      <c r="C95" s="4">
        <v>0</v>
      </c>
      <c r="D95" s="4">
        <v>1</v>
      </c>
      <c r="E95" s="4">
        <v>202</v>
      </c>
      <c r="F95" s="4">
        <f>ROUND(Source!P92,O95)</f>
        <v>3990.9</v>
      </c>
      <c r="G95" s="4" t="s">
        <v>24</v>
      </c>
      <c r="H95" s="4" t="s">
        <v>25</v>
      </c>
      <c r="I95" s="4"/>
      <c r="J95" s="4"/>
      <c r="K95" s="4">
        <v>202</v>
      </c>
      <c r="L95" s="4">
        <v>2</v>
      </c>
      <c r="M95" s="4">
        <v>3</v>
      </c>
      <c r="N95" s="4" t="s">
        <v>3</v>
      </c>
      <c r="O95" s="4">
        <v>2</v>
      </c>
      <c r="P95" s="4"/>
      <c r="Q95" s="4"/>
      <c r="R95" s="4"/>
      <c r="S95" s="4"/>
      <c r="T95" s="4"/>
      <c r="U95" s="4"/>
      <c r="V95" s="4"/>
      <c r="W95" s="4">
        <v>3990.9</v>
      </c>
      <c r="X95" s="4">
        <v>1</v>
      </c>
      <c r="Y95" s="4">
        <v>3990.9</v>
      </c>
      <c r="Z95" s="4"/>
      <c r="AA95" s="4"/>
      <c r="AB95" s="4"/>
    </row>
    <row r="96" spans="1:245" x14ac:dyDescent="0.2">
      <c r="A96" s="4">
        <v>50</v>
      </c>
      <c r="B96" s="4">
        <v>0</v>
      </c>
      <c r="C96" s="4">
        <v>0</v>
      </c>
      <c r="D96" s="4">
        <v>1</v>
      </c>
      <c r="E96" s="4">
        <v>222</v>
      </c>
      <c r="F96" s="4">
        <f>ROUND(Source!AO92,O96)</f>
        <v>0</v>
      </c>
      <c r="G96" s="4" t="s">
        <v>26</v>
      </c>
      <c r="H96" s="4" t="s">
        <v>27</v>
      </c>
      <c r="I96" s="4"/>
      <c r="J96" s="4"/>
      <c r="K96" s="4">
        <v>222</v>
      </c>
      <c r="L96" s="4">
        <v>3</v>
      </c>
      <c r="M96" s="4">
        <v>3</v>
      </c>
      <c r="N96" s="4" t="s">
        <v>3</v>
      </c>
      <c r="O96" s="4">
        <v>2</v>
      </c>
      <c r="P96" s="4"/>
      <c r="Q96" s="4"/>
      <c r="R96" s="4"/>
      <c r="S96" s="4"/>
      <c r="T96" s="4"/>
      <c r="U96" s="4"/>
      <c r="V96" s="4"/>
      <c r="W96" s="4">
        <v>0</v>
      </c>
      <c r="X96" s="4">
        <v>1</v>
      </c>
      <c r="Y96" s="4">
        <v>0</v>
      </c>
      <c r="Z96" s="4"/>
      <c r="AA96" s="4"/>
      <c r="AB96" s="4"/>
    </row>
    <row r="97" spans="1:28" x14ac:dyDescent="0.2">
      <c r="A97" s="4">
        <v>50</v>
      </c>
      <c r="B97" s="4">
        <v>0</v>
      </c>
      <c r="C97" s="4">
        <v>0</v>
      </c>
      <c r="D97" s="4">
        <v>1</v>
      </c>
      <c r="E97" s="4">
        <v>225</v>
      </c>
      <c r="F97" s="4">
        <f>ROUND(Source!AV92,O97)</f>
        <v>3990.9</v>
      </c>
      <c r="G97" s="4" t="s">
        <v>28</v>
      </c>
      <c r="H97" s="4" t="s">
        <v>29</v>
      </c>
      <c r="I97" s="4"/>
      <c r="J97" s="4"/>
      <c r="K97" s="4">
        <v>225</v>
      </c>
      <c r="L97" s="4">
        <v>4</v>
      </c>
      <c r="M97" s="4">
        <v>3</v>
      </c>
      <c r="N97" s="4" t="s">
        <v>3</v>
      </c>
      <c r="O97" s="4">
        <v>2</v>
      </c>
      <c r="P97" s="4"/>
      <c r="Q97" s="4"/>
      <c r="R97" s="4"/>
      <c r="S97" s="4"/>
      <c r="T97" s="4"/>
      <c r="U97" s="4"/>
      <c r="V97" s="4"/>
      <c r="W97" s="4">
        <v>3990.9</v>
      </c>
      <c r="X97" s="4">
        <v>1</v>
      </c>
      <c r="Y97" s="4">
        <v>3990.9</v>
      </c>
      <c r="Z97" s="4"/>
      <c r="AA97" s="4"/>
      <c r="AB97" s="4"/>
    </row>
    <row r="98" spans="1:28" x14ac:dyDescent="0.2">
      <c r="A98" s="4">
        <v>50</v>
      </c>
      <c r="B98" s="4">
        <v>0</v>
      </c>
      <c r="C98" s="4">
        <v>0</v>
      </c>
      <c r="D98" s="4">
        <v>1</v>
      </c>
      <c r="E98" s="4">
        <v>226</v>
      </c>
      <c r="F98" s="4">
        <f>ROUND(Source!AW92,O98)</f>
        <v>3990.9</v>
      </c>
      <c r="G98" s="4" t="s">
        <v>30</v>
      </c>
      <c r="H98" s="4" t="s">
        <v>31</v>
      </c>
      <c r="I98" s="4"/>
      <c r="J98" s="4"/>
      <c r="K98" s="4">
        <v>226</v>
      </c>
      <c r="L98" s="4">
        <v>5</v>
      </c>
      <c r="M98" s="4">
        <v>3</v>
      </c>
      <c r="N98" s="4" t="s">
        <v>3</v>
      </c>
      <c r="O98" s="4">
        <v>2</v>
      </c>
      <c r="P98" s="4"/>
      <c r="Q98" s="4"/>
      <c r="R98" s="4"/>
      <c r="S98" s="4"/>
      <c r="T98" s="4"/>
      <c r="U98" s="4"/>
      <c r="V98" s="4"/>
      <c r="W98" s="4">
        <v>3990.9</v>
      </c>
      <c r="X98" s="4">
        <v>1</v>
      </c>
      <c r="Y98" s="4">
        <v>3990.9</v>
      </c>
      <c r="Z98" s="4"/>
      <c r="AA98" s="4"/>
      <c r="AB98" s="4"/>
    </row>
    <row r="99" spans="1:28" x14ac:dyDescent="0.2">
      <c r="A99" s="4">
        <v>50</v>
      </c>
      <c r="B99" s="4">
        <v>0</v>
      </c>
      <c r="C99" s="4">
        <v>0</v>
      </c>
      <c r="D99" s="4">
        <v>1</v>
      </c>
      <c r="E99" s="4">
        <v>227</v>
      </c>
      <c r="F99" s="4">
        <f>ROUND(Source!AX92,O99)</f>
        <v>0</v>
      </c>
      <c r="G99" s="4" t="s">
        <v>32</v>
      </c>
      <c r="H99" s="4" t="s">
        <v>33</v>
      </c>
      <c r="I99" s="4"/>
      <c r="J99" s="4"/>
      <c r="K99" s="4">
        <v>227</v>
      </c>
      <c r="L99" s="4">
        <v>6</v>
      </c>
      <c r="M99" s="4">
        <v>3</v>
      </c>
      <c r="N99" s="4" t="s">
        <v>3</v>
      </c>
      <c r="O99" s="4">
        <v>2</v>
      </c>
      <c r="P99" s="4"/>
      <c r="Q99" s="4"/>
      <c r="R99" s="4"/>
      <c r="S99" s="4"/>
      <c r="T99" s="4"/>
      <c r="U99" s="4"/>
      <c r="V99" s="4"/>
      <c r="W99" s="4">
        <v>0</v>
      </c>
      <c r="X99" s="4">
        <v>1</v>
      </c>
      <c r="Y99" s="4">
        <v>0</v>
      </c>
      <c r="Z99" s="4"/>
      <c r="AA99" s="4"/>
      <c r="AB99" s="4"/>
    </row>
    <row r="100" spans="1:28" x14ac:dyDescent="0.2">
      <c r="A100" s="4">
        <v>50</v>
      </c>
      <c r="B100" s="4">
        <v>0</v>
      </c>
      <c r="C100" s="4">
        <v>0</v>
      </c>
      <c r="D100" s="4">
        <v>1</v>
      </c>
      <c r="E100" s="4">
        <v>228</v>
      </c>
      <c r="F100" s="4">
        <f>ROUND(Source!AY92,O100)</f>
        <v>3990.9</v>
      </c>
      <c r="G100" s="4" t="s">
        <v>34</v>
      </c>
      <c r="H100" s="4" t="s">
        <v>35</v>
      </c>
      <c r="I100" s="4"/>
      <c r="J100" s="4"/>
      <c r="K100" s="4">
        <v>228</v>
      </c>
      <c r="L100" s="4">
        <v>7</v>
      </c>
      <c r="M100" s="4">
        <v>3</v>
      </c>
      <c r="N100" s="4" t="s">
        <v>3</v>
      </c>
      <c r="O100" s="4">
        <v>2</v>
      </c>
      <c r="P100" s="4"/>
      <c r="Q100" s="4"/>
      <c r="R100" s="4"/>
      <c r="S100" s="4"/>
      <c r="T100" s="4"/>
      <c r="U100" s="4"/>
      <c r="V100" s="4"/>
      <c r="W100" s="4">
        <v>3990.9</v>
      </c>
      <c r="X100" s="4">
        <v>1</v>
      </c>
      <c r="Y100" s="4">
        <v>3990.9</v>
      </c>
      <c r="Z100" s="4"/>
      <c r="AA100" s="4"/>
      <c r="AB100" s="4"/>
    </row>
    <row r="101" spans="1:28" x14ac:dyDescent="0.2">
      <c r="A101" s="4">
        <v>50</v>
      </c>
      <c r="B101" s="4">
        <v>0</v>
      </c>
      <c r="C101" s="4">
        <v>0</v>
      </c>
      <c r="D101" s="4">
        <v>1</v>
      </c>
      <c r="E101" s="4">
        <v>216</v>
      </c>
      <c r="F101" s="4">
        <f>ROUND(Source!AP92,O101)</f>
        <v>0</v>
      </c>
      <c r="G101" s="4" t="s">
        <v>36</v>
      </c>
      <c r="H101" s="4" t="s">
        <v>37</v>
      </c>
      <c r="I101" s="4"/>
      <c r="J101" s="4"/>
      <c r="K101" s="4">
        <v>216</v>
      </c>
      <c r="L101" s="4">
        <v>8</v>
      </c>
      <c r="M101" s="4">
        <v>3</v>
      </c>
      <c r="N101" s="4" t="s">
        <v>3</v>
      </c>
      <c r="O101" s="4">
        <v>2</v>
      </c>
      <c r="P101" s="4"/>
      <c r="Q101" s="4"/>
      <c r="R101" s="4"/>
      <c r="S101" s="4"/>
      <c r="T101" s="4"/>
      <c r="U101" s="4"/>
      <c r="V101" s="4"/>
      <c r="W101" s="4">
        <v>0</v>
      </c>
      <c r="X101" s="4">
        <v>1</v>
      </c>
      <c r="Y101" s="4">
        <v>0</v>
      </c>
      <c r="Z101" s="4"/>
      <c r="AA101" s="4"/>
      <c r="AB101" s="4"/>
    </row>
    <row r="102" spans="1:28" x14ac:dyDescent="0.2">
      <c r="A102" s="4">
        <v>50</v>
      </c>
      <c r="B102" s="4">
        <v>0</v>
      </c>
      <c r="C102" s="4">
        <v>0</v>
      </c>
      <c r="D102" s="4">
        <v>1</v>
      </c>
      <c r="E102" s="4">
        <v>223</v>
      </c>
      <c r="F102" s="4">
        <f>ROUND(Source!AQ92,O102)</f>
        <v>0</v>
      </c>
      <c r="G102" s="4" t="s">
        <v>38</v>
      </c>
      <c r="H102" s="4" t="s">
        <v>39</v>
      </c>
      <c r="I102" s="4"/>
      <c r="J102" s="4"/>
      <c r="K102" s="4">
        <v>223</v>
      </c>
      <c r="L102" s="4">
        <v>9</v>
      </c>
      <c r="M102" s="4">
        <v>3</v>
      </c>
      <c r="N102" s="4" t="s">
        <v>3</v>
      </c>
      <c r="O102" s="4">
        <v>2</v>
      </c>
      <c r="P102" s="4"/>
      <c r="Q102" s="4"/>
      <c r="R102" s="4"/>
      <c r="S102" s="4"/>
      <c r="T102" s="4"/>
      <c r="U102" s="4"/>
      <c r="V102" s="4"/>
      <c r="W102" s="4">
        <v>0</v>
      </c>
      <c r="X102" s="4">
        <v>1</v>
      </c>
      <c r="Y102" s="4">
        <v>0</v>
      </c>
      <c r="Z102" s="4"/>
      <c r="AA102" s="4"/>
      <c r="AB102" s="4"/>
    </row>
    <row r="103" spans="1:28" x14ac:dyDescent="0.2">
      <c r="A103" s="4">
        <v>50</v>
      </c>
      <c r="B103" s="4">
        <v>0</v>
      </c>
      <c r="C103" s="4">
        <v>0</v>
      </c>
      <c r="D103" s="4">
        <v>1</v>
      </c>
      <c r="E103" s="4">
        <v>229</v>
      </c>
      <c r="F103" s="4">
        <f>ROUND(Source!AZ92,O103)</f>
        <v>0</v>
      </c>
      <c r="G103" s="4" t="s">
        <v>40</v>
      </c>
      <c r="H103" s="4" t="s">
        <v>41</v>
      </c>
      <c r="I103" s="4"/>
      <c r="J103" s="4"/>
      <c r="K103" s="4">
        <v>229</v>
      </c>
      <c r="L103" s="4">
        <v>10</v>
      </c>
      <c r="M103" s="4">
        <v>3</v>
      </c>
      <c r="N103" s="4" t="s">
        <v>3</v>
      </c>
      <c r="O103" s="4">
        <v>2</v>
      </c>
      <c r="P103" s="4"/>
      <c r="Q103" s="4"/>
      <c r="R103" s="4"/>
      <c r="S103" s="4"/>
      <c r="T103" s="4"/>
      <c r="U103" s="4"/>
      <c r="V103" s="4"/>
      <c r="W103" s="4">
        <v>0</v>
      </c>
      <c r="X103" s="4">
        <v>1</v>
      </c>
      <c r="Y103" s="4">
        <v>0</v>
      </c>
      <c r="Z103" s="4"/>
      <c r="AA103" s="4"/>
      <c r="AB103" s="4"/>
    </row>
    <row r="104" spans="1:28" x14ac:dyDescent="0.2">
      <c r="A104" s="4">
        <v>50</v>
      </c>
      <c r="B104" s="4">
        <v>0</v>
      </c>
      <c r="C104" s="4">
        <v>0</v>
      </c>
      <c r="D104" s="4">
        <v>1</v>
      </c>
      <c r="E104" s="4">
        <v>203</v>
      </c>
      <c r="F104" s="4">
        <f>ROUND(Source!Q92,O104)</f>
        <v>48620.27</v>
      </c>
      <c r="G104" s="4" t="s">
        <v>42</v>
      </c>
      <c r="H104" s="4" t="s">
        <v>43</v>
      </c>
      <c r="I104" s="4"/>
      <c r="J104" s="4"/>
      <c r="K104" s="4">
        <v>203</v>
      </c>
      <c r="L104" s="4">
        <v>11</v>
      </c>
      <c r="M104" s="4">
        <v>3</v>
      </c>
      <c r="N104" s="4" t="s">
        <v>3</v>
      </c>
      <c r="O104" s="4">
        <v>2</v>
      </c>
      <c r="P104" s="4"/>
      <c r="Q104" s="4"/>
      <c r="R104" s="4"/>
      <c r="S104" s="4"/>
      <c r="T104" s="4"/>
      <c r="U104" s="4"/>
      <c r="V104" s="4"/>
      <c r="W104" s="4">
        <v>48620.27</v>
      </c>
      <c r="X104" s="4">
        <v>1</v>
      </c>
      <c r="Y104" s="4">
        <v>48620.27</v>
      </c>
      <c r="Z104" s="4"/>
      <c r="AA104" s="4"/>
      <c r="AB104" s="4"/>
    </row>
    <row r="105" spans="1:28" x14ac:dyDescent="0.2">
      <c r="A105" s="4">
        <v>50</v>
      </c>
      <c r="B105" s="4">
        <v>0</v>
      </c>
      <c r="C105" s="4">
        <v>0</v>
      </c>
      <c r="D105" s="4">
        <v>1</v>
      </c>
      <c r="E105" s="4">
        <v>231</v>
      </c>
      <c r="F105" s="4">
        <f>ROUND(Source!BB92,O105)</f>
        <v>0</v>
      </c>
      <c r="G105" s="4" t="s">
        <v>44</v>
      </c>
      <c r="H105" s="4" t="s">
        <v>45</v>
      </c>
      <c r="I105" s="4"/>
      <c r="J105" s="4"/>
      <c r="K105" s="4">
        <v>231</v>
      </c>
      <c r="L105" s="4">
        <v>12</v>
      </c>
      <c r="M105" s="4">
        <v>3</v>
      </c>
      <c r="N105" s="4" t="s">
        <v>3</v>
      </c>
      <c r="O105" s="4">
        <v>2</v>
      </c>
      <c r="P105" s="4"/>
      <c r="Q105" s="4"/>
      <c r="R105" s="4"/>
      <c r="S105" s="4"/>
      <c r="T105" s="4"/>
      <c r="U105" s="4"/>
      <c r="V105" s="4"/>
      <c r="W105" s="4">
        <v>0</v>
      </c>
      <c r="X105" s="4">
        <v>1</v>
      </c>
      <c r="Y105" s="4">
        <v>0</v>
      </c>
      <c r="Z105" s="4"/>
      <c r="AA105" s="4"/>
      <c r="AB105" s="4"/>
    </row>
    <row r="106" spans="1:28" x14ac:dyDescent="0.2">
      <c r="A106" s="4">
        <v>50</v>
      </c>
      <c r="B106" s="4">
        <v>0</v>
      </c>
      <c r="C106" s="4">
        <v>0</v>
      </c>
      <c r="D106" s="4">
        <v>1</v>
      </c>
      <c r="E106" s="4">
        <v>204</v>
      </c>
      <c r="F106" s="4">
        <f>ROUND(Source!R92,O106)</f>
        <v>24049.78</v>
      </c>
      <c r="G106" s="4" t="s">
        <v>46</v>
      </c>
      <c r="H106" s="4" t="s">
        <v>47</v>
      </c>
      <c r="I106" s="4"/>
      <c r="J106" s="4"/>
      <c r="K106" s="4">
        <v>204</v>
      </c>
      <c r="L106" s="4">
        <v>13</v>
      </c>
      <c r="M106" s="4">
        <v>3</v>
      </c>
      <c r="N106" s="4" t="s">
        <v>3</v>
      </c>
      <c r="O106" s="4">
        <v>2</v>
      </c>
      <c r="P106" s="4"/>
      <c r="Q106" s="4"/>
      <c r="R106" s="4"/>
      <c r="S106" s="4"/>
      <c r="T106" s="4"/>
      <c r="U106" s="4"/>
      <c r="V106" s="4"/>
      <c r="W106" s="4">
        <v>24049.78</v>
      </c>
      <c r="X106" s="4">
        <v>1</v>
      </c>
      <c r="Y106" s="4">
        <v>24049.78</v>
      </c>
      <c r="Z106" s="4"/>
      <c r="AA106" s="4"/>
      <c r="AB106" s="4"/>
    </row>
    <row r="107" spans="1:28" x14ac:dyDescent="0.2">
      <c r="A107" s="4">
        <v>50</v>
      </c>
      <c r="B107" s="4">
        <v>0</v>
      </c>
      <c r="C107" s="4">
        <v>0</v>
      </c>
      <c r="D107" s="4">
        <v>1</v>
      </c>
      <c r="E107" s="4">
        <v>205</v>
      </c>
      <c r="F107" s="4">
        <f>ROUND(Source!S92,O107)</f>
        <v>325169.15000000002</v>
      </c>
      <c r="G107" s="4" t="s">
        <v>48</v>
      </c>
      <c r="H107" s="4" t="s">
        <v>49</v>
      </c>
      <c r="I107" s="4"/>
      <c r="J107" s="4"/>
      <c r="K107" s="4">
        <v>205</v>
      </c>
      <c r="L107" s="4">
        <v>14</v>
      </c>
      <c r="M107" s="4">
        <v>3</v>
      </c>
      <c r="N107" s="4" t="s">
        <v>3</v>
      </c>
      <c r="O107" s="4">
        <v>2</v>
      </c>
      <c r="P107" s="4"/>
      <c r="Q107" s="4"/>
      <c r="R107" s="4"/>
      <c r="S107" s="4"/>
      <c r="T107" s="4"/>
      <c r="U107" s="4"/>
      <c r="V107" s="4"/>
      <c r="W107" s="4">
        <v>325169.15000000002</v>
      </c>
      <c r="X107" s="4">
        <v>1</v>
      </c>
      <c r="Y107" s="4">
        <v>325169.15000000002</v>
      </c>
      <c r="Z107" s="4"/>
      <c r="AA107" s="4"/>
      <c r="AB107" s="4"/>
    </row>
    <row r="108" spans="1:28" x14ac:dyDescent="0.2">
      <c r="A108" s="4">
        <v>50</v>
      </c>
      <c r="B108" s="4">
        <v>0</v>
      </c>
      <c r="C108" s="4">
        <v>0</v>
      </c>
      <c r="D108" s="4">
        <v>1</v>
      </c>
      <c r="E108" s="4">
        <v>232</v>
      </c>
      <c r="F108" s="4">
        <f>ROUND(Source!BC92,O108)</f>
        <v>0</v>
      </c>
      <c r="G108" s="4" t="s">
        <v>50</v>
      </c>
      <c r="H108" s="4" t="s">
        <v>51</v>
      </c>
      <c r="I108" s="4"/>
      <c r="J108" s="4"/>
      <c r="K108" s="4">
        <v>232</v>
      </c>
      <c r="L108" s="4">
        <v>15</v>
      </c>
      <c r="M108" s="4">
        <v>3</v>
      </c>
      <c r="N108" s="4" t="s">
        <v>3</v>
      </c>
      <c r="O108" s="4">
        <v>2</v>
      </c>
      <c r="P108" s="4"/>
      <c r="Q108" s="4"/>
      <c r="R108" s="4"/>
      <c r="S108" s="4"/>
      <c r="T108" s="4"/>
      <c r="U108" s="4"/>
      <c r="V108" s="4"/>
      <c r="W108" s="4">
        <v>0</v>
      </c>
      <c r="X108" s="4">
        <v>1</v>
      </c>
      <c r="Y108" s="4">
        <v>0</v>
      </c>
      <c r="Z108" s="4"/>
      <c r="AA108" s="4"/>
      <c r="AB108" s="4"/>
    </row>
    <row r="109" spans="1:28" x14ac:dyDescent="0.2">
      <c r="A109" s="4">
        <v>50</v>
      </c>
      <c r="B109" s="4">
        <v>0</v>
      </c>
      <c r="C109" s="4">
        <v>0</v>
      </c>
      <c r="D109" s="4">
        <v>1</v>
      </c>
      <c r="E109" s="4">
        <v>214</v>
      </c>
      <c r="F109" s="4">
        <f>ROUND(Source!AS92,O109)</f>
        <v>0</v>
      </c>
      <c r="G109" s="4" t="s">
        <v>52</v>
      </c>
      <c r="H109" s="4" t="s">
        <v>53</v>
      </c>
      <c r="I109" s="4"/>
      <c r="J109" s="4"/>
      <c r="K109" s="4">
        <v>214</v>
      </c>
      <c r="L109" s="4">
        <v>16</v>
      </c>
      <c r="M109" s="4">
        <v>3</v>
      </c>
      <c r="N109" s="4" t="s">
        <v>3</v>
      </c>
      <c r="O109" s="4">
        <v>2</v>
      </c>
      <c r="P109" s="4"/>
      <c r="Q109" s="4"/>
      <c r="R109" s="4"/>
      <c r="S109" s="4"/>
      <c r="T109" s="4"/>
      <c r="U109" s="4"/>
      <c r="V109" s="4"/>
      <c r="W109" s="4">
        <v>0</v>
      </c>
      <c r="X109" s="4">
        <v>1</v>
      </c>
      <c r="Y109" s="4">
        <v>0</v>
      </c>
      <c r="Z109" s="4"/>
      <c r="AA109" s="4"/>
      <c r="AB109" s="4"/>
    </row>
    <row r="110" spans="1:28" x14ac:dyDescent="0.2">
      <c r="A110" s="4">
        <v>50</v>
      </c>
      <c r="B110" s="4">
        <v>0</v>
      </c>
      <c r="C110" s="4">
        <v>0</v>
      </c>
      <c r="D110" s="4">
        <v>1</v>
      </c>
      <c r="E110" s="4">
        <v>215</v>
      </c>
      <c r="F110" s="4">
        <f>ROUND(Source!AT92,O110)</f>
        <v>0</v>
      </c>
      <c r="G110" s="4" t="s">
        <v>54</v>
      </c>
      <c r="H110" s="4" t="s">
        <v>55</v>
      </c>
      <c r="I110" s="4"/>
      <c r="J110" s="4"/>
      <c r="K110" s="4">
        <v>215</v>
      </c>
      <c r="L110" s="4">
        <v>17</v>
      </c>
      <c r="M110" s="4">
        <v>3</v>
      </c>
      <c r="N110" s="4" t="s">
        <v>3</v>
      </c>
      <c r="O110" s="4">
        <v>2</v>
      </c>
      <c r="P110" s="4"/>
      <c r="Q110" s="4"/>
      <c r="R110" s="4"/>
      <c r="S110" s="4"/>
      <c r="T110" s="4"/>
      <c r="U110" s="4"/>
      <c r="V110" s="4"/>
      <c r="W110" s="4">
        <v>0</v>
      </c>
      <c r="X110" s="4">
        <v>1</v>
      </c>
      <c r="Y110" s="4">
        <v>0</v>
      </c>
      <c r="Z110" s="4"/>
      <c r="AA110" s="4"/>
      <c r="AB110" s="4"/>
    </row>
    <row r="111" spans="1:28" x14ac:dyDescent="0.2">
      <c r="A111" s="4">
        <v>50</v>
      </c>
      <c r="B111" s="4">
        <v>0</v>
      </c>
      <c r="C111" s="4">
        <v>0</v>
      </c>
      <c r="D111" s="4">
        <v>1</v>
      </c>
      <c r="E111" s="4">
        <v>217</v>
      </c>
      <c r="F111" s="4">
        <f>ROUND(Source!AU92,O111)</f>
        <v>663889.4</v>
      </c>
      <c r="G111" s="4" t="s">
        <v>56</v>
      </c>
      <c r="H111" s="4" t="s">
        <v>57</v>
      </c>
      <c r="I111" s="4"/>
      <c r="J111" s="4"/>
      <c r="K111" s="4">
        <v>217</v>
      </c>
      <c r="L111" s="4">
        <v>18</v>
      </c>
      <c r="M111" s="4">
        <v>3</v>
      </c>
      <c r="N111" s="4" t="s">
        <v>3</v>
      </c>
      <c r="O111" s="4">
        <v>2</v>
      </c>
      <c r="P111" s="4"/>
      <c r="Q111" s="4"/>
      <c r="R111" s="4"/>
      <c r="S111" s="4"/>
      <c r="T111" s="4"/>
      <c r="U111" s="4"/>
      <c r="V111" s="4"/>
      <c r="W111" s="4">
        <v>663889.4</v>
      </c>
      <c r="X111" s="4">
        <v>1</v>
      </c>
      <c r="Y111" s="4">
        <v>663889.4</v>
      </c>
      <c r="Z111" s="4"/>
      <c r="AA111" s="4"/>
      <c r="AB111" s="4"/>
    </row>
    <row r="112" spans="1:28" x14ac:dyDescent="0.2">
      <c r="A112" s="4">
        <v>50</v>
      </c>
      <c r="B112" s="4">
        <v>0</v>
      </c>
      <c r="C112" s="4">
        <v>0</v>
      </c>
      <c r="D112" s="4">
        <v>1</v>
      </c>
      <c r="E112" s="4">
        <v>230</v>
      </c>
      <c r="F112" s="4">
        <f>ROUND(Source!BA92,O112)</f>
        <v>0</v>
      </c>
      <c r="G112" s="4" t="s">
        <v>58</v>
      </c>
      <c r="H112" s="4" t="s">
        <v>59</v>
      </c>
      <c r="I112" s="4"/>
      <c r="J112" s="4"/>
      <c r="K112" s="4">
        <v>230</v>
      </c>
      <c r="L112" s="4">
        <v>19</v>
      </c>
      <c r="M112" s="4">
        <v>3</v>
      </c>
      <c r="N112" s="4" t="s">
        <v>3</v>
      </c>
      <c r="O112" s="4">
        <v>2</v>
      </c>
      <c r="P112" s="4"/>
      <c r="Q112" s="4"/>
      <c r="R112" s="4"/>
      <c r="S112" s="4"/>
      <c r="T112" s="4"/>
      <c r="U112" s="4"/>
      <c r="V112" s="4"/>
      <c r="W112" s="4">
        <v>0</v>
      </c>
      <c r="X112" s="4">
        <v>1</v>
      </c>
      <c r="Y112" s="4">
        <v>0</v>
      </c>
      <c r="Z112" s="4"/>
      <c r="AA112" s="4"/>
      <c r="AB112" s="4"/>
    </row>
    <row r="113" spans="1:245" x14ac:dyDescent="0.2">
      <c r="A113" s="4">
        <v>50</v>
      </c>
      <c r="B113" s="4">
        <v>0</v>
      </c>
      <c r="C113" s="4">
        <v>0</v>
      </c>
      <c r="D113" s="4">
        <v>1</v>
      </c>
      <c r="E113" s="4">
        <v>206</v>
      </c>
      <c r="F113" s="4">
        <f>ROUND(Source!T92,O113)</f>
        <v>0</v>
      </c>
      <c r="G113" s="4" t="s">
        <v>60</v>
      </c>
      <c r="H113" s="4" t="s">
        <v>61</v>
      </c>
      <c r="I113" s="4"/>
      <c r="J113" s="4"/>
      <c r="K113" s="4">
        <v>206</v>
      </c>
      <c r="L113" s="4">
        <v>20</v>
      </c>
      <c r="M113" s="4">
        <v>3</v>
      </c>
      <c r="N113" s="4" t="s">
        <v>3</v>
      </c>
      <c r="O113" s="4">
        <v>2</v>
      </c>
      <c r="P113" s="4"/>
      <c r="Q113" s="4"/>
      <c r="R113" s="4"/>
      <c r="S113" s="4"/>
      <c r="T113" s="4"/>
      <c r="U113" s="4"/>
      <c r="V113" s="4"/>
      <c r="W113" s="4">
        <v>0</v>
      </c>
      <c r="X113" s="4">
        <v>1</v>
      </c>
      <c r="Y113" s="4">
        <v>0</v>
      </c>
      <c r="Z113" s="4"/>
      <c r="AA113" s="4"/>
      <c r="AB113" s="4"/>
    </row>
    <row r="114" spans="1:245" x14ac:dyDescent="0.2">
      <c r="A114" s="4">
        <v>50</v>
      </c>
      <c r="B114" s="4">
        <v>0</v>
      </c>
      <c r="C114" s="4">
        <v>0</v>
      </c>
      <c r="D114" s="4">
        <v>1</v>
      </c>
      <c r="E114" s="4">
        <v>207</v>
      </c>
      <c r="F114" s="4">
        <f>Source!U92</f>
        <v>372.70049999999998</v>
      </c>
      <c r="G114" s="4" t="s">
        <v>62</v>
      </c>
      <c r="H114" s="4" t="s">
        <v>63</v>
      </c>
      <c r="I114" s="4"/>
      <c r="J114" s="4"/>
      <c r="K114" s="4">
        <v>207</v>
      </c>
      <c r="L114" s="4">
        <v>21</v>
      </c>
      <c r="M114" s="4">
        <v>3</v>
      </c>
      <c r="N114" s="4" t="s">
        <v>3</v>
      </c>
      <c r="O114" s="4">
        <v>-1</v>
      </c>
      <c r="P114" s="4"/>
      <c r="Q114" s="4"/>
      <c r="R114" s="4"/>
      <c r="S114" s="4"/>
      <c r="T114" s="4"/>
      <c r="U114" s="4"/>
      <c r="V114" s="4"/>
      <c r="W114" s="4">
        <v>372.70049999999998</v>
      </c>
      <c r="X114" s="4">
        <v>1</v>
      </c>
      <c r="Y114" s="4">
        <v>372.70049999999998</v>
      </c>
      <c r="Z114" s="4"/>
      <c r="AA114" s="4"/>
      <c r="AB114" s="4"/>
    </row>
    <row r="115" spans="1:245" x14ac:dyDescent="0.2">
      <c r="A115" s="4">
        <v>50</v>
      </c>
      <c r="B115" s="4">
        <v>0</v>
      </c>
      <c r="C115" s="4">
        <v>0</v>
      </c>
      <c r="D115" s="4">
        <v>1</v>
      </c>
      <c r="E115" s="4">
        <v>208</v>
      </c>
      <c r="F115" s="4">
        <f>Source!V92</f>
        <v>0</v>
      </c>
      <c r="G115" s="4" t="s">
        <v>64</v>
      </c>
      <c r="H115" s="4" t="s">
        <v>65</v>
      </c>
      <c r="I115" s="4"/>
      <c r="J115" s="4"/>
      <c r="K115" s="4">
        <v>208</v>
      </c>
      <c r="L115" s="4">
        <v>22</v>
      </c>
      <c r="M115" s="4">
        <v>3</v>
      </c>
      <c r="N115" s="4" t="s">
        <v>3</v>
      </c>
      <c r="O115" s="4">
        <v>-1</v>
      </c>
      <c r="P115" s="4"/>
      <c r="Q115" s="4"/>
      <c r="R115" s="4"/>
      <c r="S115" s="4"/>
      <c r="T115" s="4"/>
      <c r="U115" s="4"/>
      <c r="V115" s="4"/>
      <c r="W115" s="4">
        <v>0</v>
      </c>
      <c r="X115" s="4">
        <v>1</v>
      </c>
      <c r="Y115" s="4">
        <v>0</v>
      </c>
      <c r="Z115" s="4"/>
      <c r="AA115" s="4"/>
      <c r="AB115" s="4"/>
    </row>
    <row r="116" spans="1:245" x14ac:dyDescent="0.2">
      <c r="A116" s="4">
        <v>50</v>
      </c>
      <c r="B116" s="4">
        <v>0</v>
      </c>
      <c r="C116" s="4">
        <v>0</v>
      </c>
      <c r="D116" s="4">
        <v>1</v>
      </c>
      <c r="E116" s="4">
        <v>209</v>
      </c>
      <c r="F116" s="4">
        <f>ROUND(Source!W92,O116)</f>
        <v>0</v>
      </c>
      <c r="G116" s="4" t="s">
        <v>66</v>
      </c>
      <c r="H116" s="4" t="s">
        <v>67</v>
      </c>
      <c r="I116" s="4"/>
      <c r="J116" s="4"/>
      <c r="K116" s="4">
        <v>209</v>
      </c>
      <c r="L116" s="4">
        <v>23</v>
      </c>
      <c r="M116" s="4">
        <v>3</v>
      </c>
      <c r="N116" s="4" t="s">
        <v>3</v>
      </c>
      <c r="O116" s="4">
        <v>2</v>
      </c>
      <c r="P116" s="4"/>
      <c r="Q116" s="4"/>
      <c r="R116" s="4"/>
      <c r="S116" s="4"/>
      <c r="T116" s="4"/>
      <c r="U116" s="4"/>
      <c r="V116" s="4"/>
      <c r="W116" s="4">
        <v>0</v>
      </c>
      <c r="X116" s="4">
        <v>1</v>
      </c>
      <c r="Y116" s="4">
        <v>0</v>
      </c>
      <c r="Z116" s="4"/>
      <c r="AA116" s="4"/>
      <c r="AB116" s="4"/>
    </row>
    <row r="117" spans="1:245" x14ac:dyDescent="0.2">
      <c r="A117" s="4">
        <v>50</v>
      </c>
      <c r="B117" s="4">
        <v>0</v>
      </c>
      <c r="C117" s="4">
        <v>0</v>
      </c>
      <c r="D117" s="4">
        <v>1</v>
      </c>
      <c r="E117" s="4">
        <v>233</v>
      </c>
      <c r="F117" s="4">
        <f>ROUND(Source!BD92,O117)</f>
        <v>0</v>
      </c>
      <c r="G117" s="4" t="s">
        <v>68</v>
      </c>
      <c r="H117" s="4" t="s">
        <v>69</v>
      </c>
      <c r="I117" s="4"/>
      <c r="J117" s="4"/>
      <c r="K117" s="4">
        <v>233</v>
      </c>
      <c r="L117" s="4">
        <v>24</v>
      </c>
      <c r="M117" s="4">
        <v>3</v>
      </c>
      <c r="N117" s="4" t="s">
        <v>3</v>
      </c>
      <c r="O117" s="4">
        <v>2</v>
      </c>
      <c r="P117" s="4"/>
      <c r="Q117" s="4"/>
      <c r="R117" s="4"/>
      <c r="S117" s="4"/>
      <c r="T117" s="4"/>
      <c r="U117" s="4"/>
      <c r="V117" s="4"/>
      <c r="W117" s="4">
        <v>0</v>
      </c>
      <c r="X117" s="4">
        <v>1</v>
      </c>
      <c r="Y117" s="4">
        <v>0</v>
      </c>
      <c r="Z117" s="4"/>
      <c r="AA117" s="4"/>
      <c r="AB117" s="4"/>
    </row>
    <row r="118" spans="1:245" x14ac:dyDescent="0.2">
      <c r="A118" s="4">
        <v>50</v>
      </c>
      <c r="B118" s="4">
        <v>0</v>
      </c>
      <c r="C118" s="4">
        <v>0</v>
      </c>
      <c r="D118" s="4">
        <v>1</v>
      </c>
      <c r="E118" s="4">
        <v>210</v>
      </c>
      <c r="F118" s="4">
        <f>ROUND(Source!X92,O118)</f>
        <v>227618.41</v>
      </c>
      <c r="G118" s="4" t="s">
        <v>70</v>
      </c>
      <c r="H118" s="4" t="s">
        <v>71</v>
      </c>
      <c r="I118" s="4"/>
      <c r="J118" s="4"/>
      <c r="K118" s="4">
        <v>210</v>
      </c>
      <c r="L118" s="4">
        <v>25</v>
      </c>
      <c r="M118" s="4">
        <v>3</v>
      </c>
      <c r="N118" s="4" t="s">
        <v>3</v>
      </c>
      <c r="O118" s="4">
        <v>2</v>
      </c>
      <c r="P118" s="4"/>
      <c r="Q118" s="4"/>
      <c r="R118" s="4"/>
      <c r="S118" s="4"/>
      <c r="T118" s="4"/>
      <c r="U118" s="4"/>
      <c r="V118" s="4"/>
      <c r="W118" s="4">
        <v>227618.41</v>
      </c>
      <c r="X118" s="4">
        <v>1</v>
      </c>
      <c r="Y118" s="4">
        <v>227618.41</v>
      </c>
      <c r="Z118" s="4"/>
      <c r="AA118" s="4"/>
      <c r="AB118" s="4"/>
    </row>
    <row r="119" spans="1:245" x14ac:dyDescent="0.2">
      <c r="A119" s="4">
        <v>50</v>
      </c>
      <c r="B119" s="4">
        <v>0</v>
      </c>
      <c r="C119" s="4">
        <v>0</v>
      </c>
      <c r="D119" s="4">
        <v>1</v>
      </c>
      <c r="E119" s="4">
        <v>211</v>
      </c>
      <c r="F119" s="4">
        <f>ROUND(Source!Y92,O119)</f>
        <v>32516.91</v>
      </c>
      <c r="G119" s="4" t="s">
        <v>72</v>
      </c>
      <c r="H119" s="4" t="s">
        <v>73</v>
      </c>
      <c r="I119" s="4"/>
      <c r="J119" s="4"/>
      <c r="K119" s="4">
        <v>211</v>
      </c>
      <c r="L119" s="4">
        <v>26</v>
      </c>
      <c r="M119" s="4">
        <v>3</v>
      </c>
      <c r="N119" s="4" t="s">
        <v>3</v>
      </c>
      <c r="O119" s="4">
        <v>2</v>
      </c>
      <c r="P119" s="4"/>
      <c r="Q119" s="4"/>
      <c r="R119" s="4"/>
      <c r="S119" s="4"/>
      <c r="T119" s="4"/>
      <c r="U119" s="4"/>
      <c r="V119" s="4"/>
      <c r="W119" s="4">
        <v>32516.91</v>
      </c>
      <c r="X119" s="4">
        <v>1</v>
      </c>
      <c r="Y119" s="4">
        <v>32516.91</v>
      </c>
      <c r="Z119" s="4"/>
      <c r="AA119" s="4"/>
      <c r="AB119" s="4"/>
    </row>
    <row r="120" spans="1:245" x14ac:dyDescent="0.2">
      <c r="A120" s="4">
        <v>50</v>
      </c>
      <c r="B120" s="4">
        <v>0</v>
      </c>
      <c r="C120" s="4">
        <v>0</v>
      </c>
      <c r="D120" s="4">
        <v>1</v>
      </c>
      <c r="E120" s="4">
        <v>224</v>
      </c>
      <c r="F120" s="4">
        <f>ROUND(Source!AR92,O120)</f>
        <v>663889.4</v>
      </c>
      <c r="G120" s="4" t="s">
        <v>74</v>
      </c>
      <c r="H120" s="4" t="s">
        <v>75</v>
      </c>
      <c r="I120" s="4"/>
      <c r="J120" s="4"/>
      <c r="K120" s="4">
        <v>224</v>
      </c>
      <c r="L120" s="4">
        <v>27</v>
      </c>
      <c r="M120" s="4">
        <v>3</v>
      </c>
      <c r="N120" s="4" t="s">
        <v>3</v>
      </c>
      <c r="O120" s="4">
        <v>2</v>
      </c>
      <c r="P120" s="4"/>
      <c r="Q120" s="4"/>
      <c r="R120" s="4"/>
      <c r="S120" s="4"/>
      <c r="T120" s="4"/>
      <c r="U120" s="4"/>
      <c r="V120" s="4"/>
      <c r="W120" s="4">
        <v>663889.4</v>
      </c>
      <c r="X120" s="4">
        <v>1</v>
      </c>
      <c r="Y120" s="4">
        <v>663889.4</v>
      </c>
      <c r="Z120" s="4"/>
      <c r="AA120" s="4"/>
      <c r="AB120" s="4"/>
    </row>
    <row r="122" spans="1:245" x14ac:dyDescent="0.2">
      <c r="A122" s="1">
        <v>5</v>
      </c>
      <c r="B122" s="1">
        <v>1</v>
      </c>
      <c r="C122" s="1"/>
      <c r="D122" s="1">
        <f>ROW(A128)</f>
        <v>128</v>
      </c>
      <c r="E122" s="1"/>
      <c r="F122" s="1" t="s">
        <v>77</v>
      </c>
      <c r="G122" s="1" t="s">
        <v>176</v>
      </c>
      <c r="H122" s="1" t="s">
        <v>3</v>
      </c>
      <c r="I122" s="1">
        <v>0</v>
      </c>
      <c r="J122" s="1"/>
      <c r="K122" s="1">
        <v>0</v>
      </c>
      <c r="L122" s="1"/>
      <c r="M122" s="1" t="s">
        <v>3</v>
      </c>
      <c r="N122" s="1"/>
      <c r="O122" s="1"/>
      <c r="P122" s="1"/>
      <c r="Q122" s="1"/>
      <c r="R122" s="1"/>
      <c r="S122" s="1">
        <v>0</v>
      </c>
      <c r="T122" s="1"/>
      <c r="U122" s="1" t="s">
        <v>3</v>
      </c>
      <c r="V122" s="1">
        <v>0</v>
      </c>
      <c r="W122" s="1"/>
      <c r="X122" s="1"/>
      <c r="Y122" s="1"/>
      <c r="Z122" s="1"/>
      <c r="AA122" s="1"/>
      <c r="AB122" s="1" t="s">
        <v>3</v>
      </c>
      <c r="AC122" s="1" t="s">
        <v>3</v>
      </c>
      <c r="AD122" s="1" t="s">
        <v>3</v>
      </c>
      <c r="AE122" s="1" t="s">
        <v>3</v>
      </c>
      <c r="AF122" s="1" t="s">
        <v>3</v>
      </c>
      <c r="AG122" s="1" t="s">
        <v>3</v>
      </c>
      <c r="AH122" s="1"/>
      <c r="AI122" s="1"/>
      <c r="AJ122" s="1"/>
      <c r="AK122" s="1"/>
      <c r="AL122" s="1"/>
      <c r="AM122" s="1"/>
      <c r="AN122" s="1"/>
      <c r="AO122" s="1"/>
      <c r="AP122" s="1" t="s">
        <v>3</v>
      </c>
      <c r="AQ122" s="1" t="s">
        <v>3</v>
      </c>
      <c r="AR122" s="1" t="s">
        <v>3</v>
      </c>
      <c r="AS122" s="1"/>
      <c r="AT122" s="1"/>
      <c r="AU122" s="1"/>
      <c r="AV122" s="1"/>
      <c r="AW122" s="1"/>
      <c r="AX122" s="1"/>
      <c r="AY122" s="1"/>
      <c r="AZ122" s="1" t="s">
        <v>3</v>
      </c>
      <c r="BA122" s="1"/>
      <c r="BB122" s="1" t="s">
        <v>3</v>
      </c>
      <c r="BC122" s="1" t="s">
        <v>3</v>
      </c>
      <c r="BD122" s="1" t="s">
        <v>3</v>
      </c>
      <c r="BE122" s="1" t="s">
        <v>3</v>
      </c>
      <c r="BF122" s="1" t="s">
        <v>3</v>
      </c>
      <c r="BG122" s="1" t="s">
        <v>3</v>
      </c>
      <c r="BH122" s="1" t="s">
        <v>3</v>
      </c>
      <c r="BI122" s="1" t="s">
        <v>3</v>
      </c>
      <c r="BJ122" s="1" t="s">
        <v>3</v>
      </c>
      <c r="BK122" s="1" t="s">
        <v>3</v>
      </c>
      <c r="BL122" s="1" t="s">
        <v>3</v>
      </c>
      <c r="BM122" s="1" t="s">
        <v>3</v>
      </c>
      <c r="BN122" s="1" t="s">
        <v>3</v>
      </c>
      <c r="BO122" s="1" t="s">
        <v>3</v>
      </c>
      <c r="BP122" s="1" t="s">
        <v>3</v>
      </c>
      <c r="BQ122" s="1"/>
      <c r="BR122" s="1"/>
      <c r="BS122" s="1"/>
      <c r="BT122" s="1"/>
      <c r="BU122" s="1"/>
      <c r="BV122" s="1"/>
      <c r="BW122" s="1"/>
      <c r="BX122" s="1">
        <v>0</v>
      </c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>
        <v>0</v>
      </c>
    </row>
    <row r="124" spans="1:245" x14ac:dyDescent="0.2">
      <c r="A124" s="2">
        <v>52</v>
      </c>
      <c r="B124" s="2">
        <f t="shared" ref="B124:G124" si="78">B128</f>
        <v>1</v>
      </c>
      <c r="C124" s="2">
        <f t="shared" si="78"/>
        <v>5</v>
      </c>
      <c r="D124" s="2">
        <f t="shared" si="78"/>
        <v>122</v>
      </c>
      <c r="E124" s="2">
        <f t="shared" si="78"/>
        <v>0</v>
      </c>
      <c r="F124" s="2" t="str">
        <f t="shared" si="78"/>
        <v>Новый подраздел</v>
      </c>
      <c r="G124" s="2" t="str">
        <f t="shared" si="78"/>
        <v>Пусконаладочные работы</v>
      </c>
      <c r="H124" s="2"/>
      <c r="I124" s="2"/>
      <c r="J124" s="2"/>
      <c r="K124" s="2"/>
      <c r="L124" s="2"/>
      <c r="M124" s="2"/>
      <c r="N124" s="2"/>
      <c r="O124" s="2">
        <f t="shared" ref="O124:AT124" si="79">O128</f>
        <v>4182.6499999999996</v>
      </c>
      <c r="P124" s="2">
        <f t="shared" si="79"/>
        <v>0</v>
      </c>
      <c r="Q124" s="2">
        <f t="shared" si="79"/>
        <v>0</v>
      </c>
      <c r="R124" s="2">
        <f t="shared" si="79"/>
        <v>0</v>
      </c>
      <c r="S124" s="2">
        <f t="shared" si="79"/>
        <v>4182.6499999999996</v>
      </c>
      <c r="T124" s="2">
        <f t="shared" si="79"/>
        <v>0</v>
      </c>
      <c r="U124" s="2">
        <f t="shared" si="79"/>
        <v>6.3</v>
      </c>
      <c r="V124" s="2">
        <f t="shared" si="79"/>
        <v>0</v>
      </c>
      <c r="W124" s="2">
        <f t="shared" si="79"/>
        <v>0</v>
      </c>
      <c r="X124" s="2">
        <f t="shared" si="79"/>
        <v>2927.86</v>
      </c>
      <c r="Y124" s="2">
        <f t="shared" si="79"/>
        <v>418.27</v>
      </c>
      <c r="Z124" s="2">
        <f t="shared" si="79"/>
        <v>0</v>
      </c>
      <c r="AA124" s="2">
        <f t="shared" si="79"/>
        <v>0</v>
      </c>
      <c r="AB124" s="2">
        <f t="shared" si="79"/>
        <v>4182.6499999999996</v>
      </c>
      <c r="AC124" s="2">
        <f t="shared" si="79"/>
        <v>0</v>
      </c>
      <c r="AD124" s="2">
        <f t="shared" si="79"/>
        <v>0</v>
      </c>
      <c r="AE124" s="2">
        <f t="shared" si="79"/>
        <v>0</v>
      </c>
      <c r="AF124" s="2">
        <f t="shared" si="79"/>
        <v>4182.6499999999996</v>
      </c>
      <c r="AG124" s="2">
        <f t="shared" si="79"/>
        <v>0</v>
      </c>
      <c r="AH124" s="2">
        <f t="shared" si="79"/>
        <v>6.3</v>
      </c>
      <c r="AI124" s="2">
        <f t="shared" si="79"/>
        <v>0</v>
      </c>
      <c r="AJ124" s="2">
        <f t="shared" si="79"/>
        <v>0</v>
      </c>
      <c r="AK124" s="2">
        <f t="shared" si="79"/>
        <v>2927.86</v>
      </c>
      <c r="AL124" s="2">
        <f t="shared" si="79"/>
        <v>418.27</v>
      </c>
      <c r="AM124" s="2">
        <f t="shared" si="79"/>
        <v>0</v>
      </c>
      <c r="AN124" s="2">
        <f t="shared" si="79"/>
        <v>0</v>
      </c>
      <c r="AO124" s="2">
        <f t="shared" si="79"/>
        <v>0</v>
      </c>
      <c r="AP124" s="2">
        <f t="shared" si="79"/>
        <v>0</v>
      </c>
      <c r="AQ124" s="2">
        <f t="shared" si="79"/>
        <v>0</v>
      </c>
      <c r="AR124" s="2">
        <f t="shared" si="79"/>
        <v>7528.78</v>
      </c>
      <c r="AS124" s="2">
        <f t="shared" si="79"/>
        <v>0</v>
      </c>
      <c r="AT124" s="2">
        <f t="shared" si="79"/>
        <v>0</v>
      </c>
      <c r="AU124" s="2">
        <f t="shared" ref="AU124:BZ124" si="80">AU128</f>
        <v>7528.78</v>
      </c>
      <c r="AV124" s="2">
        <f t="shared" si="80"/>
        <v>0</v>
      </c>
      <c r="AW124" s="2">
        <f t="shared" si="80"/>
        <v>0</v>
      </c>
      <c r="AX124" s="2">
        <f t="shared" si="80"/>
        <v>0</v>
      </c>
      <c r="AY124" s="2">
        <f t="shared" si="80"/>
        <v>0</v>
      </c>
      <c r="AZ124" s="2">
        <f t="shared" si="80"/>
        <v>0</v>
      </c>
      <c r="BA124" s="2">
        <f t="shared" si="80"/>
        <v>0</v>
      </c>
      <c r="BB124" s="2">
        <f t="shared" si="80"/>
        <v>0</v>
      </c>
      <c r="BC124" s="2">
        <f t="shared" si="80"/>
        <v>0</v>
      </c>
      <c r="BD124" s="2">
        <f t="shared" si="80"/>
        <v>0</v>
      </c>
      <c r="BE124" s="2">
        <f t="shared" si="80"/>
        <v>0</v>
      </c>
      <c r="BF124" s="2">
        <f t="shared" si="80"/>
        <v>0</v>
      </c>
      <c r="BG124" s="2">
        <f t="shared" si="80"/>
        <v>0</v>
      </c>
      <c r="BH124" s="2">
        <f t="shared" si="80"/>
        <v>0</v>
      </c>
      <c r="BI124" s="2">
        <f t="shared" si="80"/>
        <v>0</v>
      </c>
      <c r="BJ124" s="2">
        <f t="shared" si="80"/>
        <v>0</v>
      </c>
      <c r="BK124" s="2">
        <f t="shared" si="80"/>
        <v>0</v>
      </c>
      <c r="BL124" s="2">
        <f t="shared" si="80"/>
        <v>0</v>
      </c>
      <c r="BM124" s="2">
        <f t="shared" si="80"/>
        <v>0</v>
      </c>
      <c r="BN124" s="2">
        <f t="shared" si="80"/>
        <v>0</v>
      </c>
      <c r="BO124" s="2">
        <f t="shared" si="80"/>
        <v>0</v>
      </c>
      <c r="BP124" s="2">
        <f t="shared" si="80"/>
        <v>0</v>
      </c>
      <c r="BQ124" s="2">
        <f t="shared" si="80"/>
        <v>0</v>
      </c>
      <c r="BR124" s="2">
        <f t="shared" si="80"/>
        <v>0</v>
      </c>
      <c r="BS124" s="2">
        <f t="shared" si="80"/>
        <v>0</v>
      </c>
      <c r="BT124" s="2">
        <f t="shared" si="80"/>
        <v>0</v>
      </c>
      <c r="BU124" s="2">
        <f t="shared" si="80"/>
        <v>0</v>
      </c>
      <c r="BV124" s="2">
        <f t="shared" si="80"/>
        <v>0</v>
      </c>
      <c r="BW124" s="2">
        <f t="shared" si="80"/>
        <v>0</v>
      </c>
      <c r="BX124" s="2">
        <f t="shared" si="80"/>
        <v>0</v>
      </c>
      <c r="BY124" s="2">
        <f t="shared" si="80"/>
        <v>0</v>
      </c>
      <c r="BZ124" s="2">
        <f t="shared" si="80"/>
        <v>0</v>
      </c>
      <c r="CA124" s="2">
        <f t="shared" ref="CA124:DF124" si="81">CA128</f>
        <v>7528.78</v>
      </c>
      <c r="CB124" s="2">
        <f t="shared" si="81"/>
        <v>0</v>
      </c>
      <c r="CC124" s="2">
        <f t="shared" si="81"/>
        <v>0</v>
      </c>
      <c r="CD124" s="2">
        <f t="shared" si="81"/>
        <v>7528.78</v>
      </c>
      <c r="CE124" s="2">
        <f t="shared" si="81"/>
        <v>0</v>
      </c>
      <c r="CF124" s="2">
        <f t="shared" si="81"/>
        <v>0</v>
      </c>
      <c r="CG124" s="2">
        <f t="shared" si="81"/>
        <v>0</v>
      </c>
      <c r="CH124" s="2">
        <f t="shared" si="81"/>
        <v>0</v>
      </c>
      <c r="CI124" s="2">
        <f t="shared" si="81"/>
        <v>0</v>
      </c>
      <c r="CJ124" s="2">
        <f t="shared" si="81"/>
        <v>0</v>
      </c>
      <c r="CK124" s="2">
        <f t="shared" si="81"/>
        <v>0</v>
      </c>
      <c r="CL124" s="2">
        <f t="shared" si="81"/>
        <v>0</v>
      </c>
      <c r="CM124" s="2">
        <f t="shared" si="81"/>
        <v>0</v>
      </c>
      <c r="CN124" s="2">
        <f t="shared" si="81"/>
        <v>0</v>
      </c>
      <c r="CO124" s="2">
        <f t="shared" si="81"/>
        <v>0</v>
      </c>
      <c r="CP124" s="2">
        <f t="shared" si="81"/>
        <v>0</v>
      </c>
      <c r="CQ124" s="2">
        <f t="shared" si="81"/>
        <v>0</v>
      </c>
      <c r="CR124" s="2">
        <f t="shared" si="81"/>
        <v>0</v>
      </c>
      <c r="CS124" s="2">
        <f t="shared" si="81"/>
        <v>0</v>
      </c>
      <c r="CT124" s="2">
        <f t="shared" si="81"/>
        <v>0</v>
      </c>
      <c r="CU124" s="2">
        <f t="shared" si="81"/>
        <v>0</v>
      </c>
      <c r="CV124" s="2">
        <f t="shared" si="81"/>
        <v>0</v>
      </c>
      <c r="CW124" s="2">
        <f t="shared" si="81"/>
        <v>0</v>
      </c>
      <c r="CX124" s="2">
        <f t="shared" si="81"/>
        <v>0</v>
      </c>
      <c r="CY124" s="2">
        <f t="shared" si="81"/>
        <v>0</v>
      </c>
      <c r="CZ124" s="2">
        <f t="shared" si="81"/>
        <v>0</v>
      </c>
      <c r="DA124" s="2">
        <f t="shared" si="81"/>
        <v>0</v>
      </c>
      <c r="DB124" s="2">
        <f t="shared" si="81"/>
        <v>0</v>
      </c>
      <c r="DC124" s="2">
        <f t="shared" si="81"/>
        <v>0</v>
      </c>
      <c r="DD124" s="2">
        <f t="shared" si="81"/>
        <v>0</v>
      </c>
      <c r="DE124" s="2">
        <f t="shared" si="81"/>
        <v>0</v>
      </c>
      <c r="DF124" s="2">
        <f t="shared" si="81"/>
        <v>0</v>
      </c>
      <c r="DG124" s="3">
        <f t="shared" ref="DG124:EL124" si="82">DG128</f>
        <v>0</v>
      </c>
      <c r="DH124" s="3">
        <f t="shared" si="82"/>
        <v>0</v>
      </c>
      <c r="DI124" s="3">
        <f t="shared" si="82"/>
        <v>0</v>
      </c>
      <c r="DJ124" s="3">
        <f t="shared" si="82"/>
        <v>0</v>
      </c>
      <c r="DK124" s="3">
        <f t="shared" si="82"/>
        <v>0</v>
      </c>
      <c r="DL124" s="3">
        <f t="shared" si="82"/>
        <v>0</v>
      </c>
      <c r="DM124" s="3">
        <f t="shared" si="82"/>
        <v>0</v>
      </c>
      <c r="DN124" s="3">
        <f t="shared" si="82"/>
        <v>0</v>
      </c>
      <c r="DO124" s="3">
        <f t="shared" si="82"/>
        <v>0</v>
      </c>
      <c r="DP124" s="3">
        <f t="shared" si="82"/>
        <v>0</v>
      </c>
      <c r="DQ124" s="3">
        <f t="shared" si="82"/>
        <v>0</v>
      </c>
      <c r="DR124" s="3">
        <f t="shared" si="82"/>
        <v>0</v>
      </c>
      <c r="DS124" s="3">
        <f t="shared" si="82"/>
        <v>0</v>
      </c>
      <c r="DT124" s="3">
        <f t="shared" si="82"/>
        <v>0</v>
      </c>
      <c r="DU124" s="3">
        <f t="shared" si="82"/>
        <v>0</v>
      </c>
      <c r="DV124" s="3">
        <f t="shared" si="82"/>
        <v>0</v>
      </c>
      <c r="DW124" s="3">
        <f t="shared" si="82"/>
        <v>0</v>
      </c>
      <c r="DX124" s="3">
        <f t="shared" si="82"/>
        <v>0</v>
      </c>
      <c r="DY124" s="3">
        <f t="shared" si="82"/>
        <v>0</v>
      </c>
      <c r="DZ124" s="3">
        <f t="shared" si="82"/>
        <v>0</v>
      </c>
      <c r="EA124" s="3">
        <f t="shared" si="82"/>
        <v>0</v>
      </c>
      <c r="EB124" s="3">
        <f t="shared" si="82"/>
        <v>0</v>
      </c>
      <c r="EC124" s="3">
        <f t="shared" si="82"/>
        <v>0</v>
      </c>
      <c r="ED124" s="3">
        <f t="shared" si="82"/>
        <v>0</v>
      </c>
      <c r="EE124" s="3">
        <f t="shared" si="82"/>
        <v>0</v>
      </c>
      <c r="EF124" s="3">
        <f t="shared" si="82"/>
        <v>0</v>
      </c>
      <c r="EG124" s="3">
        <f t="shared" si="82"/>
        <v>0</v>
      </c>
      <c r="EH124" s="3">
        <f t="shared" si="82"/>
        <v>0</v>
      </c>
      <c r="EI124" s="3">
        <f t="shared" si="82"/>
        <v>0</v>
      </c>
      <c r="EJ124" s="3">
        <f t="shared" si="82"/>
        <v>0</v>
      </c>
      <c r="EK124" s="3">
        <f t="shared" si="82"/>
        <v>0</v>
      </c>
      <c r="EL124" s="3">
        <f t="shared" si="82"/>
        <v>0</v>
      </c>
      <c r="EM124" s="3">
        <f t="shared" ref="EM124:FR124" si="83">EM128</f>
        <v>0</v>
      </c>
      <c r="EN124" s="3">
        <f t="shared" si="83"/>
        <v>0</v>
      </c>
      <c r="EO124" s="3">
        <f t="shared" si="83"/>
        <v>0</v>
      </c>
      <c r="EP124" s="3">
        <f t="shared" si="83"/>
        <v>0</v>
      </c>
      <c r="EQ124" s="3">
        <f t="shared" si="83"/>
        <v>0</v>
      </c>
      <c r="ER124" s="3">
        <f t="shared" si="83"/>
        <v>0</v>
      </c>
      <c r="ES124" s="3">
        <f t="shared" si="83"/>
        <v>0</v>
      </c>
      <c r="ET124" s="3">
        <f t="shared" si="83"/>
        <v>0</v>
      </c>
      <c r="EU124" s="3">
        <f t="shared" si="83"/>
        <v>0</v>
      </c>
      <c r="EV124" s="3">
        <f t="shared" si="83"/>
        <v>0</v>
      </c>
      <c r="EW124" s="3">
        <f t="shared" si="83"/>
        <v>0</v>
      </c>
      <c r="EX124" s="3">
        <f t="shared" si="83"/>
        <v>0</v>
      </c>
      <c r="EY124" s="3">
        <f t="shared" si="83"/>
        <v>0</v>
      </c>
      <c r="EZ124" s="3">
        <f t="shared" si="83"/>
        <v>0</v>
      </c>
      <c r="FA124" s="3">
        <f t="shared" si="83"/>
        <v>0</v>
      </c>
      <c r="FB124" s="3">
        <f t="shared" si="83"/>
        <v>0</v>
      </c>
      <c r="FC124" s="3">
        <f t="shared" si="83"/>
        <v>0</v>
      </c>
      <c r="FD124" s="3">
        <f t="shared" si="83"/>
        <v>0</v>
      </c>
      <c r="FE124" s="3">
        <f t="shared" si="83"/>
        <v>0</v>
      </c>
      <c r="FF124" s="3">
        <f t="shared" si="83"/>
        <v>0</v>
      </c>
      <c r="FG124" s="3">
        <f t="shared" si="83"/>
        <v>0</v>
      </c>
      <c r="FH124" s="3">
        <f t="shared" si="83"/>
        <v>0</v>
      </c>
      <c r="FI124" s="3">
        <f t="shared" si="83"/>
        <v>0</v>
      </c>
      <c r="FJ124" s="3">
        <f t="shared" si="83"/>
        <v>0</v>
      </c>
      <c r="FK124" s="3">
        <f t="shared" si="83"/>
        <v>0</v>
      </c>
      <c r="FL124" s="3">
        <f t="shared" si="83"/>
        <v>0</v>
      </c>
      <c r="FM124" s="3">
        <f t="shared" si="83"/>
        <v>0</v>
      </c>
      <c r="FN124" s="3">
        <f t="shared" si="83"/>
        <v>0</v>
      </c>
      <c r="FO124" s="3">
        <f t="shared" si="83"/>
        <v>0</v>
      </c>
      <c r="FP124" s="3">
        <f t="shared" si="83"/>
        <v>0</v>
      </c>
      <c r="FQ124" s="3">
        <f t="shared" si="83"/>
        <v>0</v>
      </c>
      <c r="FR124" s="3">
        <f t="shared" si="83"/>
        <v>0</v>
      </c>
      <c r="FS124" s="3">
        <f t="shared" ref="FS124:GX124" si="84">FS128</f>
        <v>0</v>
      </c>
      <c r="FT124" s="3">
        <f t="shared" si="84"/>
        <v>0</v>
      </c>
      <c r="FU124" s="3">
        <f t="shared" si="84"/>
        <v>0</v>
      </c>
      <c r="FV124" s="3">
        <f t="shared" si="84"/>
        <v>0</v>
      </c>
      <c r="FW124" s="3">
        <f t="shared" si="84"/>
        <v>0</v>
      </c>
      <c r="FX124" s="3">
        <f t="shared" si="84"/>
        <v>0</v>
      </c>
      <c r="FY124" s="3">
        <f t="shared" si="84"/>
        <v>0</v>
      </c>
      <c r="FZ124" s="3">
        <f t="shared" si="84"/>
        <v>0</v>
      </c>
      <c r="GA124" s="3">
        <f t="shared" si="84"/>
        <v>0</v>
      </c>
      <c r="GB124" s="3">
        <f t="shared" si="84"/>
        <v>0</v>
      </c>
      <c r="GC124" s="3">
        <f t="shared" si="84"/>
        <v>0</v>
      </c>
      <c r="GD124" s="3">
        <f t="shared" si="84"/>
        <v>0</v>
      </c>
      <c r="GE124" s="3">
        <f t="shared" si="84"/>
        <v>0</v>
      </c>
      <c r="GF124" s="3">
        <f t="shared" si="84"/>
        <v>0</v>
      </c>
      <c r="GG124" s="3">
        <f t="shared" si="84"/>
        <v>0</v>
      </c>
      <c r="GH124" s="3">
        <f t="shared" si="84"/>
        <v>0</v>
      </c>
      <c r="GI124" s="3">
        <f t="shared" si="84"/>
        <v>0</v>
      </c>
      <c r="GJ124" s="3">
        <f t="shared" si="84"/>
        <v>0</v>
      </c>
      <c r="GK124" s="3">
        <f t="shared" si="84"/>
        <v>0</v>
      </c>
      <c r="GL124" s="3">
        <f t="shared" si="84"/>
        <v>0</v>
      </c>
      <c r="GM124" s="3">
        <f t="shared" si="84"/>
        <v>0</v>
      </c>
      <c r="GN124" s="3">
        <f t="shared" si="84"/>
        <v>0</v>
      </c>
      <c r="GO124" s="3">
        <f t="shared" si="84"/>
        <v>0</v>
      </c>
      <c r="GP124" s="3">
        <f t="shared" si="84"/>
        <v>0</v>
      </c>
      <c r="GQ124" s="3">
        <f t="shared" si="84"/>
        <v>0</v>
      </c>
      <c r="GR124" s="3">
        <f t="shared" si="84"/>
        <v>0</v>
      </c>
      <c r="GS124" s="3">
        <f t="shared" si="84"/>
        <v>0</v>
      </c>
      <c r="GT124" s="3">
        <f t="shared" si="84"/>
        <v>0</v>
      </c>
      <c r="GU124" s="3">
        <f t="shared" si="84"/>
        <v>0</v>
      </c>
      <c r="GV124" s="3">
        <f t="shared" si="84"/>
        <v>0</v>
      </c>
      <c r="GW124" s="3">
        <f t="shared" si="84"/>
        <v>0</v>
      </c>
      <c r="GX124" s="3">
        <f t="shared" si="84"/>
        <v>0</v>
      </c>
    </row>
    <row r="126" spans="1:245" x14ac:dyDescent="0.2">
      <c r="A126">
        <v>17</v>
      </c>
      <c r="B126">
        <v>1</v>
      </c>
      <c r="C126">
        <f>ROW(SmtRes!A63)</f>
        <v>63</v>
      </c>
      <c r="D126">
        <f>ROW(EtalonRes!A54)</f>
        <v>54</v>
      </c>
      <c r="E126" t="s">
        <v>177</v>
      </c>
      <c r="F126" t="s">
        <v>178</v>
      </c>
      <c r="G126" t="s">
        <v>179</v>
      </c>
      <c r="H126" t="s">
        <v>180</v>
      </c>
      <c r="I126">
        <v>1</v>
      </c>
      <c r="J126">
        <v>0</v>
      </c>
      <c r="K126">
        <v>1</v>
      </c>
      <c r="O126">
        <f>ROUND(CP126,2)</f>
        <v>4182.6499999999996</v>
      </c>
      <c r="P126">
        <f>ROUND(CQ126*I126,2)</f>
        <v>0</v>
      </c>
      <c r="Q126">
        <f>ROUND(CR126*I126,2)</f>
        <v>0</v>
      </c>
      <c r="R126">
        <f>ROUND(CS126*I126,2)</f>
        <v>0</v>
      </c>
      <c r="S126">
        <f>ROUND(CT126*I126,2)</f>
        <v>4182.6499999999996</v>
      </c>
      <c r="T126">
        <f>ROUND(CU126*I126,2)</f>
        <v>0</v>
      </c>
      <c r="U126">
        <f>CV126*I126</f>
        <v>6.3</v>
      </c>
      <c r="V126">
        <f>CW126*I126</f>
        <v>0</v>
      </c>
      <c r="W126">
        <f>ROUND(CX126*I126,2)</f>
        <v>0</v>
      </c>
      <c r="X126">
        <f>ROUND(CY126,2)</f>
        <v>2927.86</v>
      </c>
      <c r="Y126">
        <f>ROUND(CZ126,2)</f>
        <v>418.27</v>
      </c>
      <c r="AA126">
        <v>76395835</v>
      </c>
      <c r="AB126">
        <f>ROUND((AC126+AD126+AF126),6)</f>
        <v>4182.6499999999996</v>
      </c>
      <c r="AC126">
        <f>ROUND((ES126),6)</f>
        <v>0</v>
      </c>
      <c r="AD126">
        <f>ROUND((((ET126)-(EU126))+AE126),6)</f>
        <v>0</v>
      </c>
      <c r="AE126">
        <f>ROUND((EU126),6)</f>
        <v>0</v>
      </c>
      <c r="AF126">
        <f>ROUND((EV126),6)</f>
        <v>4182.6499999999996</v>
      </c>
      <c r="AG126">
        <f>ROUND((AP126),6)</f>
        <v>0</v>
      </c>
      <c r="AH126">
        <f>(EW126)</f>
        <v>6.3</v>
      </c>
      <c r="AI126">
        <f>(EX126)</f>
        <v>0</v>
      </c>
      <c r="AJ126">
        <f>(AS126)</f>
        <v>0</v>
      </c>
      <c r="AK126">
        <v>4182.6499999999996</v>
      </c>
      <c r="AL126">
        <v>0</v>
      </c>
      <c r="AM126">
        <v>0</v>
      </c>
      <c r="AN126">
        <v>0</v>
      </c>
      <c r="AO126">
        <v>4182.6499999999996</v>
      </c>
      <c r="AP126">
        <v>0</v>
      </c>
      <c r="AQ126">
        <v>6.3</v>
      </c>
      <c r="AR126">
        <v>0</v>
      </c>
      <c r="AS126">
        <v>0</v>
      </c>
      <c r="AT126">
        <v>70</v>
      </c>
      <c r="AU126">
        <v>10</v>
      </c>
      <c r="AV126">
        <v>1</v>
      </c>
      <c r="AW126">
        <v>1</v>
      </c>
      <c r="AZ126">
        <v>1</v>
      </c>
      <c r="BA126">
        <v>1</v>
      </c>
      <c r="BB126">
        <v>1</v>
      </c>
      <c r="BC126">
        <v>1</v>
      </c>
      <c r="BD126" t="s">
        <v>3</v>
      </c>
      <c r="BE126" t="s">
        <v>3</v>
      </c>
      <c r="BF126" t="s">
        <v>3</v>
      </c>
      <c r="BG126" t="s">
        <v>3</v>
      </c>
      <c r="BH126">
        <v>0</v>
      </c>
      <c r="BI126">
        <v>4</v>
      </c>
      <c r="BJ126" t="s">
        <v>181</v>
      </c>
      <c r="BM126">
        <v>0</v>
      </c>
      <c r="BN126">
        <v>0</v>
      </c>
      <c r="BO126" t="s">
        <v>3</v>
      </c>
      <c r="BP126">
        <v>0</v>
      </c>
      <c r="BQ126">
        <v>1</v>
      </c>
      <c r="BR126">
        <v>0</v>
      </c>
      <c r="BS126">
        <v>1</v>
      </c>
      <c r="BT126">
        <v>1</v>
      </c>
      <c r="BU126">
        <v>1</v>
      </c>
      <c r="BV126">
        <v>1</v>
      </c>
      <c r="BW126">
        <v>1</v>
      </c>
      <c r="BX126">
        <v>1</v>
      </c>
      <c r="BY126" t="s">
        <v>3</v>
      </c>
      <c r="BZ126">
        <v>70</v>
      </c>
      <c r="CA126">
        <v>10</v>
      </c>
      <c r="CB126" t="s">
        <v>3</v>
      </c>
      <c r="CE126">
        <v>0</v>
      </c>
      <c r="CF126">
        <v>0</v>
      </c>
      <c r="CG126">
        <v>0</v>
      </c>
      <c r="CM126">
        <v>0</v>
      </c>
      <c r="CN126" t="s">
        <v>3</v>
      </c>
      <c r="CO126">
        <v>0</v>
      </c>
      <c r="CP126">
        <f>(P126+Q126+S126)</f>
        <v>4182.6499999999996</v>
      </c>
      <c r="CQ126">
        <f>(AC126*BC126*AW126)</f>
        <v>0</v>
      </c>
      <c r="CR126">
        <f>((((ET126)*BB126-(EU126)*BS126)+AE126*BS126)*AV126)</f>
        <v>0</v>
      </c>
      <c r="CS126">
        <f>(AE126*BS126*AV126)</f>
        <v>0</v>
      </c>
      <c r="CT126">
        <f>(AF126*BA126*AV126)</f>
        <v>4182.6499999999996</v>
      </c>
      <c r="CU126">
        <f>AG126</f>
        <v>0</v>
      </c>
      <c r="CV126">
        <f>(AH126*AV126)</f>
        <v>6.3</v>
      </c>
      <c r="CW126">
        <f>AI126</f>
        <v>0</v>
      </c>
      <c r="CX126">
        <f>AJ126</f>
        <v>0</v>
      </c>
      <c r="CY126">
        <f>((S126*BZ126)/100)</f>
        <v>2927.855</v>
      </c>
      <c r="CZ126">
        <f>((S126*CA126)/100)</f>
        <v>418.26499999999999</v>
      </c>
      <c r="DC126" t="s">
        <v>3</v>
      </c>
      <c r="DD126" t="s">
        <v>3</v>
      </c>
      <c r="DE126" t="s">
        <v>3</v>
      </c>
      <c r="DF126" t="s">
        <v>3</v>
      </c>
      <c r="DG126" t="s">
        <v>3</v>
      </c>
      <c r="DH126" t="s">
        <v>3</v>
      </c>
      <c r="DI126" t="s">
        <v>3</v>
      </c>
      <c r="DJ126" t="s">
        <v>3</v>
      </c>
      <c r="DK126" t="s">
        <v>3</v>
      </c>
      <c r="DL126" t="s">
        <v>3</v>
      </c>
      <c r="DM126" t="s">
        <v>3</v>
      </c>
      <c r="DN126">
        <v>0</v>
      </c>
      <c r="DO126">
        <v>0</v>
      </c>
      <c r="DP126">
        <v>1</v>
      </c>
      <c r="DQ126">
        <v>1</v>
      </c>
      <c r="DU126">
        <v>1013</v>
      </c>
      <c r="DV126" t="s">
        <v>180</v>
      </c>
      <c r="DW126" t="s">
        <v>180</v>
      </c>
      <c r="DX126">
        <v>1</v>
      </c>
      <c r="DZ126" t="s">
        <v>3</v>
      </c>
      <c r="EA126" t="s">
        <v>3</v>
      </c>
      <c r="EB126" t="s">
        <v>3</v>
      </c>
      <c r="EC126" t="s">
        <v>3</v>
      </c>
      <c r="EE126">
        <v>75858748</v>
      </c>
      <c r="EF126">
        <v>1</v>
      </c>
      <c r="EG126" t="s">
        <v>19</v>
      </c>
      <c r="EH126">
        <v>0</v>
      </c>
      <c r="EI126" t="s">
        <v>3</v>
      </c>
      <c r="EJ126">
        <v>4</v>
      </c>
      <c r="EK126">
        <v>0</v>
      </c>
      <c r="EL126" t="s">
        <v>20</v>
      </c>
      <c r="EM126" t="s">
        <v>21</v>
      </c>
      <c r="EO126" t="s">
        <v>3</v>
      </c>
      <c r="EQ126">
        <v>0</v>
      </c>
      <c r="ER126">
        <v>4182.6499999999996</v>
      </c>
      <c r="ES126">
        <v>0</v>
      </c>
      <c r="ET126">
        <v>0</v>
      </c>
      <c r="EU126">
        <v>0</v>
      </c>
      <c r="EV126">
        <v>4182.6499999999996</v>
      </c>
      <c r="EW126">
        <v>6.3</v>
      </c>
      <c r="EX126">
        <v>0</v>
      </c>
      <c r="EY126">
        <v>0</v>
      </c>
      <c r="FQ126">
        <v>0</v>
      </c>
      <c r="FR126">
        <v>0</v>
      </c>
      <c r="FS126">
        <v>0</v>
      </c>
      <c r="FX126">
        <v>70</v>
      </c>
      <c r="FY126">
        <v>10</v>
      </c>
      <c r="GA126" t="s">
        <v>3</v>
      </c>
      <c r="GD126">
        <v>0</v>
      </c>
      <c r="GF126">
        <v>-399723591</v>
      </c>
      <c r="GG126">
        <v>2</v>
      </c>
      <c r="GH126">
        <v>1</v>
      </c>
      <c r="GI126">
        <v>-2</v>
      </c>
      <c r="GJ126">
        <v>0</v>
      </c>
      <c r="GK126">
        <f>ROUND(R126*(R12)/100,2)</f>
        <v>0</v>
      </c>
      <c r="GL126">
        <f>ROUND(IF(AND(BH126=3,BI126=3,FS126&lt;&gt;0),P126,0),2)</f>
        <v>0</v>
      </c>
      <c r="GM126">
        <f>ROUND(O126+X126+Y126+GK126,2)+GX126</f>
        <v>7528.78</v>
      </c>
      <c r="GN126">
        <f>IF(OR(BI126=0,BI126=1),GM126-GX126,0)</f>
        <v>0</v>
      </c>
      <c r="GO126">
        <f>IF(BI126=2,GM126-GX126,0)</f>
        <v>0</v>
      </c>
      <c r="GP126">
        <f>IF(BI126=4,GM126-GX126,0)</f>
        <v>7528.78</v>
      </c>
      <c r="GR126">
        <v>0</v>
      </c>
      <c r="GS126">
        <v>3</v>
      </c>
      <c r="GT126">
        <v>0</v>
      </c>
      <c r="GU126" t="s">
        <v>3</v>
      </c>
      <c r="GV126">
        <f>ROUND((GT126),6)</f>
        <v>0</v>
      </c>
      <c r="GW126">
        <v>1</v>
      </c>
      <c r="GX126">
        <f>ROUND(HC126*I126,2)</f>
        <v>0</v>
      </c>
      <c r="HA126">
        <v>0</v>
      </c>
      <c r="HB126">
        <v>0</v>
      </c>
      <c r="HC126">
        <f>GV126*GW126</f>
        <v>0</v>
      </c>
      <c r="HE126" t="s">
        <v>3</v>
      </c>
      <c r="HF126" t="s">
        <v>3</v>
      </c>
      <c r="HM126" t="s">
        <v>3</v>
      </c>
      <c r="HN126" t="s">
        <v>3</v>
      </c>
      <c r="HO126" t="s">
        <v>3</v>
      </c>
      <c r="HP126" t="s">
        <v>3</v>
      </c>
      <c r="HQ126" t="s">
        <v>3</v>
      </c>
      <c r="HS126">
        <v>0</v>
      </c>
      <c r="IK126">
        <v>0</v>
      </c>
    </row>
    <row r="128" spans="1:245" x14ac:dyDescent="0.2">
      <c r="A128" s="2">
        <v>51</v>
      </c>
      <c r="B128" s="2">
        <f>B122</f>
        <v>1</v>
      </c>
      <c r="C128" s="2">
        <f>A122</f>
        <v>5</v>
      </c>
      <c r="D128" s="2">
        <f>ROW(A122)</f>
        <v>122</v>
      </c>
      <c r="E128" s="2"/>
      <c r="F128" s="2" t="str">
        <f>IF(F122&lt;&gt;"",F122,"")</f>
        <v>Новый подраздел</v>
      </c>
      <c r="G128" s="2" t="str">
        <f>IF(G122&lt;&gt;"",G122,"")</f>
        <v>Пусконаладочные работы</v>
      </c>
      <c r="H128" s="2">
        <v>0</v>
      </c>
      <c r="I128" s="2"/>
      <c r="J128" s="2"/>
      <c r="K128" s="2"/>
      <c r="L128" s="2"/>
      <c r="M128" s="2"/>
      <c r="N128" s="2"/>
      <c r="O128" s="2">
        <f t="shared" ref="O128:T128" si="85">ROUND(AB128,2)</f>
        <v>4182.6499999999996</v>
      </c>
      <c r="P128" s="2">
        <f t="shared" si="85"/>
        <v>0</v>
      </c>
      <c r="Q128" s="2">
        <f t="shared" si="85"/>
        <v>0</v>
      </c>
      <c r="R128" s="2">
        <f t="shared" si="85"/>
        <v>0</v>
      </c>
      <c r="S128" s="2">
        <f t="shared" si="85"/>
        <v>4182.6499999999996</v>
      </c>
      <c r="T128" s="2">
        <f t="shared" si="85"/>
        <v>0</v>
      </c>
      <c r="U128" s="2">
        <f>AH128</f>
        <v>6.3</v>
      </c>
      <c r="V128" s="2">
        <f>AI128</f>
        <v>0</v>
      </c>
      <c r="W128" s="2">
        <f>ROUND(AJ128,2)</f>
        <v>0</v>
      </c>
      <c r="X128" s="2">
        <f>ROUND(AK128,2)</f>
        <v>2927.86</v>
      </c>
      <c r="Y128" s="2">
        <f>ROUND(AL128,2)</f>
        <v>418.27</v>
      </c>
      <c r="Z128" s="2"/>
      <c r="AA128" s="2"/>
      <c r="AB128" s="2">
        <f>ROUND(SUMIF(AA126:AA126,"=76395835",O126:O126),2)</f>
        <v>4182.6499999999996</v>
      </c>
      <c r="AC128" s="2">
        <f>ROUND(SUMIF(AA126:AA126,"=76395835",P126:P126),2)</f>
        <v>0</v>
      </c>
      <c r="AD128" s="2">
        <f>ROUND(SUMIF(AA126:AA126,"=76395835",Q126:Q126),2)</f>
        <v>0</v>
      </c>
      <c r="AE128" s="2">
        <f>ROUND(SUMIF(AA126:AA126,"=76395835",R126:R126),2)</f>
        <v>0</v>
      </c>
      <c r="AF128" s="2">
        <f>ROUND(SUMIF(AA126:AA126,"=76395835",S126:S126),2)</f>
        <v>4182.6499999999996</v>
      </c>
      <c r="AG128" s="2">
        <f>ROUND(SUMIF(AA126:AA126,"=76395835",T126:T126),2)</f>
        <v>0</v>
      </c>
      <c r="AH128" s="2">
        <f>SUMIF(AA126:AA126,"=76395835",U126:U126)</f>
        <v>6.3</v>
      </c>
      <c r="AI128" s="2">
        <f>SUMIF(AA126:AA126,"=76395835",V126:V126)</f>
        <v>0</v>
      </c>
      <c r="AJ128" s="2">
        <f>ROUND(SUMIF(AA126:AA126,"=76395835",W126:W126),2)</f>
        <v>0</v>
      </c>
      <c r="AK128" s="2">
        <f>ROUND(SUMIF(AA126:AA126,"=76395835",X126:X126),2)</f>
        <v>2927.86</v>
      </c>
      <c r="AL128" s="2">
        <f>ROUND(SUMIF(AA126:AA126,"=76395835",Y126:Y126),2)</f>
        <v>418.27</v>
      </c>
      <c r="AM128" s="2"/>
      <c r="AN128" s="2"/>
      <c r="AO128" s="2">
        <f t="shared" ref="AO128:BD128" si="86">ROUND(BX128,2)</f>
        <v>0</v>
      </c>
      <c r="AP128" s="2">
        <f t="shared" si="86"/>
        <v>0</v>
      </c>
      <c r="AQ128" s="2">
        <f t="shared" si="86"/>
        <v>0</v>
      </c>
      <c r="AR128" s="2">
        <f t="shared" si="86"/>
        <v>7528.78</v>
      </c>
      <c r="AS128" s="2">
        <f t="shared" si="86"/>
        <v>0</v>
      </c>
      <c r="AT128" s="2">
        <f t="shared" si="86"/>
        <v>0</v>
      </c>
      <c r="AU128" s="2">
        <f t="shared" si="86"/>
        <v>7528.78</v>
      </c>
      <c r="AV128" s="2">
        <f t="shared" si="86"/>
        <v>0</v>
      </c>
      <c r="AW128" s="2">
        <f t="shared" si="86"/>
        <v>0</v>
      </c>
      <c r="AX128" s="2">
        <f t="shared" si="86"/>
        <v>0</v>
      </c>
      <c r="AY128" s="2">
        <f t="shared" si="86"/>
        <v>0</v>
      </c>
      <c r="AZ128" s="2">
        <f t="shared" si="86"/>
        <v>0</v>
      </c>
      <c r="BA128" s="2">
        <f t="shared" si="86"/>
        <v>0</v>
      </c>
      <c r="BB128" s="2">
        <f t="shared" si="86"/>
        <v>0</v>
      </c>
      <c r="BC128" s="2">
        <f t="shared" si="86"/>
        <v>0</v>
      </c>
      <c r="BD128" s="2">
        <f t="shared" si="86"/>
        <v>0</v>
      </c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>
        <f>ROUND(SUMIF(AA126:AA126,"=76395835",FQ126:FQ126),2)</f>
        <v>0</v>
      </c>
      <c r="BY128" s="2">
        <f>ROUND(SUMIF(AA126:AA126,"=76395835",FR126:FR126),2)</f>
        <v>0</v>
      </c>
      <c r="BZ128" s="2">
        <f>ROUND(SUMIF(AA126:AA126,"=76395835",GL126:GL126),2)</f>
        <v>0</v>
      </c>
      <c r="CA128" s="2">
        <f>ROUND(SUMIF(AA126:AA126,"=76395835",GM126:GM126),2)</f>
        <v>7528.78</v>
      </c>
      <c r="CB128" s="2">
        <f>ROUND(SUMIF(AA126:AA126,"=76395835",GN126:GN126),2)</f>
        <v>0</v>
      </c>
      <c r="CC128" s="2">
        <f>ROUND(SUMIF(AA126:AA126,"=76395835",GO126:GO126),2)</f>
        <v>0</v>
      </c>
      <c r="CD128" s="2">
        <f>ROUND(SUMIF(AA126:AA126,"=76395835",GP126:GP126),2)</f>
        <v>7528.78</v>
      </c>
      <c r="CE128" s="2">
        <f>AC128-BX128</f>
        <v>0</v>
      </c>
      <c r="CF128" s="2">
        <f>AC128-BY128</f>
        <v>0</v>
      </c>
      <c r="CG128" s="2">
        <f>BX128-BZ128</f>
        <v>0</v>
      </c>
      <c r="CH128" s="2">
        <f>AC128-BX128-BY128+BZ128</f>
        <v>0</v>
      </c>
      <c r="CI128" s="2">
        <f>BY128-BZ128</f>
        <v>0</v>
      </c>
      <c r="CJ128" s="2">
        <f>ROUND(SUMIF(AA126:AA126,"=76395835",GX126:GX126),2)</f>
        <v>0</v>
      </c>
      <c r="CK128" s="2">
        <f>ROUND(SUMIF(AA126:AA126,"=76395835",GY126:GY126),2)</f>
        <v>0</v>
      </c>
      <c r="CL128" s="2">
        <f>ROUND(SUMIF(AA126:AA126,"=76395835",GZ126:GZ126),2)</f>
        <v>0</v>
      </c>
      <c r="CM128" s="2">
        <f>ROUND(SUMIF(AA126:AA126,"=76395835",HD126:HD126),2)</f>
        <v>0</v>
      </c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>
        <v>0</v>
      </c>
    </row>
    <row r="130" spans="1:28" x14ac:dyDescent="0.2">
      <c r="A130" s="4">
        <v>50</v>
      </c>
      <c r="B130" s="4">
        <v>0</v>
      </c>
      <c r="C130" s="4">
        <v>0</v>
      </c>
      <c r="D130" s="4">
        <v>1</v>
      </c>
      <c r="E130" s="4">
        <v>201</v>
      </c>
      <c r="F130" s="4">
        <f>ROUND(Source!O128,O130)</f>
        <v>4182.6499999999996</v>
      </c>
      <c r="G130" s="4" t="s">
        <v>22</v>
      </c>
      <c r="H130" s="4" t="s">
        <v>23</v>
      </c>
      <c r="I130" s="4"/>
      <c r="J130" s="4"/>
      <c r="K130" s="4">
        <v>201</v>
      </c>
      <c r="L130" s="4">
        <v>1</v>
      </c>
      <c r="M130" s="4">
        <v>3</v>
      </c>
      <c r="N130" s="4" t="s">
        <v>3</v>
      </c>
      <c r="O130" s="4">
        <v>2</v>
      </c>
      <c r="P130" s="4"/>
      <c r="Q130" s="4"/>
      <c r="R130" s="4"/>
      <c r="S130" s="4"/>
      <c r="T130" s="4"/>
      <c r="U130" s="4"/>
      <c r="V130" s="4"/>
      <c r="W130" s="4">
        <v>4182.6499999999996</v>
      </c>
      <c r="X130" s="4">
        <v>1</v>
      </c>
      <c r="Y130" s="4">
        <v>4182.6499999999996</v>
      </c>
      <c r="Z130" s="4"/>
      <c r="AA130" s="4"/>
      <c r="AB130" s="4"/>
    </row>
    <row r="131" spans="1:28" x14ac:dyDescent="0.2">
      <c r="A131" s="4">
        <v>50</v>
      </c>
      <c r="B131" s="4">
        <v>0</v>
      </c>
      <c r="C131" s="4">
        <v>0</v>
      </c>
      <c r="D131" s="4">
        <v>1</v>
      </c>
      <c r="E131" s="4">
        <v>202</v>
      </c>
      <c r="F131" s="4">
        <f>ROUND(Source!P128,O131)</f>
        <v>0</v>
      </c>
      <c r="G131" s="4" t="s">
        <v>24</v>
      </c>
      <c r="H131" s="4" t="s">
        <v>25</v>
      </c>
      <c r="I131" s="4"/>
      <c r="J131" s="4"/>
      <c r="K131" s="4">
        <v>202</v>
      </c>
      <c r="L131" s="4">
        <v>2</v>
      </c>
      <c r="M131" s="4">
        <v>3</v>
      </c>
      <c r="N131" s="4" t="s">
        <v>3</v>
      </c>
      <c r="O131" s="4">
        <v>2</v>
      </c>
      <c r="P131" s="4"/>
      <c r="Q131" s="4"/>
      <c r="R131" s="4"/>
      <c r="S131" s="4"/>
      <c r="T131" s="4"/>
      <c r="U131" s="4"/>
      <c r="V131" s="4"/>
      <c r="W131" s="4">
        <v>0</v>
      </c>
      <c r="X131" s="4">
        <v>1</v>
      </c>
      <c r="Y131" s="4">
        <v>0</v>
      </c>
      <c r="Z131" s="4"/>
      <c r="AA131" s="4"/>
      <c r="AB131" s="4"/>
    </row>
    <row r="132" spans="1:28" x14ac:dyDescent="0.2">
      <c r="A132" s="4">
        <v>50</v>
      </c>
      <c r="B132" s="4">
        <v>0</v>
      </c>
      <c r="C132" s="4">
        <v>0</v>
      </c>
      <c r="D132" s="4">
        <v>1</v>
      </c>
      <c r="E132" s="4">
        <v>222</v>
      </c>
      <c r="F132" s="4">
        <f>ROUND(Source!AO128,O132)</f>
        <v>0</v>
      </c>
      <c r="G132" s="4" t="s">
        <v>26</v>
      </c>
      <c r="H132" s="4" t="s">
        <v>27</v>
      </c>
      <c r="I132" s="4"/>
      <c r="J132" s="4"/>
      <c r="K132" s="4">
        <v>222</v>
      </c>
      <c r="L132" s="4">
        <v>3</v>
      </c>
      <c r="M132" s="4">
        <v>3</v>
      </c>
      <c r="N132" s="4" t="s">
        <v>3</v>
      </c>
      <c r="O132" s="4">
        <v>2</v>
      </c>
      <c r="P132" s="4"/>
      <c r="Q132" s="4"/>
      <c r="R132" s="4"/>
      <c r="S132" s="4"/>
      <c r="T132" s="4"/>
      <c r="U132" s="4"/>
      <c r="V132" s="4"/>
      <c r="W132" s="4">
        <v>0</v>
      </c>
      <c r="X132" s="4">
        <v>1</v>
      </c>
      <c r="Y132" s="4">
        <v>0</v>
      </c>
      <c r="Z132" s="4"/>
      <c r="AA132" s="4"/>
      <c r="AB132" s="4"/>
    </row>
    <row r="133" spans="1:28" x14ac:dyDescent="0.2">
      <c r="A133" s="4">
        <v>50</v>
      </c>
      <c r="B133" s="4">
        <v>0</v>
      </c>
      <c r="C133" s="4">
        <v>0</v>
      </c>
      <c r="D133" s="4">
        <v>1</v>
      </c>
      <c r="E133" s="4">
        <v>225</v>
      </c>
      <c r="F133" s="4">
        <f>ROUND(Source!AV128,O133)</f>
        <v>0</v>
      </c>
      <c r="G133" s="4" t="s">
        <v>28</v>
      </c>
      <c r="H133" s="4" t="s">
        <v>29</v>
      </c>
      <c r="I133" s="4"/>
      <c r="J133" s="4"/>
      <c r="K133" s="4">
        <v>225</v>
      </c>
      <c r="L133" s="4">
        <v>4</v>
      </c>
      <c r="M133" s="4">
        <v>3</v>
      </c>
      <c r="N133" s="4" t="s">
        <v>3</v>
      </c>
      <c r="O133" s="4">
        <v>2</v>
      </c>
      <c r="P133" s="4"/>
      <c r="Q133" s="4"/>
      <c r="R133" s="4"/>
      <c r="S133" s="4"/>
      <c r="T133" s="4"/>
      <c r="U133" s="4"/>
      <c r="V133" s="4"/>
      <c r="W133" s="4">
        <v>0</v>
      </c>
      <c r="X133" s="4">
        <v>1</v>
      </c>
      <c r="Y133" s="4">
        <v>0</v>
      </c>
      <c r="Z133" s="4"/>
      <c r="AA133" s="4"/>
      <c r="AB133" s="4"/>
    </row>
    <row r="134" spans="1:28" x14ac:dyDescent="0.2">
      <c r="A134" s="4">
        <v>50</v>
      </c>
      <c r="B134" s="4">
        <v>0</v>
      </c>
      <c r="C134" s="4">
        <v>0</v>
      </c>
      <c r="D134" s="4">
        <v>1</v>
      </c>
      <c r="E134" s="4">
        <v>226</v>
      </c>
      <c r="F134" s="4">
        <f>ROUND(Source!AW128,O134)</f>
        <v>0</v>
      </c>
      <c r="G134" s="4" t="s">
        <v>30</v>
      </c>
      <c r="H134" s="4" t="s">
        <v>31</v>
      </c>
      <c r="I134" s="4"/>
      <c r="J134" s="4"/>
      <c r="K134" s="4">
        <v>226</v>
      </c>
      <c r="L134" s="4">
        <v>5</v>
      </c>
      <c r="M134" s="4">
        <v>3</v>
      </c>
      <c r="N134" s="4" t="s">
        <v>3</v>
      </c>
      <c r="O134" s="4">
        <v>2</v>
      </c>
      <c r="P134" s="4"/>
      <c r="Q134" s="4"/>
      <c r="R134" s="4"/>
      <c r="S134" s="4"/>
      <c r="T134" s="4"/>
      <c r="U134" s="4"/>
      <c r="V134" s="4"/>
      <c r="W134" s="4">
        <v>0</v>
      </c>
      <c r="X134" s="4">
        <v>1</v>
      </c>
      <c r="Y134" s="4">
        <v>0</v>
      </c>
      <c r="Z134" s="4"/>
      <c r="AA134" s="4"/>
      <c r="AB134" s="4"/>
    </row>
    <row r="135" spans="1:28" x14ac:dyDescent="0.2">
      <c r="A135" s="4">
        <v>50</v>
      </c>
      <c r="B135" s="4">
        <v>0</v>
      </c>
      <c r="C135" s="4">
        <v>0</v>
      </c>
      <c r="D135" s="4">
        <v>1</v>
      </c>
      <c r="E135" s="4">
        <v>227</v>
      </c>
      <c r="F135" s="4">
        <f>ROUND(Source!AX128,O135)</f>
        <v>0</v>
      </c>
      <c r="G135" s="4" t="s">
        <v>32</v>
      </c>
      <c r="H135" s="4" t="s">
        <v>33</v>
      </c>
      <c r="I135" s="4"/>
      <c r="J135" s="4"/>
      <c r="K135" s="4">
        <v>227</v>
      </c>
      <c r="L135" s="4">
        <v>6</v>
      </c>
      <c r="M135" s="4">
        <v>3</v>
      </c>
      <c r="N135" s="4" t="s">
        <v>3</v>
      </c>
      <c r="O135" s="4">
        <v>2</v>
      </c>
      <c r="P135" s="4"/>
      <c r="Q135" s="4"/>
      <c r="R135" s="4"/>
      <c r="S135" s="4"/>
      <c r="T135" s="4"/>
      <c r="U135" s="4"/>
      <c r="V135" s="4"/>
      <c r="W135" s="4">
        <v>0</v>
      </c>
      <c r="X135" s="4">
        <v>1</v>
      </c>
      <c r="Y135" s="4">
        <v>0</v>
      </c>
      <c r="Z135" s="4"/>
      <c r="AA135" s="4"/>
      <c r="AB135" s="4"/>
    </row>
    <row r="136" spans="1:28" x14ac:dyDescent="0.2">
      <c r="A136" s="4">
        <v>50</v>
      </c>
      <c r="B136" s="4">
        <v>0</v>
      </c>
      <c r="C136" s="4">
        <v>0</v>
      </c>
      <c r="D136" s="4">
        <v>1</v>
      </c>
      <c r="E136" s="4">
        <v>228</v>
      </c>
      <c r="F136" s="4">
        <f>ROUND(Source!AY128,O136)</f>
        <v>0</v>
      </c>
      <c r="G136" s="4" t="s">
        <v>34</v>
      </c>
      <c r="H136" s="4" t="s">
        <v>35</v>
      </c>
      <c r="I136" s="4"/>
      <c r="J136" s="4"/>
      <c r="K136" s="4">
        <v>228</v>
      </c>
      <c r="L136" s="4">
        <v>7</v>
      </c>
      <c r="M136" s="4">
        <v>3</v>
      </c>
      <c r="N136" s="4" t="s">
        <v>3</v>
      </c>
      <c r="O136" s="4">
        <v>2</v>
      </c>
      <c r="P136" s="4"/>
      <c r="Q136" s="4"/>
      <c r="R136" s="4"/>
      <c r="S136" s="4"/>
      <c r="T136" s="4"/>
      <c r="U136" s="4"/>
      <c r="V136" s="4"/>
      <c r="W136" s="4">
        <v>0</v>
      </c>
      <c r="X136" s="4">
        <v>1</v>
      </c>
      <c r="Y136" s="4">
        <v>0</v>
      </c>
      <c r="Z136" s="4"/>
      <c r="AA136" s="4"/>
      <c r="AB136" s="4"/>
    </row>
    <row r="137" spans="1:28" x14ac:dyDescent="0.2">
      <c r="A137" s="4">
        <v>50</v>
      </c>
      <c r="B137" s="4">
        <v>0</v>
      </c>
      <c r="C137" s="4">
        <v>0</v>
      </c>
      <c r="D137" s="4">
        <v>1</v>
      </c>
      <c r="E137" s="4">
        <v>216</v>
      </c>
      <c r="F137" s="4">
        <f>ROUND(Source!AP128,O137)</f>
        <v>0</v>
      </c>
      <c r="G137" s="4" t="s">
        <v>36</v>
      </c>
      <c r="H137" s="4" t="s">
        <v>37</v>
      </c>
      <c r="I137" s="4"/>
      <c r="J137" s="4"/>
      <c r="K137" s="4">
        <v>216</v>
      </c>
      <c r="L137" s="4">
        <v>8</v>
      </c>
      <c r="M137" s="4">
        <v>3</v>
      </c>
      <c r="N137" s="4" t="s">
        <v>3</v>
      </c>
      <c r="O137" s="4">
        <v>2</v>
      </c>
      <c r="P137" s="4"/>
      <c r="Q137" s="4"/>
      <c r="R137" s="4"/>
      <c r="S137" s="4"/>
      <c r="T137" s="4"/>
      <c r="U137" s="4"/>
      <c r="V137" s="4"/>
      <c r="W137" s="4">
        <v>0</v>
      </c>
      <c r="X137" s="4">
        <v>1</v>
      </c>
      <c r="Y137" s="4">
        <v>0</v>
      </c>
      <c r="Z137" s="4"/>
      <c r="AA137" s="4"/>
      <c r="AB137" s="4"/>
    </row>
    <row r="138" spans="1:28" x14ac:dyDescent="0.2">
      <c r="A138" s="4">
        <v>50</v>
      </c>
      <c r="B138" s="4">
        <v>0</v>
      </c>
      <c r="C138" s="4">
        <v>0</v>
      </c>
      <c r="D138" s="4">
        <v>1</v>
      </c>
      <c r="E138" s="4">
        <v>223</v>
      </c>
      <c r="F138" s="4">
        <f>ROUND(Source!AQ128,O138)</f>
        <v>0</v>
      </c>
      <c r="G138" s="4" t="s">
        <v>38</v>
      </c>
      <c r="H138" s="4" t="s">
        <v>39</v>
      </c>
      <c r="I138" s="4"/>
      <c r="J138" s="4"/>
      <c r="K138" s="4">
        <v>223</v>
      </c>
      <c r="L138" s="4">
        <v>9</v>
      </c>
      <c r="M138" s="4">
        <v>3</v>
      </c>
      <c r="N138" s="4" t="s">
        <v>3</v>
      </c>
      <c r="O138" s="4">
        <v>2</v>
      </c>
      <c r="P138" s="4"/>
      <c r="Q138" s="4"/>
      <c r="R138" s="4"/>
      <c r="S138" s="4"/>
      <c r="T138" s="4"/>
      <c r="U138" s="4"/>
      <c r="V138" s="4"/>
      <c r="W138" s="4">
        <v>0</v>
      </c>
      <c r="X138" s="4">
        <v>1</v>
      </c>
      <c r="Y138" s="4">
        <v>0</v>
      </c>
      <c r="Z138" s="4"/>
      <c r="AA138" s="4"/>
      <c r="AB138" s="4"/>
    </row>
    <row r="139" spans="1:28" x14ac:dyDescent="0.2">
      <c r="A139" s="4">
        <v>50</v>
      </c>
      <c r="B139" s="4">
        <v>0</v>
      </c>
      <c r="C139" s="4">
        <v>0</v>
      </c>
      <c r="D139" s="4">
        <v>1</v>
      </c>
      <c r="E139" s="4">
        <v>229</v>
      </c>
      <c r="F139" s="4">
        <f>ROUND(Source!AZ128,O139)</f>
        <v>0</v>
      </c>
      <c r="G139" s="4" t="s">
        <v>40</v>
      </c>
      <c r="H139" s="4" t="s">
        <v>41</v>
      </c>
      <c r="I139" s="4"/>
      <c r="J139" s="4"/>
      <c r="K139" s="4">
        <v>229</v>
      </c>
      <c r="L139" s="4">
        <v>10</v>
      </c>
      <c r="M139" s="4">
        <v>3</v>
      </c>
      <c r="N139" s="4" t="s">
        <v>3</v>
      </c>
      <c r="O139" s="4">
        <v>2</v>
      </c>
      <c r="P139" s="4"/>
      <c r="Q139" s="4"/>
      <c r="R139" s="4"/>
      <c r="S139" s="4"/>
      <c r="T139" s="4"/>
      <c r="U139" s="4"/>
      <c r="V139" s="4"/>
      <c r="W139" s="4">
        <v>0</v>
      </c>
      <c r="X139" s="4">
        <v>1</v>
      </c>
      <c r="Y139" s="4">
        <v>0</v>
      </c>
      <c r="Z139" s="4"/>
      <c r="AA139" s="4"/>
      <c r="AB139" s="4"/>
    </row>
    <row r="140" spans="1:28" x14ac:dyDescent="0.2">
      <c r="A140" s="4">
        <v>50</v>
      </c>
      <c r="B140" s="4">
        <v>0</v>
      </c>
      <c r="C140" s="4">
        <v>0</v>
      </c>
      <c r="D140" s="4">
        <v>1</v>
      </c>
      <c r="E140" s="4">
        <v>203</v>
      </c>
      <c r="F140" s="4">
        <f>ROUND(Source!Q128,O140)</f>
        <v>0</v>
      </c>
      <c r="G140" s="4" t="s">
        <v>42</v>
      </c>
      <c r="H140" s="4" t="s">
        <v>43</v>
      </c>
      <c r="I140" s="4"/>
      <c r="J140" s="4"/>
      <c r="K140" s="4">
        <v>203</v>
      </c>
      <c r="L140" s="4">
        <v>11</v>
      </c>
      <c r="M140" s="4">
        <v>3</v>
      </c>
      <c r="N140" s="4" t="s">
        <v>3</v>
      </c>
      <c r="O140" s="4">
        <v>2</v>
      </c>
      <c r="P140" s="4"/>
      <c r="Q140" s="4"/>
      <c r="R140" s="4"/>
      <c r="S140" s="4"/>
      <c r="T140" s="4"/>
      <c r="U140" s="4"/>
      <c r="V140" s="4"/>
      <c r="W140" s="4">
        <v>0</v>
      </c>
      <c r="X140" s="4">
        <v>1</v>
      </c>
      <c r="Y140" s="4">
        <v>0</v>
      </c>
      <c r="Z140" s="4"/>
      <c r="AA140" s="4"/>
      <c r="AB140" s="4"/>
    </row>
    <row r="141" spans="1:28" x14ac:dyDescent="0.2">
      <c r="A141" s="4">
        <v>50</v>
      </c>
      <c r="B141" s="4">
        <v>0</v>
      </c>
      <c r="C141" s="4">
        <v>0</v>
      </c>
      <c r="D141" s="4">
        <v>1</v>
      </c>
      <c r="E141" s="4">
        <v>231</v>
      </c>
      <c r="F141" s="4">
        <f>ROUND(Source!BB128,O141)</f>
        <v>0</v>
      </c>
      <c r="G141" s="4" t="s">
        <v>44</v>
      </c>
      <c r="H141" s="4" t="s">
        <v>45</v>
      </c>
      <c r="I141" s="4"/>
      <c r="J141" s="4"/>
      <c r="K141" s="4">
        <v>231</v>
      </c>
      <c r="L141" s="4">
        <v>12</v>
      </c>
      <c r="M141" s="4">
        <v>3</v>
      </c>
      <c r="N141" s="4" t="s">
        <v>3</v>
      </c>
      <c r="O141" s="4">
        <v>2</v>
      </c>
      <c r="P141" s="4"/>
      <c r="Q141" s="4"/>
      <c r="R141" s="4"/>
      <c r="S141" s="4"/>
      <c r="T141" s="4"/>
      <c r="U141" s="4"/>
      <c r="V141" s="4"/>
      <c r="W141" s="4">
        <v>0</v>
      </c>
      <c r="X141" s="4">
        <v>1</v>
      </c>
      <c r="Y141" s="4">
        <v>0</v>
      </c>
      <c r="Z141" s="4"/>
      <c r="AA141" s="4"/>
      <c r="AB141" s="4"/>
    </row>
    <row r="142" spans="1:28" x14ac:dyDescent="0.2">
      <c r="A142" s="4">
        <v>50</v>
      </c>
      <c r="B142" s="4">
        <v>0</v>
      </c>
      <c r="C142" s="4">
        <v>0</v>
      </c>
      <c r="D142" s="4">
        <v>1</v>
      </c>
      <c r="E142" s="4">
        <v>204</v>
      </c>
      <c r="F142" s="4">
        <f>ROUND(Source!R128,O142)</f>
        <v>0</v>
      </c>
      <c r="G142" s="4" t="s">
        <v>46</v>
      </c>
      <c r="H142" s="4" t="s">
        <v>47</v>
      </c>
      <c r="I142" s="4"/>
      <c r="J142" s="4"/>
      <c r="K142" s="4">
        <v>204</v>
      </c>
      <c r="L142" s="4">
        <v>13</v>
      </c>
      <c r="M142" s="4">
        <v>3</v>
      </c>
      <c r="N142" s="4" t="s">
        <v>3</v>
      </c>
      <c r="O142" s="4">
        <v>2</v>
      </c>
      <c r="P142" s="4"/>
      <c r="Q142" s="4"/>
      <c r="R142" s="4"/>
      <c r="S142" s="4"/>
      <c r="T142" s="4"/>
      <c r="U142" s="4"/>
      <c r="V142" s="4"/>
      <c r="W142" s="4">
        <v>0</v>
      </c>
      <c r="X142" s="4">
        <v>1</v>
      </c>
      <c r="Y142" s="4">
        <v>0</v>
      </c>
      <c r="Z142" s="4"/>
      <c r="AA142" s="4"/>
      <c r="AB142" s="4"/>
    </row>
    <row r="143" spans="1:28" x14ac:dyDescent="0.2">
      <c r="A143" s="4">
        <v>50</v>
      </c>
      <c r="B143" s="4">
        <v>0</v>
      </c>
      <c r="C143" s="4">
        <v>0</v>
      </c>
      <c r="D143" s="4">
        <v>1</v>
      </c>
      <c r="E143" s="4">
        <v>205</v>
      </c>
      <c r="F143" s="4">
        <f>ROUND(Source!S128,O143)</f>
        <v>4182.6499999999996</v>
      </c>
      <c r="G143" s="4" t="s">
        <v>48</v>
      </c>
      <c r="H143" s="4" t="s">
        <v>49</v>
      </c>
      <c r="I143" s="4"/>
      <c r="J143" s="4"/>
      <c r="K143" s="4">
        <v>205</v>
      </c>
      <c r="L143" s="4">
        <v>14</v>
      </c>
      <c r="M143" s="4">
        <v>3</v>
      </c>
      <c r="N143" s="4" t="s">
        <v>3</v>
      </c>
      <c r="O143" s="4">
        <v>2</v>
      </c>
      <c r="P143" s="4"/>
      <c r="Q143" s="4"/>
      <c r="R143" s="4"/>
      <c r="S143" s="4"/>
      <c r="T143" s="4"/>
      <c r="U143" s="4"/>
      <c r="V143" s="4"/>
      <c r="W143" s="4">
        <v>4182.6499999999996</v>
      </c>
      <c r="X143" s="4">
        <v>1</v>
      </c>
      <c r="Y143" s="4">
        <v>4182.6499999999996</v>
      </c>
      <c r="Z143" s="4"/>
      <c r="AA143" s="4"/>
      <c r="AB143" s="4"/>
    </row>
    <row r="144" spans="1:28" x14ac:dyDescent="0.2">
      <c r="A144" s="4">
        <v>50</v>
      </c>
      <c r="B144" s="4">
        <v>0</v>
      </c>
      <c r="C144" s="4">
        <v>0</v>
      </c>
      <c r="D144" s="4">
        <v>1</v>
      </c>
      <c r="E144" s="4">
        <v>232</v>
      </c>
      <c r="F144" s="4">
        <f>ROUND(Source!BC128,O144)</f>
        <v>0</v>
      </c>
      <c r="G144" s="4" t="s">
        <v>50</v>
      </c>
      <c r="H144" s="4" t="s">
        <v>51</v>
      </c>
      <c r="I144" s="4"/>
      <c r="J144" s="4"/>
      <c r="K144" s="4">
        <v>232</v>
      </c>
      <c r="L144" s="4">
        <v>15</v>
      </c>
      <c r="M144" s="4">
        <v>3</v>
      </c>
      <c r="N144" s="4" t="s">
        <v>3</v>
      </c>
      <c r="O144" s="4">
        <v>2</v>
      </c>
      <c r="P144" s="4"/>
      <c r="Q144" s="4"/>
      <c r="R144" s="4"/>
      <c r="S144" s="4"/>
      <c r="T144" s="4"/>
      <c r="U144" s="4"/>
      <c r="V144" s="4"/>
      <c r="W144" s="4">
        <v>0</v>
      </c>
      <c r="X144" s="4">
        <v>1</v>
      </c>
      <c r="Y144" s="4">
        <v>0</v>
      </c>
      <c r="Z144" s="4"/>
      <c r="AA144" s="4"/>
      <c r="AB144" s="4"/>
    </row>
    <row r="145" spans="1:206" x14ac:dyDescent="0.2">
      <c r="A145" s="4">
        <v>50</v>
      </c>
      <c r="B145" s="4">
        <v>0</v>
      </c>
      <c r="C145" s="4">
        <v>0</v>
      </c>
      <c r="D145" s="4">
        <v>1</v>
      </c>
      <c r="E145" s="4">
        <v>214</v>
      </c>
      <c r="F145" s="4">
        <f>ROUND(Source!AS128,O145)</f>
        <v>0</v>
      </c>
      <c r="G145" s="4" t="s">
        <v>52</v>
      </c>
      <c r="H145" s="4" t="s">
        <v>53</v>
      </c>
      <c r="I145" s="4"/>
      <c r="J145" s="4"/>
      <c r="K145" s="4">
        <v>214</v>
      </c>
      <c r="L145" s="4">
        <v>16</v>
      </c>
      <c r="M145" s="4">
        <v>3</v>
      </c>
      <c r="N145" s="4" t="s">
        <v>3</v>
      </c>
      <c r="O145" s="4">
        <v>2</v>
      </c>
      <c r="P145" s="4"/>
      <c r="Q145" s="4"/>
      <c r="R145" s="4"/>
      <c r="S145" s="4"/>
      <c r="T145" s="4"/>
      <c r="U145" s="4"/>
      <c r="V145" s="4"/>
      <c r="W145" s="4">
        <v>0</v>
      </c>
      <c r="X145" s="4">
        <v>1</v>
      </c>
      <c r="Y145" s="4">
        <v>0</v>
      </c>
      <c r="Z145" s="4"/>
      <c r="AA145" s="4"/>
      <c r="AB145" s="4"/>
    </row>
    <row r="146" spans="1:206" x14ac:dyDescent="0.2">
      <c r="A146" s="4">
        <v>50</v>
      </c>
      <c r="B146" s="4">
        <v>0</v>
      </c>
      <c r="C146" s="4">
        <v>0</v>
      </c>
      <c r="D146" s="4">
        <v>1</v>
      </c>
      <c r="E146" s="4">
        <v>215</v>
      </c>
      <c r="F146" s="4">
        <f>ROUND(Source!AT128,O146)</f>
        <v>0</v>
      </c>
      <c r="G146" s="4" t="s">
        <v>54</v>
      </c>
      <c r="H146" s="4" t="s">
        <v>55</v>
      </c>
      <c r="I146" s="4"/>
      <c r="J146" s="4"/>
      <c r="K146" s="4">
        <v>215</v>
      </c>
      <c r="L146" s="4">
        <v>17</v>
      </c>
      <c r="M146" s="4">
        <v>3</v>
      </c>
      <c r="N146" s="4" t="s">
        <v>3</v>
      </c>
      <c r="O146" s="4">
        <v>2</v>
      </c>
      <c r="P146" s="4"/>
      <c r="Q146" s="4"/>
      <c r="R146" s="4"/>
      <c r="S146" s="4"/>
      <c r="T146" s="4"/>
      <c r="U146" s="4"/>
      <c r="V146" s="4"/>
      <c r="W146" s="4">
        <v>0</v>
      </c>
      <c r="X146" s="4">
        <v>1</v>
      </c>
      <c r="Y146" s="4">
        <v>0</v>
      </c>
      <c r="Z146" s="4"/>
      <c r="AA146" s="4"/>
      <c r="AB146" s="4"/>
    </row>
    <row r="147" spans="1:206" x14ac:dyDescent="0.2">
      <c r="A147" s="4">
        <v>50</v>
      </c>
      <c r="B147" s="4">
        <v>0</v>
      </c>
      <c r="C147" s="4">
        <v>0</v>
      </c>
      <c r="D147" s="4">
        <v>1</v>
      </c>
      <c r="E147" s="4">
        <v>217</v>
      </c>
      <c r="F147" s="4">
        <f>ROUND(Source!AU128,O147)</f>
        <v>7528.78</v>
      </c>
      <c r="G147" s="4" t="s">
        <v>56</v>
      </c>
      <c r="H147" s="4" t="s">
        <v>57</v>
      </c>
      <c r="I147" s="4"/>
      <c r="J147" s="4"/>
      <c r="K147" s="4">
        <v>217</v>
      </c>
      <c r="L147" s="4">
        <v>18</v>
      </c>
      <c r="M147" s="4">
        <v>3</v>
      </c>
      <c r="N147" s="4" t="s">
        <v>3</v>
      </c>
      <c r="O147" s="4">
        <v>2</v>
      </c>
      <c r="P147" s="4"/>
      <c r="Q147" s="4"/>
      <c r="R147" s="4"/>
      <c r="S147" s="4"/>
      <c r="T147" s="4"/>
      <c r="U147" s="4"/>
      <c r="V147" s="4"/>
      <c r="W147" s="4">
        <v>7528.78</v>
      </c>
      <c r="X147" s="4">
        <v>1</v>
      </c>
      <c r="Y147" s="4">
        <v>7528.78</v>
      </c>
      <c r="Z147" s="4"/>
      <c r="AA147" s="4"/>
      <c r="AB147" s="4"/>
    </row>
    <row r="148" spans="1:206" x14ac:dyDescent="0.2">
      <c r="A148" s="4">
        <v>50</v>
      </c>
      <c r="B148" s="4">
        <v>0</v>
      </c>
      <c r="C148" s="4">
        <v>0</v>
      </c>
      <c r="D148" s="4">
        <v>1</v>
      </c>
      <c r="E148" s="4">
        <v>230</v>
      </c>
      <c r="F148" s="4">
        <f>ROUND(Source!BA128,O148)</f>
        <v>0</v>
      </c>
      <c r="G148" s="4" t="s">
        <v>58</v>
      </c>
      <c r="H148" s="4" t="s">
        <v>59</v>
      </c>
      <c r="I148" s="4"/>
      <c r="J148" s="4"/>
      <c r="K148" s="4">
        <v>230</v>
      </c>
      <c r="L148" s="4">
        <v>19</v>
      </c>
      <c r="M148" s="4">
        <v>3</v>
      </c>
      <c r="N148" s="4" t="s">
        <v>3</v>
      </c>
      <c r="O148" s="4">
        <v>2</v>
      </c>
      <c r="P148" s="4"/>
      <c r="Q148" s="4"/>
      <c r="R148" s="4"/>
      <c r="S148" s="4"/>
      <c r="T148" s="4"/>
      <c r="U148" s="4"/>
      <c r="V148" s="4"/>
      <c r="W148" s="4">
        <v>0</v>
      </c>
      <c r="X148" s="4">
        <v>1</v>
      </c>
      <c r="Y148" s="4">
        <v>0</v>
      </c>
      <c r="Z148" s="4"/>
      <c r="AA148" s="4"/>
      <c r="AB148" s="4"/>
    </row>
    <row r="149" spans="1:206" x14ac:dyDescent="0.2">
      <c r="A149" s="4">
        <v>50</v>
      </c>
      <c r="B149" s="4">
        <v>0</v>
      </c>
      <c r="C149" s="4">
        <v>0</v>
      </c>
      <c r="D149" s="4">
        <v>1</v>
      </c>
      <c r="E149" s="4">
        <v>206</v>
      </c>
      <c r="F149" s="4">
        <f>ROUND(Source!T128,O149)</f>
        <v>0</v>
      </c>
      <c r="G149" s="4" t="s">
        <v>60</v>
      </c>
      <c r="H149" s="4" t="s">
        <v>61</v>
      </c>
      <c r="I149" s="4"/>
      <c r="J149" s="4"/>
      <c r="K149" s="4">
        <v>206</v>
      </c>
      <c r="L149" s="4">
        <v>20</v>
      </c>
      <c r="M149" s="4">
        <v>3</v>
      </c>
      <c r="N149" s="4" t="s">
        <v>3</v>
      </c>
      <c r="O149" s="4">
        <v>2</v>
      </c>
      <c r="P149" s="4"/>
      <c r="Q149" s="4"/>
      <c r="R149" s="4"/>
      <c r="S149" s="4"/>
      <c r="T149" s="4"/>
      <c r="U149" s="4"/>
      <c r="V149" s="4"/>
      <c r="W149" s="4">
        <v>0</v>
      </c>
      <c r="X149" s="4">
        <v>1</v>
      </c>
      <c r="Y149" s="4">
        <v>0</v>
      </c>
      <c r="Z149" s="4"/>
      <c r="AA149" s="4"/>
      <c r="AB149" s="4"/>
    </row>
    <row r="150" spans="1:206" x14ac:dyDescent="0.2">
      <c r="A150" s="4">
        <v>50</v>
      </c>
      <c r="B150" s="4">
        <v>0</v>
      </c>
      <c r="C150" s="4">
        <v>0</v>
      </c>
      <c r="D150" s="4">
        <v>1</v>
      </c>
      <c r="E150" s="4">
        <v>207</v>
      </c>
      <c r="F150" s="4">
        <f>Source!U128</f>
        <v>6.3</v>
      </c>
      <c r="G150" s="4" t="s">
        <v>62</v>
      </c>
      <c r="H150" s="4" t="s">
        <v>63</v>
      </c>
      <c r="I150" s="4"/>
      <c r="J150" s="4"/>
      <c r="K150" s="4">
        <v>207</v>
      </c>
      <c r="L150" s="4">
        <v>21</v>
      </c>
      <c r="M150" s="4">
        <v>3</v>
      </c>
      <c r="N150" s="4" t="s">
        <v>3</v>
      </c>
      <c r="O150" s="4">
        <v>-1</v>
      </c>
      <c r="P150" s="4"/>
      <c r="Q150" s="4"/>
      <c r="R150" s="4"/>
      <c r="S150" s="4"/>
      <c r="T150" s="4"/>
      <c r="U150" s="4"/>
      <c r="V150" s="4"/>
      <c r="W150" s="4">
        <v>6.3</v>
      </c>
      <c r="X150" s="4">
        <v>1</v>
      </c>
      <c r="Y150" s="4">
        <v>6.3</v>
      </c>
      <c r="Z150" s="4"/>
      <c r="AA150" s="4"/>
      <c r="AB150" s="4"/>
    </row>
    <row r="151" spans="1:206" x14ac:dyDescent="0.2">
      <c r="A151" s="4">
        <v>50</v>
      </c>
      <c r="B151" s="4">
        <v>0</v>
      </c>
      <c r="C151" s="4">
        <v>0</v>
      </c>
      <c r="D151" s="4">
        <v>1</v>
      </c>
      <c r="E151" s="4">
        <v>208</v>
      </c>
      <c r="F151" s="4">
        <f>Source!V128</f>
        <v>0</v>
      </c>
      <c r="G151" s="4" t="s">
        <v>64</v>
      </c>
      <c r="H151" s="4" t="s">
        <v>65</v>
      </c>
      <c r="I151" s="4"/>
      <c r="J151" s="4"/>
      <c r="K151" s="4">
        <v>208</v>
      </c>
      <c r="L151" s="4">
        <v>22</v>
      </c>
      <c r="M151" s="4">
        <v>3</v>
      </c>
      <c r="N151" s="4" t="s">
        <v>3</v>
      </c>
      <c r="O151" s="4">
        <v>-1</v>
      </c>
      <c r="P151" s="4"/>
      <c r="Q151" s="4"/>
      <c r="R151" s="4"/>
      <c r="S151" s="4"/>
      <c r="T151" s="4"/>
      <c r="U151" s="4"/>
      <c r="V151" s="4"/>
      <c r="W151" s="4">
        <v>0</v>
      </c>
      <c r="X151" s="4">
        <v>1</v>
      </c>
      <c r="Y151" s="4">
        <v>0</v>
      </c>
      <c r="Z151" s="4"/>
      <c r="AA151" s="4"/>
      <c r="AB151" s="4"/>
    </row>
    <row r="152" spans="1:206" x14ac:dyDescent="0.2">
      <c r="A152" s="4">
        <v>50</v>
      </c>
      <c r="B152" s="4">
        <v>0</v>
      </c>
      <c r="C152" s="4">
        <v>0</v>
      </c>
      <c r="D152" s="4">
        <v>1</v>
      </c>
      <c r="E152" s="4">
        <v>209</v>
      </c>
      <c r="F152" s="4">
        <f>ROUND(Source!W128,O152)</f>
        <v>0</v>
      </c>
      <c r="G152" s="4" t="s">
        <v>66</v>
      </c>
      <c r="H152" s="4" t="s">
        <v>67</v>
      </c>
      <c r="I152" s="4"/>
      <c r="J152" s="4"/>
      <c r="K152" s="4">
        <v>209</v>
      </c>
      <c r="L152" s="4">
        <v>23</v>
      </c>
      <c r="M152" s="4">
        <v>3</v>
      </c>
      <c r="N152" s="4" t="s">
        <v>3</v>
      </c>
      <c r="O152" s="4">
        <v>2</v>
      </c>
      <c r="P152" s="4"/>
      <c r="Q152" s="4"/>
      <c r="R152" s="4"/>
      <c r="S152" s="4"/>
      <c r="T152" s="4"/>
      <c r="U152" s="4"/>
      <c r="V152" s="4"/>
      <c r="W152" s="4">
        <v>0</v>
      </c>
      <c r="X152" s="4">
        <v>1</v>
      </c>
      <c r="Y152" s="4">
        <v>0</v>
      </c>
      <c r="Z152" s="4"/>
      <c r="AA152" s="4"/>
      <c r="AB152" s="4"/>
    </row>
    <row r="153" spans="1:206" x14ac:dyDescent="0.2">
      <c r="A153" s="4">
        <v>50</v>
      </c>
      <c r="B153" s="4">
        <v>0</v>
      </c>
      <c r="C153" s="4">
        <v>0</v>
      </c>
      <c r="D153" s="4">
        <v>1</v>
      </c>
      <c r="E153" s="4">
        <v>233</v>
      </c>
      <c r="F153" s="4">
        <f>ROUND(Source!BD128,O153)</f>
        <v>0</v>
      </c>
      <c r="G153" s="4" t="s">
        <v>68</v>
      </c>
      <c r="H153" s="4" t="s">
        <v>69</v>
      </c>
      <c r="I153" s="4"/>
      <c r="J153" s="4"/>
      <c r="K153" s="4">
        <v>233</v>
      </c>
      <c r="L153" s="4">
        <v>24</v>
      </c>
      <c r="M153" s="4">
        <v>3</v>
      </c>
      <c r="N153" s="4" t="s">
        <v>3</v>
      </c>
      <c r="O153" s="4">
        <v>2</v>
      </c>
      <c r="P153" s="4"/>
      <c r="Q153" s="4"/>
      <c r="R153" s="4"/>
      <c r="S153" s="4"/>
      <c r="T153" s="4"/>
      <c r="U153" s="4"/>
      <c r="V153" s="4"/>
      <c r="W153" s="4">
        <v>0</v>
      </c>
      <c r="X153" s="4">
        <v>1</v>
      </c>
      <c r="Y153" s="4">
        <v>0</v>
      </c>
      <c r="Z153" s="4"/>
      <c r="AA153" s="4"/>
      <c r="AB153" s="4"/>
    </row>
    <row r="154" spans="1:206" x14ac:dyDescent="0.2">
      <c r="A154" s="4">
        <v>50</v>
      </c>
      <c r="B154" s="4">
        <v>0</v>
      </c>
      <c r="C154" s="4">
        <v>0</v>
      </c>
      <c r="D154" s="4">
        <v>1</v>
      </c>
      <c r="E154" s="4">
        <v>210</v>
      </c>
      <c r="F154" s="4">
        <f>ROUND(Source!X128,O154)</f>
        <v>2927.86</v>
      </c>
      <c r="G154" s="4" t="s">
        <v>70</v>
      </c>
      <c r="H154" s="4" t="s">
        <v>71</v>
      </c>
      <c r="I154" s="4"/>
      <c r="J154" s="4"/>
      <c r="K154" s="4">
        <v>210</v>
      </c>
      <c r="L154" s="4">
        <v>25</v>
      </c>
      <c r="M154" s="4">
        <v>3</v>
      </c>
      <c r="N154" s="4" t="s">
        <v>3</v>
      </c>
      <c r="O154" s="4">
        <v>2</v>
      </c>
      <c r="P154" s="4"/>
      <c r="Q154" s="4"/>
      <c r="R154" s="4"/>
      <c r="S154" s="4"/>
      <c r="T154" s="4"/>
      <c r="U154" s="4"/>
      <c r="V154" s="4"/>
      <c r="W154" s="4">
        <v>2927.86</v>
      </c>
      <c r="X154" s="4">
        <v>1</v>
      </c>
      <c r="Y154" s="4">
        <v>2927.86</v>
      </c>
      <c r="Z154" s="4"/>
      <c r="AA154" s="4"/>
      <c r="AB154" s="4"/>
    </row>
    <row r="155" spans="1:206" x14ac:dyDescent="0.2">
      <c r="A155" s="4">
        <v>50</v>
      </c>
      <c r="B155" s="4">
        <v>0</v>
      </c>
      <c r="C155" s="4">
        <v>0</v>
      </c>
      <c r="D155" s="4">
        <v>1</v>
      </c>
      <c r="E155" s="4">
        <v>211</v>
      </c>
      <c r="F155" s="4">
        <f>ROUND(Source!Y128,O155)</f>
        <v>418.27</v>
      </c>
      <c r="G155" s="4" t="s">
        <v>72</v>
      </c>
      <c r="H155" s="4" t="s">
        <v>73</v>
      </c>
      <c r="I155" s="4"/>
      <c r="J155" s="4"/>
      <c r="K155" s="4">
        <v>211</v>
      </c>
      <c r="L155" s="4">
        <v>26</v>
      </c>
      <c r="M155" s="4">
        <v>3</v>
      </c>
      <c r="N155" s="4" t="s">
        <v>3</v>
      </c>
      <c r="O155" s="4">
        <v>2</v>
      </c>
      <c r="P155" s="4"/>
      <c r="Q155" s="4"/>
      <c r="R155" s="4"/>
      <c r="S155" s="4"/>
      <c r="T155" s="4"/>
      <c r="U155" s="4"/>
      <c r="V155" s="4"/>
      <c r="W155" s="4">
        <v>418.27</v>
      </c>
      <c r="X155" s="4">
        <v>1</v>
      </c>
      <c r="Y155" s="4">
        <v>418.27</v>
      </c>
      <c r="Z155" s="4"/>
      <c r="AA155" s="4"/>
      <c r="AB155" s="4"/>
    </row>
    <row r="156" spans="1:206" x14ac:dyDescent="0.2">
      <c r="A156" s="4">
        <v>50</v>
      </c>
      <c r="B156" s="4">
        <v>0</v>
      </c>
      <c r="C156" s="4">
        <v>0</v>
      </c>
      <c r="D156" s="4">
        <v>1</v>
      </c>
      <c r="E156" s="4">
        <v>224</v>
      </c>
      <c r="F156" s="4">
        <f>ROUND(Source!AR128,O156)</f>
        <v>7528.78</v>
      </c>
      <c r="G156" s="4" t="s">
        <v>74</v>
      </c>
      <c r="H156" s="4" t="s">
        <v>75</v>
      </c>
      <c r="I156" s="4"/>
      <c r="J156" s="4"/>
      <c r="K156" s="4">
        <v>224</v>
      </c>
      <c r="L156" s="4">
        <v>27</v>
      </c>
      <c r="M156" s="4">
        <v>3</v>
      </c>
      <c r="N156" s="4" t="s">
        <v>3</v>
      </c>
      <c r="O156" s="4">
        <v>2</v>
      </c>
      <c r="P156" s="4"/>
      <c r="Q156" s="4"/>
      <c r="R156" s="4"/>
      <c r="S156" s="4"/>
      <c r="T156" s="4"/>
      <c r="U156" s="4"/>
      <c r="V156" s="4"/>
      <c r="W156" s="4">
        <v>7528.78</v>
      </c>
      <c r="X156" s="4">
        <v>1</v>
      </c>
      <c r="Y156" s="4">
        <v>7528.78</v>
      </c>
      <c r="Z156" s="4"/>
      <c r="AA156" s="4"/>
      <c r="AB156" s="4"/>
    </row>
    <row r="158" spans="1:206" x14ac:dyDescent="0.2">
      <c r="A158" s="2">
        <v>51</v>
      </c>
      <c r="B158" s="2">
        <f>B60</f>
        <v>1</v>
      </c>
      <c r="C158" s="2">
        <f>A60</f>
        <v>4</v>
      </c>
      <c r="D158" s="2">
        <f>ROW(A60)</f>
        <v>60</v>
      </c>
      <c r="E158" s="2"/>
      <c r="F158" s="2" t="str">
        <f>IF(F60&lt;&gt;"",F60,"")</f>
        <v>Новый раздел</v>
      </c>
      <c r="G158" s="2" t="str">
        <f>IF(G60&lt;&gt;"",G60,"")</f>
        <v>Автоматическая установка пожаротушения тонкораспыленной водой</v>
      </c>
      <c r="H158" s="2">
        <v>0</v>
      </c>
      <c r="I158" s="2"/>
      <c r="J158" s="2"/>
      <c r="K158" s="2"/>
      <c r="L158" s="2"/>
      <c r="M158" s="2"/>
      <c r="N158" s="2"/>
      <c r="O158" s="2">
        <f t="shared" ref="O158:T158" si="87">ROUND(O92+O128+AB158,2)</f>
        <v>381962.97</v>
      </c>
      <c r="P158" s="2">
        <f t="shared" si="87"/>
        <v>3990.9</v>
      </c>
      <c r="Q158" s="2">
        <f t="shared" si="87"/>
        <v>48620.27</v>
      </c>
      <c r="R158" s="2">
        <f t="shared" si="87"/>
        <v>24049.78</v>
      </c>
      <c r="S158" s="2">
        <f t="shared" si="87"/>
        <v>329351.8</v>
      </c>
      <c r="T158" s="2">
        <f t="shared" si="87"/>
        <v>0</v>
      </c>
      <c r="U158" s="2">
        <f>U92+U128+AH158</f>
        <v>379.00049999999999</v>
      </c>
      <c r="V158" s="2">
        <f>V92+V128+AI158</f>
        <v>0</v>
      </c>
      <c r="W158" s="2">
        <f>ROUND(W92+W128+AJ158,2)</f>
        <v>0</v>
      </c>
      <c r="X158" s="2">
        <f>ROUND(X92+X128+AK158,2)</f>
        <v>230546.27</v>
      </c>
      <c r="Y158" s="2">
        <f>ROUND(Y92+Y128+AL158,2)</f>
        <v>32935.18</v>
      </c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>
        <f t="shared" ref="AO158:BD158" si="88">ROUND(AO92+AO128+BX158,2)</f>
        <v>0</v>
      </c>
      <c r="AP158" s="2">
        <f t="shared" si="88"/>
        <v>0</v>
      </c>
      <c r="AQ158" s="2">
        <f t="shared" si="88"/>
        <v>0</v>
      </c>
      <c r="AR158" s="2">
        <f t="shared" si="88"/>
        <v>671418.18</v>
      </c>
      <c r="AS158" s="2">
        <f t="shared" si="88"/>
        <v>0</v>
      </c>
      <c r="AT158" s="2">
        <f t="shared" si="88"/>
        <v>0</v>
      </c>
      <c r="AU158" s="2">
        <f t="shared" si="88"/>
        <v>671418.18</v>
      </c>
      <c r="AV158" s="2">
        <f t="shared" si="88"/>
        <v>3990.9</v>
      </c>
      <c r="AW158" s="2">
        <f t="shared" si="88"/>
        <v>3990.9</v>
      </c>
      <c r="AX158" s="2">
        <f t="shared" si="88"/>
        <v>0</v>
      </c>
      <c r="AY158" s="2">
        <f t="shared" si="88"/>
        <v>3990.9</v>
      </c>
      <c r="AZ158" s="2">
        <f t="shared" si="88"/>
        <v>0</v>
      </c>
      <c r="BA158" s="2">
        <f t="shared" si="88"/>
        <v>0</v>
      </c>
      <c r="BB158" s="2">
        <f t="shared" si="88"/>
        <v>0</v>
      </c>
      <c r="BC158" s="2">
        <f t="shared" si="88"/>
        <v>0</v>
      </c>
      <c r="BD158" s="2">
        <f t="shared" si="88"/>
        <v>0</v>
      </c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3"/>
      <c r="DH158" s="3"/>
      <c r="DI158" s="3"/>
      <c r="DJ158" s="3"/>
      <c r="DK158" s="3"/>
      <c r="DL158" s="3"/>
      <c r="DM158" s="3"/>
      <c r="DN158" s="3"/>
      <c r="DO158" s="3"/>
      <c r="DP158" s="3"/>
      <c r="DQ158" s="3"/>
      <c r="DR158" s="3"/>
      <c r="DS158" s="3"/>
      <c r="DT158" s="3"/>
      <c r="DU158" s="3"/>
      <c r="DV158" s="3"/>
      <c r="DW158" s="3"/>
      <c r="DX158" s="3"/>
      <c r="DY158" s="3"/>
      <c r="DZ158" s="3"/>
      <c r="EA158" s="3"/>
      <c r="EB158" s="3"/>
      <c r="EC158" s="3"/>
      <c r="ED158" s="3"/>
      <c r="EE158" s="3"/>
      <c r="EF158" s="3"/>
      <c r="EG158" s="3"/>
      <c r="EH158" s="3"/>
      <c r="EI158" s="3"/>
      <c r="EJ158" s="3"/>
      <c r="EK158" s="3"/>
      <c r="EL158" s="3"/>
      <c r="EM158" s="3"/>
      <c r="EN158" s="3"/>
      <c r="EO158" s="3"/>
      <c r="EP158" s="3"/>
      <c r="EQ158" s="3"/>
      <c r="ER158" s="3"/>
      <c r="ES158" s="3"/>
      <c r="ET158" s="3"/>
      <c r="EU158" s="3"/>
      <c r="EV158" s="3"/>
      <c r="EW158" s="3"/>
      <c r="EX158" s="3"/>
      <c r="EY158" s="3"/>
      <c r="EZ158" s="3"/>
      <c r="FA158" s="3"/>
      <c r="FB158" s="3"/>
      <c r="FC158" s="3"/>
      <c r="FD158" s="3"/>
      <c r="FE158" s="3"/>
      <c r="FF158" s="3"/>
      <c r="FG158" s="3"/>
      <c r="FH158" s="3"/>
      <c r="FI158" s="3"/>
      <c r="FJ158" s="3"/>
      <c r="FK158" s="3"/>
      <c r="FL158" s="3"/>
      <c r="FM158" s="3"/>
      <c r="FN158" s="3"/>
      <c r="FO158" s="3"/>
      <c r="FP158" s="3"/>
      <c r="FQ158" s="3"/>
      <c r="FR158" s="3"/>
      <c r="FS158" s="3"/>
      <c r="FT158" s="3"/>
      <c r="FU158" s="3"/>
      <c r="FV158" s="3"/>
      <c r="FW158" s="3"/>
      <c r="FX158" s="3"/>
      <c r="FY158" s="3"/>
      <c r="FZ158" s="3"/>
      <c r="GA158" s="3"/>
      <c r="GB158" s="3"/>
      <c r="GC158" s="3"/>
      <c r="GD158" s="3"/>
      <c r="GE158" s="3"/>
      <c r="GF158" s="3"/>
      <c r="GG158" s="3"/>
      <c r="GH158" s="3"/>
      <c r="GI158" s="3"/>
      <c r="GJ158" s="3"/>
      <c r="GK158" s="3"/>
      <c r="GL158" s="3"/>
      <c r="GM158" s="3"/>
      <c r="GN158" s="3"/>
      <c r="GO158" s="3"/>
      <c r="GP158" s="3"/>
      <c r="GQ158" s="3"/>
      <c r="GR158" s="3"/>
      <c r="GS158" s="3"/>
      <c r="GT158" s="3"/>
      <c r="GU158" s="3"/>
      <c r="GV158" s="3"/>
      <c r="GW158" s="3"/>
      <c r="GX158" s="3">
        <v>0</v>
      </c>
    </row>
    <row r="160" spans="1:206" x14ac:dyDescent="0.2">
      <c r="A160" s="4">
        <v>50</v>
      </c>
      <c r="B160" s="4">
        <v>0</v>
      </c>
      <c r="C160" s="4">
        <v>0</v>
      </c>
      <c r="D160" s="4">
        <v>1</v>
      </c>
      <c r="E160" s="4">
        <v>201</v>
      </c>
      <c r="F160" s="4">
        <f>ROUND(Source!O158,O160)</f>
        <v>381962.97</v>
      </c>
      <c r="G160" s="4" t="s">
        <v>22</v>
      </c>
      <c r="H160" s="4" t="s">
        <v>23</v>
      </c>
      <c r="I160" s="4"/>
      <c r="J160" s="4"/>
      <c r="K160" s="4">
        <v>201</v>
      </c>
      <c r="L160" s="4">
        <v>1</v>
      </c>
      <c r="M160" s="4">
        <v>3</v>
      </c>
      <c r="N160" s="4" t="s">
        <v>3</v>
      </c>
      <c r="O160" s="4">
        <v>2</v>
      </c>
      <c r="P160" s="4"/>
      <c r="Q160" s="4"/>
      <c r="R160" s="4"/>
      <c r="S160" s="4"/>
      <c r="T160" s="4"/>
      <c r="U160" s="4"/>
      <c r="V160" s="4"/>
      <c r="W160" s="4">
        <v>381962.97</v>
      </c>
      <c r="X160" s="4">
        <v>1</v>
      </c>
      <c r="Y160" s="4">
        <v>381962.97</v>
      </c>
      <c r="Z160" s="4"/>
      <c r="AA160" s="4"/>
      <c r="AB160" s="4"/>
    </row>
    <row r="161" spans="1:28" x14ac:dyDescent="0.2">
      <c r="A161" s="4">
        <v>50</v>
      </c>
      <c r="B161" s="4">
        <v>0</v>
      </c>
      <c r="C161" s="4">
        <v>0</v>
      </c>
      <c r="D161" s="4">
        <v>1</v>
      </c>
      <c r="E161" s="4">
        <v>202</v>
      </c>
      <c r="F161" s="4">
        <f>ROUND(Source!P158,O161)</f>
        <v>3990.9</v>
      </c>
      <c r="G161" s="4" t="s">
        <v>24</v>
      </c>
      <c r="H161" s="4" t="s">
        <v>25</v>
      </c>
      <c r="I161" s="4"/>
      <c r="J161" s="4"/>
      <c r="K161" s="4">
        <v>202</v>
      </c>
      <c r="L161" s="4">
        <v>2</v>
      </c>
      <c r="M161" s="4">
        <v>3</v>
      </c>
      <c r="N161" s="4" t="s">
        <v>3</v>
      </c>
      <c r="O161" s="4">
        <v>2</v>
      </c>
      <c r="P161" s="4"/>
      <c r="Q161" s="4"/>
      <c r="R161" s="4"/>
      <c r="S161" s="4"/>
      <c r="T161" s="4"/>
      <c r="U161" s="4"/>
      <c r="V161" s="4"/>
      <c r="W161" s="4">
        <v>3990.9</v>
      </c>
      <c r="X161" s="4">
        <v>1</v>
      </c>
      <c r="Y161" s="4">
        <v>3990.9</v>
      </c>
      <c r="Z161" s="4"/>
      <c r="AA161" s="4"/>
      <c r="AB161" s="4"/>
    </row>
    <row r="162" spans="1:28" x14ac:dyDescent="0.2">
      <c r="A162" s="4">
        <v>50</v>
      </c>
      <c r="B162" s="4">
        <v>0</v>
      </c>
      <c r="C162" s="4">
        <v>0</v>
      </c>
      <c r="D162" s="4">
        <v>1</v>
      </c>
      <c r="E162" s="4">
        <v>222</v>
      </c>
      <c r="F162" s="4">
        <f>ROUND(Source!AO158,O162)</f>
        <v>0</v>
      </c>
      <c r="G162" s="4" t="s">
        <v>26</v>
      </c>
      <c r="H162" s="4" t="s">
        <v>27</v>
      </c>
      <c r="I162" s="4"/>
      <c r="J162" s="4"/>
      <c r="K162" s="4">
        <v>222</v>
      </c>
      <c r="L162" s="4">
        <v>3</v>
      </c>
      <c r="M162" s="4">
        <v>3</v>
      </c>
      <c r="N162" s="4" t="s">
        <v>3</v>
      </c>
      <c r="O162" s="4">
        <v>2</v>
      </c>
      <c r="P162" s="4"/>
      <c r="Q162" s="4"/>
      <c r="R162" s="4"/>
      <c r="S162" s="4"/>
      <c r="T162" s="4"/>
      <c r="U162" s="4"/>
      <c r="V162" s="4"/>
      <c r="W162" s="4">
        <v>0</v>
      </c>
      <c r="X162" s="4">
        <v>1</v>
      </c>
      <c r="Y162" s="4">
        <v>0</v>
      </c>
      <c r="Z162" s="4"/>
      <c r="AA162" s="4"/>
      <c r="AB162" s="4"/>
    </row>
    <row r="163" spans="1:28" x14ac:dyDescent="0.2">
      <c r="A163" s="4">
        <v>50</v>
      </c>
      <c r="B163" s="4">
        <v>0</v>
      </c>
      <c r="C163" s="4">
        <v>0</v>
      </c>
      <c r="D163" s="4">
        <v>1</v>
      </c>
      <c r="E163" s="4">
        <v>225</v>
      </c>
      <c r="F163" s="4">
        <f>ROUND(Source!AV158,O163)</f>
        <v>3990.9</v>
      </c>
      <c r="G163" s="4" t="s">
        <v>28</v>
      </c>
      <c r="H163" s="4" t="s">
        <v>29</v>
      </c>
      <c r="I163" s="4"/>
      <c r="J163" s="4"/>
      <c r="K163" s="4">
        <v>225</v>
      </c>
      <c r="L163" s="4">
        <v>4</v>
      </c>
      <c r="M163" s="4">
        <v>3</v>
      </c>
      <c r="N163" s="4" t="s">
        <v>3</v>
      </c>
      <c r="O163" s="4">
        <v>2</v>
      </c>
      <c r="P163" s="4"/>
      <c r="Q163" s="4"/>
      <c r="R163" s="4"/>
      <c r="S163" s="4"/>
      <c r="T163" s="4"/>
      <c r="U163" s="4"/>
      <c r="V163" s="4"/>
      <c r="W163" s="4">
        <v>3990.9</v>
      </c>
      <c r="X163" s="4">
        <v>1</v>
      </c>
      <c r="Y163" s="4">
        <v>3990.9</v>
      </c>
      <c r="Z163" s="4"/>
      <c r="AA163" s="4"/>
      <c r="AB163" s="4"/>
    </row>
    <row r="164" spans="1:28" x14ac:dyDescent="0.2">
      <c r="A164" s="4">
        <v>50</v>
      </c>
      <c r="B164" s="4">
        <v>0</v>
      </c>
      <c r="C164" s="4">
        <v>0</v>
      </c>
      <c r="D164" s="4">
        <v>1</v>
      </c>
      <c r="E164" s="4">
        <v>226</v>
      </c>
      <c r="F164" s="4">
        <f>ROUND(Source!AW158,O164)</f>
        <v>3990.9</v>
      </c>
      <c r="G164" s="4" t="s">
        <v>30</v>
      </c>
      <c r="H164" s="4" t="s">
        <v>31</v>
      </c>
      <c r="I164" s="4"/>
      <c r="J164" s="4"/>
      <c r="K164" s="4">
        <v>226</v>
      </c>
      <c r="L164" s="4">
        <v>5</v>
      </c>
      <c r="M164" s="4">
        <v>3</v>
      </c>
      <c r="N164" s="4" t="s">
        <v>3</v>
      </c>
      <c r="O164" s="4">
        <v>2</v>
      </c>
      <c r="P164" s="4"/>
      <c r="Q164" s="4"/>
      <c r="R164" s="4"/>
      <c r="S164" s="4"/>
      <c r="T164" s="4"/>
      <c r="U164" s="4"/>
      <c r="V164" s="4"/>
      <c r="W164" s="4">
        <v>3990.9</v>
      </c>
      <c r="X164" s="4">
        <v>1</v>
      </c>
      <c r="Y164" s="4">
        <v>3990.9</v>
      </c>
      <c r="Z164" s="4"/>
      <c r="AA164" s="4"/>
      <c r="AB164" s="4"/>
    </row>
    <row r="165" spans="1:28" x14ac:dyDescent="0.2">
      <c r="A165" s="4">
        <v>50</v>
      </c>
      <c r="B165" s="4">
        <v>0</v>
      </c>
      <c r="C165" s="4">
        <v>0</v>
      </c>
      <c r="D165" s="4">
        <v>1</v>
      </c>
      <c r="E165" s="4">
        <v>227</v>
      </c>
      <c r="F165" s="4">
        <f>ROUND(Source!AX158,O165)</f>
        <v>0</v>
      </c>
      <c r="G165" s="4" t="s">
        <v>32</v>
      </c>
      <c r="H165" s="4" t="s">
        <v>33</v>
      </c>
      <c r="I165" s="4"/>
      <c r="J165" s="4"/>
      <c r="K165" s="4">
        <v>227</v>
      </c>
      <c r="L165" s="4">
        <v>6</v>
      </c>
      <c r="M165" s="4">
        <v>3</v>
      </c>
      <c r="N165" s="4" t="s">
        <v>3</v>
      </c>
      <c r="O165" s="4">
        <v>2</v>
      </c>
      <c r="P165" s="4"/>
      <c r="Q165" s="4"/>
      <c r="R165" s="4"/>
      <c r="S165" s="4"/>
      <c r="T165" s="4"/>
      <c r="U165" s="4"/>
      <c r="V165" s="4"/>
      <c r="W165" s="4">
        <v>0</v>
      </c>
      <c r="X165" s="4">
        <v>1</v>
      </c>
      <c r="Y165" s="4">
        <v>0</v>
      </c>
      <c r="Z165" s="4"/>
      <c r="AA165" s="4"/>
      <c r="AB165" s="4"/>
    </row>
    <row r="166" spans="1:28" x14ac:dyDescent="0.2">
      <c r="A166" s="4">
        <v>50</v>
      </c>
      <c r="B166" s="4">
        <v>0</v>
      </c>
      <c r="C166" s="4">
        <v>0</v>
      </c>
      <c r="D166" s="4">
        <v>1</v>
      </c>
      <c r="E166" s="4">
        <v>228</v>
      </c>
      <c r="F166" s="4">
        <f>ROUND(Source!AY158,O166)</f>
        <v>3990.9</v>
      </c>
      <c r="G166" s="4" t="s">
        <v>34</v>
      </c>
      <c r="H166" s="4" t="s">
        <v>35</v>
      </c>
      <c r="I166" s="4"/>
      <c r="J166" s="4"/>
      <c r="K166" s="4">
        <v>228</v>
      </c>
      <c r="L166" s="4">
        <v>7</v>
      </c>
      <c r="M166" s="4">
        <v>3</v>
      </c>
      <c r="N166" s="4" t="s">
        <v>3</v>
      </c>
      <c r="O166" s="4">
        <v>2</v>
      </c>
      <c r="P166" s="4"/>
      <c r="Q166" s="4"/>
      <c r="R166" s="4"/>
      <c r="S166" s="4"/>
      <c r="T166" s="4"/>
      <c r="U166" s="4"/>
      <c r="V166" s="4"/>
      <c r="W166" s="4">
        <v>3990.9</v>
      </c>
      <c r="X166" s="4">
        <v>1</v>
      </c>
      <c r="Y166" s="4">
        <v>3990.9</v>
      </c>
      <c r="Z166" s="4"/>
      <c r="AA166" s="4"/>
      <c r="AB166" s="4"/>
    </row>
    <row r="167" spans="1:28" x14ac:dyDescent="0.2">
      <c r="A167" s="4">
        <v>50</v>
      </c>
      <c r="B167" s="4">
        <v>0</v>
      </c>
      <c r="C167" s="4">
        <v>0</v>
      </c>
      <c r="D167" s="4">
        <v>1</v>
      </c>
      <c r="E167" s="4">
        <v>216</v>
      </c>
      <c r="F167" s="4">
        <f>ROUND(Source!AP158,O167)</f>
        <v>0</v>
      </c>
      <c r="G167" s="4" t="s">
        <v>36</v>
      </c>
      <c r="H167" s="4" t="s">
        <v>37</v>
      </c>
      <c r="I167" s="4"/>
      <c r="J167" s="4"/>
      <c r="K167" s="4">
        <v>216</v>
      </c>
      <c r="L167" s="4">
        <v>8</v>
      </c>
      <c r="M167" s="4">
        <v>3</v>
      </c>
      <c r="N167" s="4" t="s">
        <v>3</v>
      </c>
      <c r="O167" s="4">
        <v>2</v>
      </c>
      <c r="P167" s="4"/>
      <c r="Q167" s="4"/>
      <c r="R167" s="4"/>
      <c r="S167" s="4"/>
      <c r="T167" s="4"/>
      <c r="U167" s="4"/>
      <c r="V167" s="4"/>
      <c r="W167" s="4">
        <v>0</v>
      </c>
      <c r="X167" s="4">
        <v>1</v>
      </c>
      <c r="Y167" s="4">
        <v>0</v>
      </c>
      <c r="Z167" s="4"/>
      <c r="AA167" s="4"/>
      <c r="AB167" s="4"/>
    </row>
    <row r="168" spans="1:28" x14ac:dyDescent="0.2">
      <c r="A168" s="4">
        <v>50</v>
      </c>
      <c r="B168" s="4">
        <v>0</v>
      </c>
      <c r="C168" s="4">
        <v>0</v>
      </c>
      <c r="D168" s="4">
        <v>1</v>
      </c>
      <c r="E168" s="4">
        <v>223</v>
      </c>
      <c r="F168" s="4">
        <f>ROUND(Source!AQ158,O168)</f>
        <v>0</v>
      </c>
      <c r="G168" s="4" t="s">
        <v>38</v>
      </c>
      <c r="H168" s="4" t="s">
        <v>39</v>
      </c>
      <c r="I168" s="4"/>
      <c r="J168" s="4"/>
      <c r="K168" s="4">
        <v>223</v>
      </c>
      <c r="L168" s="4">
        <v>9</v>
      </c>
      <c r="M168" s="4">
        <v>3</v>
      </c>
      <c r="N168" s="4" t="s">
        <v>3</v>
      </c>
      <c r="O168" s="4">
        <v>2</v>
      </c>
      <c r="P168" s="4"/>
      <c r="Q168" s="4"/>
      <c r="R168" s="4"/>
      <c r="S168" s="4"/>
      <c r="T168" s="4"/>
      <c r="U168" s="4"/>
      <c r="V168" s="4"/>
      <c r="W168" s="4">
        <v>0</v>
      </c>
      <c r="X168" s="4">
        <v>1</v>
      </c>
      <c r="Y168" s="4">
        <v>0</v>
      </c>
      <c r="Z168" s="4"/>
      <c r="AA168" s="4"/>
      <c r="AB168" s="4"/>
    </row>
    <row r="169" spans="1:28" x14ac:dyDescent="0.2">
      <c r="A169" s="4">
        <v>50</v>
      </c>
      <c r="B169" s="4">
        <v>0</v>
      </c>
      <c r="C169" s="4">
        <v>0</v>
      </c>
      <c r="D169" s="4">
        <v>1</v>
      </c>
      <c r="E169" s="4">
        <v>229</v>
      </c>
      <c r="F169" s="4">
        <f>ROUND(Source!AZ158,O169)</f>
        <v>0</v>
      </c>
      <c r="G169" s="4" t="s">
        <v>40</v>
      </c>
      <c r="H169" s="4" t="s">
        <v>41</v>
      </c>
      <c r="I169" s="4"/>
      <c r="J169" s="4"/>
      <c r="K169" s="4">
        <v>229</v>
      </c>
      <c r="L169" s="4">
        <v>10</v>
      </c>
      <c r="M169" s="4">
        <v>3</v>
      </c>
      <c r="N169" s="4" t="s">
        <v>3</v>
      </c>
      <c r="O169" s="4">
        <v>2</v>
      </c>
      <c r="P169" s="4"/>
      <c r="Q169" s="4"/>
      <c r="R169" s="4"/>
      <c r="S169" s="4"/>
      <c r="T169" s="4"/>
      <c r="U169" s="4"/>
      <c r="V169" s="4"/>
      <c r="W169" s="4">
        <v>0</v>
      </c>
      <c r="X169" s="4">
        <v>1</v>
      </c>
      <c r="Y169" s="4">
        <v>0</v>
      </c>
      <c r="Z169" s="4"/>
      <c r="AA169" s="4"/>
      <c r="AB169" s="4"/>
    </row>
    <row r="170" spans="1:28" x14ac:dyDescent="0.2">
      <c r="A170" s="4">
        <v>50</v>
      </c>
      <c r="B170" s="4">
        <v>0</v>
      </c>
      <c r="C170" s="4">
        <v>0</v>
      </c>
      <c r="D170" s="4">
        <v>1</v>
      </c>
      <c r="E170" s="4">
        <v>203</v>
      </c>
      <c r="F170" s="4">
        <f>ROUND(Source!Q158,O170)</f>
        <v>48620.27</v>
      </c>
      <c r="G170" s="4" t="s">
        <v>42</v>
      </c>
      <c r="H170" s="4" t="s">
        <v>43</v>
      </c>
      <c r="I170" s="4"/>
      <c r="J170" s="4"/>
      <c r="K170" s="4">
        <v>203</v>
      </c>
      <c r="L170" s="4">
        <v>11</v>
      </c>
      <c r="M170" s="4">
        <v>3</v>
      </c>
      <c r="N170" s="4" t="s">
        <v>3</v>
      </c>
      <c r="O170" s="4">
        <v>2</v>
      </c>
      <c r="P170" s="4"/>
      <c r="Q170" s="4"/>
      <c r="R170" s="4"/>
      <c r="S170" s="4"/>
      <c r="T170" s="4"/>
      <c r="U170" s="4"/>
      <c r="V170" s="4"/>
      <c r="W170" s="4">
        <v>48620.27</v>
      </c>
      <c r="X170" s="4">
        <v>1</v>
      </c>
      <c r="Y170" s="4">
        <v>48620.27</v>
      </c>
      <c r="Z170" s="4"/>
      <c r="AA170" s="4"/>
      <c r="AB170" s="4"/>
    </row>
    <row r="171" spans="1:28" x14ac:dyDescent="0.2">
      <c r="A171" s="4">
        <v>50</v>
      </c>
      <c r="B171" s="4">
        <v>0</v>
      </c>
      <c r="C171" s="4">
        <v>0</v>
      </c>
      <c r="D171" s="4">
        <v>1</v>
      </c>
      <c r="E171" s="4">
        <v>231</v>
      </c>
      <c r="F171" s="4">
        <f>ROUND(Source!BB158,O171)</f>
        <v>0</v>
      </c>
      <c r="G171" s="4" t="s">
        <v>44</v>
      </c>
      <c r="H171" s="4" t="s">
        <v>45</v>
      </c>
      <c r="I171" s="4"/>
      <c r="J171" s="4"/>
      <c r="K171" s="4">
        <v>231</v>
      </c>
      <c r="L171" s="4">
        <v>12</v>
      </c>
      <c r="M171" s="4">
        <v>3</v>
      </c>
      <c r="N171" s="4" t="s">
        <v>3</v>
      </c>
      <c r="O171" s="4">
        <v>2</v>
      </c>
      <c r="P171" s="4"/>
      <c r="Q171" s="4"/>
      <c r="R171" s="4"/>
      <c r="S171" s="4"/>
      <c r="T171" s="4"/>
      <c r="U171" s="4"/>
      <c r="V171" s="4"/>
      <c r="W171" s="4">
        <v>0</v>
      </c>
      <c r="X171" s="4">
        <v>1</v>
      </c>
      <c r="Y171" s="4">
        <v>0</v>
      </c>
      <c r="Z171" s="4"/>
      <c r="AA171" s="4"/>
      <c r="AB171" s="4"/>
    </row>
    <row r="172" spans="1:28" x14ac:dyDescent="0.2">
      <c r="A172" s="4">
        <v>50</v>
      </c>
      <c r="B172" s="4">
        <v>0</v>
      </c>
      <c r="C172" s="4">
        <v>0</v>
      </c>
      <c r="D172" s="4">
        <v>1</v>
      </c>
      <c r="E172" s="4">
        <v>204</v>
      </c>
      <c r="F172" s="4">
        <f>ROUND(Source!R158,O172)</f>
        <v>24049.78</v>
      </c>
      <c r="G172" s="4" t="s">
        <v>46</v>
      </c>
      <c r="H172" s="4" t="s">
        <v>47</v>
      </c>
      <c r="I172" s="4"/>
      <c r="J172" s="4"/>
      <c r="K172" s="4">
        <v>204</v>
      </c>
      <c r="L172" s="4">
        <v>13</v>
      </c>
      <c r="M172" s="4">
        <v>3</v>
      </c>
      <c r="N172" s="4" t="s">
        <v>3</v>
      </c>
      <c r="O172" s="4">
        <v>2</v>
      </c>
      <c r="P172" s="4"/>
      <c r="Q172" s="4"/>
      <c r="R172" s="4"/>
      <c r="S172" s="4"/>
      <c r="T172" s="4"/>
      <c r="U172" s="4"/>
      <c r="V172" s="4"/>
      <c r="W172" s="4">
        <v>24049.78</v>
      </c>
      <c r="X172" s="4">
        <v>1</v>
      </c>
      <c r="Y172" s="4">
        <v>24049.78</v>
      </c>
      <c r="Z172" s="4"/>
      <c r="AA172" s="4"/>
      <c r="AB172" s="4"/>
    </row>
    <row r="173" spans="1:28" x14ac:dyDescent="0.2">
      <c r="A173" s="4">
        <v>50</v>
      </c>
      <c r="B173" s="4">
        <v>0</v>
      </c>
      <c r="C173" s="4">
        <v>0</v>
      </c>
      <c r="D173" s="4">
        <v>1</v>
      </c>
      <c r="E173" s="4">
        <v>205</v>
      </c>
      <c r="F173" s="4">
        <f>ROUND(Source!S158,O173)</f>
        <v>329351.8</v>
      </c>
      <c r="G173" s="4" t="s">
        <v>48</v>
      </c>
      <c r="H173" s="4" t="s">
        <v>49</v>
      </c>
      <c r="I173" s="4"/>
      <c r="J173" s="4"/>
      <c r="K173" s="4">
        <v>205</v>
      </c>
      <c r="L173" s="4">
        <v>14</v>
      </c>
      <c r="M173" s="4">
        <v>3</v>
      </c>
      <c r="N173" s="4" t="s">
        <v>3</v>
      </c>
      <c r="O173" s="4">
        <v>2</v>
      </c>
      <c r="P173" s="4"/>
      <c r="Q173" s="4"/>
      <c r="R173" s="4"/>
      <c r="S173" s="4"/>
      <c r="T173" s="4"/>
      <c r="U173" s="4"/>
      <c r="V173" s="4"/>
      <c r="W173" s="4">
        <v>329351.8</v>
      </c>
      <c r="X173" s="4">
        <v>1</v>
      </c>
      <c r="Y173" s="4">
        <v>329351.8</v>
      </c>
      <c r="Z173" s="4"/>
      <c r="AA173" s="4"/>
      <c r="AB173" s="4"/>
    </row>
    <row r="174" spans="1:28" x14ac:dyDescent="0.2">
      <c r="A174" s="4">
        <v>50</v>
      </c>
      <c r="B174" s="4">
        <v>0</v>
      </c>
      <c r="C174" s="4">
        <v>0</v>
      </c>
      <c r="D174" s="4">
        <v>1</v>
      </c>
      <c r="E174" s="4">
        <v>232</v>
      </c>
      <c r="F174" s="4">
        <f>ROUND(Source!BC158,O174)</f>
        <v>0</v>
      </c>
      <c r="G174" s="4" t="s">
        <v>50</v>
      </c>
      <c r="H174" s="4" t="s">
        <v>51</v>
      </c>
      <c r="I174" s="4"/>
      <c r="J174" s="4"/>
      <c r="K174" s="4">
        <v>232</v>
      </c>
      <c r="L174" s="4">
        <v>15</v>
      </c>
      <c r="M174" s="4">
        <v>3</v>
      </c>
      <c r="N174" s="4" t="s">
        <v>3</v>
      </c>
      <c r="O174" s="4">
        <v>2</v>
      </c>
      <c r="P174" s="4"/>
      <c r="Q174" s="4"/>
      <c r="R174" s="4"/>
      <c r="S174" s="4"/>
      <c r="T174" s="4"/>
      <c r="U174" s="4"/>
      <c r="V174" s="4"/>
      <c r="W174" s="4">
        <v>0</v>
      </c>
      <c r="X174" s="4">
        <v>1</v>
      </c>
      <c r="Y174" s="4">
        <v>0</v>
      </c>
      <c r="Z174" s="4"/>
      <c r="AA174" s="4"/>
      <c r="AB174" s="4"/>
    </row>
    <row r="175" spans="1:28" x14ac:dyDescent="0.2">
      <c r="A175" s="4">
        <v>50</v>
      </c>
      <c r="B175" s="4">
        <v>0</v>
      </c>
      <c r="C175" s="4">
        <v>0</v>
      </c>
      <c r="D175" s="4">
        <v>1</v>
      </c>
      <c r="E175" s="4">
        <v>214</v>
      </c>
      <c r="F175" s="4">
        <f>ROUND(Source!AS158,O175)</f>
        <v>0</v>
      </c>
      <c r="G175" s="4" t="s">
        <v>52</v>
      </c>
      <c r="H175" s="4" t="s">
        <v>53</v>
      </c>
      <c r="I175" s="4"/>
      <c r="J175" s="4"/>
      <c r="K175" s="4">
        <v>214</v>
      </c>
      <c r="L175" s="4">
        <v>16</v>
      </c>
      <c r="M175" s="4">
        <v>3</v>
      </c>
      <c r="N175" s="4" t="s">
        <v>3</v>
      </c>
      <c r="O175" s="4">
        <v>2</v>
      </c>
      <c r="P175" s="4"/>
      <c r="Q175" s="4"/>
      <c r="R175" s="4"/>
      <c r="S175" s="4"/>
      <c r="T175" s="4"/>
      <c r="U175" s="4"/>
      <c r="V175" s="4"/>
      <c r="W175" s="4">
        <v>0</v>
      </c>
      <c r="X175" s="4">
        <v>1</v>
      </c>
      <c r="Y175" s="4">
        <v>0</v>
      </c>
      <c r="Z175" s="4"/>
      <c r="AA175" s="4"/>
      <c r="AB175" s="4"/>
    </row>
    <row r="176" spans="1:28" x14ac:dyDescent="0.2">
      <c r="A176" s="4">
        <v>50</v>
      </c>
      <c r="B176" s="4">
        <v>0</v>
      </c>
      <c r="C176" s="4">
        <v>0</v>
      </c>
      <c r="D176" s="4">
        <v>1</v>
      </c>
      <c r="E176" s="4">
        <v>215</v>
      </c>
      <c r="F176" s="4">
        <f>ROUND(Source!AT158,O176)</f>
        <v>0</v>
      </c>
      <c r="G176" s="4" t="s">
        <v>54</v>
      </c>
      <c r="H176" s="4" t="s">
        <v>55</v>
      </c>
      <c r="I176" s="4"/>
      <c r="J176" s="4"/>
      <c r="K176" s="4">
        <v>215</v>
      </c>
      <c r="L176" s="4">
        <v>17</v>
      </c>
      <c r="M176" s="4">
        <v>3</v>
      </c>
      <c r="N176" s="4" t="s">
        <v>3</v>
      </c>
      <c r="O176" s="4">
        <v>2</v>
      </c>
      <c r="P176" s="4"/>
      <c r="Q176" s="4"/>
      <c r="R176" s="4"/>
      <c r="S176" s="4"/>
      <c r="T176" s="4"/>
      <c r="U176" s="4"/>
      <c r="V176" s="4"/>
      <c r="W176" s="4">
        <v>0</v>
      </c>
      <c r="X176" s="4">
        <v>1</v>
      </c>
      <c r="Y176" s="4">
        <v>0</v>
      </c>
      <c r="Z176" s="4"/>
      <c r="AA176" s="4"/>
      <c r="AB176" s="4"/>
    </row>
    <row r="177" spans="1:206" x14ac:dyDescent="0.2">
      <c r="A177" s="4">
        <v>50</v>
      </c>
      <c r="B177" s="4">
        <v>0</v>
      </c>
      <c r="C177" s="4">
        <v>0</v>
      </c>
      <c r="D177" s="4">
        <v>1</v>
      </c>
      <c r="E177" s="4">
        <v>217</v>
      </c>
      <c r="F177" s="4">
        <f>ROUND(Source!AU158,O177)</f>
        <v>671418.18</v>
      </c>
      <c r="G177" s="4" t="s">
        <v>56</v>
      </c>
      <c r="H177" s="4" t="s">
        <v>57</v>
      </c>
      <c r="I177" s="4"/>
      <c r="J177" s="4"/>
      <c r="K177" s="4">
        <v>217</v>
      </c>
      <c r="L177" s="4">
        <v>18</v>
      </c>
      <c r="M177" s="4">
        <v>3</v>
      </c>
      <c r="N177" s="4" t="s">
        <v>3</v>
      </c>
      <c r="O177" s="4">
        <v>2</v>
      </c>
      <c r="P177" s="4"/>
      <c r="Q177" s="4"/>
      <c r="R177" s="4"/>
      <c r="S177" s="4"/>
      <c r="T177" s="4"/>
      <c r="U177" s="4"/>
      <c r="V177" s="4"/>
      <c r="W177" s="4">
        <v>671418.18</v>
      </c>
      <c r="X177" s="4">
        <v>1</v>
      </c>
      <c r="Y177" s="4">
        <v>671418.18</v>
      </c>
      <c r="Z177" s="4"/>
      <c r="AA177" s="4"/>
      <c r="AB177" s="4"/>
    </row>
    <row r="178" spans="1:206" x14ac:dyDescent="0.2">
      <c r="A178" s="4">
        <v>50</v>
      </c>
      <c r="B178" s="4">
        <v>0</v>
      </c>
      <c r="C178" s="4">
        <v>0</v>
      </c>
      <c r="D178" s="4">
        <v>1</v>
      </c>
      <c r="E178" s="4">
        <v>230</v>
      </c>
      <c r="F178" s="4">
        <f>ROUND(Source!BA158,O178)</f>
        <v>0</v>
      </c>
      <c r="G178" s="4" t="s">
        <v>58</v>
      </c>
      <c r="H178" s="4" t="s">
        <v>59</v>
      </c>
      <c r="I178" s="4"/>
      <c r="J178" s="4"/>
      <c r="K178" s="4">
        <v>230</v>
      </c>
      <c r="L178" s="4">
        <v>19</v>
      </c>
      <c r="M178" s="4">
        <v>3</v>
      </c>
      <c r="N178" s="4" t="s">
        <v>3</v>
      </c>
      <c r="O178" s="4">
        <v>2</v>
      </c>
      <c r="P178" s="4"/>
      <c r="Q178" s="4"/>
      <c r="R178" s="4"/>
      <c r="S178" s="4"/>
      <c r="T178" s="4"/>
      <c r="U178" s="4"/>
      <c r="V178" s="4"/>
      <c r="W178" s="4">
        <v>0</v>
      </c>
      <c r="X178" s="4">
        <v>1</v>
      </c>
      <c r="Y178" s="4">
        <v>0</v>
      </c>
      <c r="Z178" s="4"/>
      <c r="AA178" s="4"/>
      <c r="AB178" s="4"/>
    </row>
    <row r="179" spans="1:206" x14ac:dyDescent="0.2">
      <c r="A179" s="4">
        <v>50</v>
      </c>
      <c r="B179" s="4">
        <v>0</v>
      </c>
      <c r="C179" s="4">
        <v>0</v>
      </c>
      <c r="D179" s="4">
        <v>1</v>
      </c>
      <c r="E179" s="4">
        <v>206</v>
      </c>
      <c r="F179" s="4">
        <f>ROUND(Source!T158,O179)</f>
        <v>0</v>
      </c>
      <c r="G179" s="4" t="s">
        <v>60</v>
      </c>
      <c r="H179" s="4" t="s">
        <v>61</v>
      </c>
      <c r="I179" s="4"/>
      <c r="J179" s="4"/>
      <c r="K179" s="4">
        <v>206</v>
      </c>
      <c r="L179" s="4">
        <v>20</v>
      </c>
      <c r="M179" s="4">
        <v>3</v>
      </c>
      <c r="N179" s="4" t="s">
        <v>3</v>
      </c>
      <c r="O179" s="4">
        <v>2</v>
      </c>
      <c r="P179" s="4"/>
      <c r="Q179" s="4"/>
      <c r="R179" s="4"/>
      <c r="S179" s="4"/>
      <c r="T179" s="4"/>
      <c r="U179" s="4"/>
      <c r="V179" s="4"/>
      <c r="W179" s="4">
        <v>0</v>
      </c>
      <c r="X179" s="4">
        <v>1</v>
      </c>
      <c r="Y179" s="4">
        <v>0</v>
      </c>
      <c r="Z179" s="4"/>
      <c r="AA179" s="4"/>
      <c r="AB179" s="4"/>
    </row>
    <row r="180" spans="1:206" x14ac:dyDescent="0.2">
      <c r="A180" s="4">
        <v>50</v>
      </c>
      <c r="B180" s="4">
        <v>0</v>
      </c>
      <c r="C180" s="4">
        <v>0</v>
      </c>
      <c r="D180" s="4">
        <v>1</v>
      </c>
      <c r="E180" s="4">
        <v>207</v>
      </c>
      <c r="F180" s="4">
        <f>Source!U158</f>
        <v>379.00049999999999</v>
      </c>
      <c r="G180" s="4" t="s">
        <v>62</v>
      </c>
      <c r="H180" s="4" t="s">
        <v>63</v>
      </c>
      <c r="I180" s="4"/>
      <c r="J180" s="4"/>
      <c r="K180" s="4">
        <v>207</v>
      </c>
      <c r="L180" s="4">
        <v>21</v>
      </c>
      <c r="M180" s="4">
        <v>3</v>
      </c>
      <c r="N180" s="4" t="s">
        <v>3</v>
      </c>
      <c r="O180" s="4">
        <v>-1</v>
      </c>
      <c r="P180" s="4"/>
      <c r="Q180" s="4"/>
      <c r="R180" s="4"/>
      <c r="S180" s="4"/>
      <c r="T180" s="4"/>
      <c r="U180" s="4"/>
      <c r="V180" s="4"/>
      <c r="W180" s="4">
        <v>379.00049999999999</v>
      </c>
      <c r="X180" s="4">
        <v>1</v>
      </c>
      <c r="Y180" s="4">
        <v>379.00049999999999</v>
      </c>
      <c r="Z180" s="4"/>
      <c r="AA180" s="4"/>
      <c r="AB180" s="4"/>
    </row>
    <row r="181" spans="1:206" x14ac:dyDescent="0.2">
      <c r="A181" s="4">
        <v>50</v>
      </c>
      <c r="B181" s="4">
        <v>0</v>
      </c>
      <c r="C181" s="4">
        <v>0</v>
      </c>
      <c r="D181" s="4">
        <v>1</v>
      </c>
      <c r="E181" s="4">
        <v>208</v>
      </c>
      <c r="F181" s="4">
        <f>Source!V158</f>
        <v>0</v>
      </c>
      <c r="G181" s="4" t="s">
        <v>64</v>
      </c>
      <c r="H181" s="4" t="s">
        <v>65</v>
      </c>
      <c r="I181" s="4"/>
      <c r="J181" s="4"/>
      <c r="K181" s="4">
        <v>208</v>
      </c>
      <c r="L181" s="4">
        <v>22</v>
      </c>
      <c r="M181" s="4">
        <v>3</v>
      </c>
      <c r="N181" s="4" t="s">
        <v>3</v>
      </c>
      <c r="O181" s="4">
        <v>-1</v>
      </c>
      <c r="P181" s="4"/>
      <c r="Q181" s="4"/>
      <c r="R181" s="4"/>
      <c r="S181" s="4"/>
      <c r="T181" s="4"/>
      <c r="U181" s="4"/>
      <c r="V181" s="4"/>
      <c r="W181" s="4">
        <v>0</v>
      </c>
      <c r="X181" s="4">
        <v>1</v>
      </c>
      <c r="Y181" s="4">
        <v>0</v>
      </c>
      <c r="Z181" s="4"/>
      <c r="AA181" s="4"/>
      <c r="AB181" s="4"/>
    </row>
    <row r="182" spans="1:206" x14ac:dyDescent="0.2">
      <c r="A182" s="4">
        <v>50</v>
      </c>
      <c r="B182" s="4">
        <v>0</v>
      </c>
      <c r="C182" s="4">
        <v>0</v>
      </c>
      <c r="D182" s="4">
        <v>1</v>
      </c>
      <c r="E182" s="4">
        <v>209</v>
      </c>
      <c r="F182" s="4">
        <f>ROUND(Source!W158,O182)</f>
        <v>0</v>
      </c>
      <c r="G182" s="4" t="s">
        <v>66</v>
      </c>
      <c r="H182" s="4" t="s">
        <v>67</v>
      </c>
      <c r="I182" s="4"/>
      <c r="J182" s="4"/>
      <c r="K182" s="4">
        <v>209</v>
      </c>
      <c r="L182" s="4">
        <v>23</v>
      </c>
      <c r="M182" s="4">
        <v>3</v>
      </c>
      <c r="N182" s="4" t="s">
        <v>3</v>
      </c>
      <c r="O182" s="4">
        <v>2</v>
      </c>
      <c r="P182" s="4"/>
      <c r="Q182" s="4"/>
      <c r="R182" s="4"/>
      <c r="S182" s="4"/>
      <c r="T182" s="4"/>
      <c r="U182" s="4"/>
      <c r="V182" s="4"/>
      <c r="W182" s="4">
        <v>0</v>
      </c>
      <c r="X182" s="4">
        <v>1</v>
      </c>
      <c r="Y182" s="4">
        <v>0</v>
      </c>
      <c r="Z182" s="4"/>
      <c r="AA182" s="4"/>
      <c r="AB182" s="4"/>
    </row>
    <row r="183" spans="1:206" x14ac:dyDescent="0.2">
      <c r="A183" s="4">
        <v>50</v>
      </c>
      <c r="B183" s="4">
        <v>0</v>
      </c>
      <c r="C183" s="4">
        <v>0</v>
      </c>
      <c r="D183" s="4">
        <v>1</v>
      </c>
      <c r="E183" s="4">
        <v>233</v>
      </c>
      <c r="F183" s="4">
        <f>ROUND(Source!BD158,O183)</f>
        <v>0</v>
      </c>
      <c r="G183" s="4" t="s">
        <v>68</v>
      </c>
      <c r="H183" s="4" t="s">
        <v>69</v>
      </c>
      <c r="I183" s="4"/>
      <c r="J183" s="4"/>
      <c r="K183" s="4">
        <v>233</v>
      </c>
      <c r="L183" s="4">
        <v>24</v>
      </c>
      <c r="M183" s="4">
        <v>3</v>
      </c>
      <c r="N183" s="4" t="s">
        <v>3</v>
      </c>
      <c r="O183" s="4">
        <v>2</v>
      </c>
      <c r="P183" s="4"/>
      <c r="Q183" s="4"/>
      <c r="R183" s="4"/>
      <c r="S183" s="4"/>
      <c r="T183" s="4"/>
      <c r="U183" s="4"/>
      <c r="V183" s="4"/>
      <c r="W183" s="4">
        <v>0</v>
      </c>
      <c r="X183" s="4">
        <v>1</v>
      </c>
      <c r="Y183" s="4">
        <v>0</v>
      </c>
      <c r="Z183" s="4"/>
      <c r="AA183" s="4"/>
      <c r="AB183" s="4"/>
    </row>
    <row r="184" spans="1:206" x14ac:dyDescent="0.2">
      <c r="A184" s="4">
        <v>50</v>
      </c>
      <c r="B184" s="4">
        <v>0</v>
      </c>
      <c r="C184" s="4">
        <v>0</v>
      </c>
      <c r="D184" s="4">
        <v>1</v>
      </c>
      <c r="E184" s="4">
        <v>210</v>
      </c>
      <c r="F184" s="4">
        <f>ROUND(Source!X158,O184)</f>
        <v>230546.27</v>
      </c>
      <c r="G184" s="4" t="s">
        <v>70</v>
      </c>
      <c r="H184" s="4" t="s">
        <v>71</v>
      </c>
      <c r="I184" s="4"/>
      <c r="J184" s="4"/>
      <c r="K184" s="4">
        <v>210</v>
      </c>
      <c r="L184" s="4">
        <v>25</v>
      </c>
      <c r="M184" s="4">
        <v>3</v>
      </c>
      <c r="N184" s="4" t="s">
        <v>3</v>
      </c>
      <c r="O184" s="4">
        <v>2</v>
      </c>
      <c r="P184" s="4"/>
      <c r="Q184" s="4"/>
      <c r="R184" s="4"/>
      <c r="S184" s="4"/>
      <c r="T184" s="4"/>
      <c r="U184" s="4"/>
      <c r="V184" s="4"/>
      <c r="W184" s="4">
        <v>230546.27</v>
      </c>
      <c r="X184" s="4">
        <v>1</v>
      </c>
      <c r="Y184" s="4">
        <v>230546.27</v>
      </c>
      <c r="Z184" s="4"/>
      <c r="AA184" s="4"/>
      <c r="AB184" s="4"/>
    </row>
    <row r="185" spans="1:206" x14ac:dyDescent="0.2">
      <c r="A185" s="4">
        <v>50</v>
      </c>
      <c r="B185" s="4">
        <v>0</v>
      </c>
      <c r="C185" s="4">
        <v>0</v>
      </c>
      <c r="D185" s="4">
        <v>1</v>
      </c>
      <c r="E185" s="4">
        <v>211</v>
      </c>
      <c r="F185" s="4">
        <f>ROUND(Source!Y158,O185)</f>
        <v>32935.18</v>
      </c>
      <c r="G185" s="4" t="s">
        <v>72</v>
      </c>
      <c r="H185" s="4" t="s">
        <v>73</v>
      </c>
      <c r="I185" s="4"/>
      <c r="J185" s="4"/>
      <c r="K185" s="4">
        <v>211</v>
      </c>
      <c r="L185" s="4">
        <v>26</v>
      </c>
      <c r="M185" s="4">
        <v>3</v>
      </c>
      <c r="N185" s="4" t="s">
        <v>3</v>
      </c>
      <c r="O185" s="4">
        <v>2</v>
      </c>
      <c r="P185" s="4"/>
      <c r="Q185" s="4"/>
      <c r="R185" s="4"/>
      <c r="S185" s="4"/>
      <c r="T185" s="4"/>
      <c r="U185" s="4"/>
      <c r="V185" s="4"/>
      <c r="W185" s="4">
        <v>32935.18</v>
      </c>
      <c r="X185" s="4">
        <v>1</v>
      </c>
      <c r="Y185" s="4">
        <v>32935.18</v>
      </c>
      <c r="Z185" s="4"/>
      <c r="AA185" s="4"/>
      <c r="AB185" s="4"/>
    </row>
    <row r="186" spans="1:206" x14ac:dyDescent="0.2">
      <c r="A186" s="4">
        <v>50</v>
      </c>
      <c r="B186" s="4">
        <v>0</v>
      </c>
      <c r="C186" s="4">
        <v>0</v>
      </c>
      <c r="D186" s="4">
        <v>1</v>
      </c>
      <c r="E186" s="4">
        <v>224</v>
      </c>
      <c r="F186" s="4">
        <f>ROUND(Source!AR158,O186)</f>
        <v>671418.18</v>
      </c>
      <c r="G186" s="4" t="s">
        <v>74</v>
      </c>
      <c r="H186" s="4" t="s">
        <v>75</v>
      </c>
      <c r="I186" s="4"/>
      <c r="J186" s="4"/>
      <c r="K186" s="4">
        <v>224</v>
      </c>
      <c r="L186" s="4">
        <v>27</v>
      </c>
      <c r="M186" s="4">
        <v>3</v>
      </c>
      <c r="N186" s="4" t="s">
        <v>3</v>
      </c>
      <c r="O186" s="4">
        <v>2</v>
      </c>
      <c r="P186" s="4"/>
      <c r="Q186" s="4"/>
      <c r="R186" s="4"/>
      <c r="S186" s="4"/>
      <c r="T186" s="4"/>
      <c r="U186" s="4"/>
      <c r="V186" s="4"/>
      <c r="W186" s="4">
        <v>671418.18</v>
      </c>
      <c r="X186" s="4">
        <v>1</v>
      </c>
      <c r="Y186" s="4">
        <v>671418.18</v>
      </c>
      <c r="Z186" s="4"/>
      <c r="AA186" s="4"/>
      <c r="AB186" s="4"/>
    </row>
    <row r="188" spans="1:206" x14ac:dyDescent="0.2">
      <c r="A188" s="2">
        <v>51</v>
      </c>
      <c r="B188" s="2">
        <f>B20</f>
        <v>1</v>
      </c>
      <c r="C188" s="2">
        <f>A20</f>
        <v>3</v>
      </c>
      <c r="D188" s="2">
        <f>ROW(A20)</f>
        <v>20</v>
      </c>
      <c r="E188" s="2"/>
      <c r="F188" s="2" t="str">
        <f>IF(F20&lt;&gt;"",F20,"")</f>
        <v>Новая локальная смета</v>
      </c>
      <c r="G188" s="2" t="str">
        <f>IF(G20&lt;&gt;"",G20,"")</f>
        <v>Пожаротуш.</v>
      </c>
      <c r="H188" s="2">
        <v>0</v>
      </c>
      <c r="I188" s="2"/>
      <c r="J188" s="2"/>
      <c r="K188" s="2"/>
      <c r="L188" s="2"/>
      <c r="M188" s="2"/>
      <c r="N188" s="2"/>
      <c r="O188" s="2">
        <f t="shared" ref="O188:T188" si="89">ROUND(O30+O158+AB188,2)</f>
        <v>481962.97</v>
      </c>
      <c r="P188" s="2">
        <f t="shared" si="89"/>
        <v>103990.9</v>
      </c>
      <c r="Q188" s="2">
        <f t="shared" si="89"/>
        <v>48620.27</v>
      </c>
      <c r="R188" s="2">
        <f t="shared" si="89"/>
        <v>24049.78</v>
      </c>
      <c r="S188" s="2">
        <f t="shared" si="89"/>
        <v>329351.8</v>
      </c>
      <c r="T188" s="2">
        <f t="shared" si="89"/>
        <v>0</v>
      </c>
      <c r="U188" s="2">
        <f>U30+U158+AH188</f>
        <v>379.00049999999999</v>
      </c>
      <c r="V188" s="2">
        <f>V30+V158+AI188</f>
        <v>0</v>
      </c>
      <c r="W188" s="2">
        <f>ROUND(W30+W158+AJ188,2)</f>
        <v>0</v>
      </c>
      <c r="X188" s="2">
        <f>ROUND(X30+X158+AK188,2)</f>
        <v>230546.27</v>
      </c>
      <c r="Y188" s="2">
        <f>ROUND(Y30+Y158+AL188,2)</f>
        <v>32935.18</v>
      </c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>
        <f t="shared" ref="AO188:BD188" si="90">ROUND(AO30+AO158+BX188,2)</f>
        <v>0</v>
      </c>
      <c r="AP188" s="2">
        <f t="shared" si="90"/>
        <v>0</v>
      </c>
      <c r="AQ188" s="2">
        <f t="shared" si="90"/>
        <v>0</v>
      </c>
      <c r="AR188" s="2">
        <f t="shared" si="90"/>
        <v>771418.18</v>
      </c>
      <c r="AS188" s="2">
        <f t="shared" si="90"/>
        <v>0</v>
      </c>
      <c r="AT188" s="2">
        <f t="shared" si="90"/>
        <v>0</v>
      </c>
      <c r="AU188" s="2">
        <f t="shared" si="90"/>
        <v>771418.18</v>
      </c>
      <c r="AV188" s="2">
        <f t="shared" si="90"/>
        <v>103990.9</v>
      </c>
      <c r="AW188" s="2">
        <f t="shared" si="90"/>
        <v>103990.9</v>
      </c>
      <c r="AX188" s="2">
        <f t="shared" si="90"/>
        <v>0</v>
      </c>
      <c r="AY188" s="2">
        <f t="shared" si="90"/>
        <v>103990.9</v>
      </c>
      <c r="AZ188" s="2">
        <f t="shared" si="90"/>
        <v>0</v>
      </c>
      <c r="BA188" s="2">
        <f t="shared" si="90"/>
        <v>0</v>
      </c>
      <c r="BB188" s="2">
        <f t="shared" si="90"/>
        <v>0</v>
      </c>
      <c r="BC188" s="2">
        <f t="shared" si="90"/>
        <v>0</v>
      </c>
      <c r="BD188" s="2">
        <f t="shared" si="90"/>
        <v>0</v>
      </c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3"/>
      <c r="DH188" s="3"/>
      <c r="DI188" s="3"/>
      <c r="DJ188" s="3"/>
      <c r="DK188" s="3"/>
      <c r="DL188" s="3"/>
      <c r="DM188" s="3"/>
      <c r="DN188" s="3"/>
      <c r="DO188" s="3"/>
      <c r="DP188" s="3"/>
      <c r="DQ188" s="3"/>
      <c r="DR188" s="3"/>
      <c r="DS188" s="3"/>
      <c r="DT188" s="3"/>
      <c r="DU188" s="3"/>
      <c r="DV188" s="3"/>
      <c r="DW188" s="3"/>
      <c r="DX188" s="3"/>
      <c r="DY188" s="3"/>
      <c r="DZ188" s="3"/>
      <c r="EA188" s="3"/>
      <c r="EB188" s="3"/>
      <c r="EC188" s="3"/>
      <c r="ED188" s="3"/>
      <c r="EE188" s="3"/>
      <c r="EF188" s="3"/>
      <c r="EG188" s="3"/>
      <c r="EH188" s="3"/>
      <c r="EI188" s="3"/>
      <c r="EJ188" s="3"/>
      <c r="EK188" s="3"/>
      <c r="EL188" s="3"/>
      <c r="EM188" s="3"/>
      <c r="EN188" s="3"/>
      <c r="EO188" s="3"/>
      <c r="EP188" s="3"/>
      <c r="EQ188" s="3"/>
      <c r="ER188" s="3"/>
      <c r="ES188" s="3"/>
      <c r="ET188" s="3"/>
      <c r="EU188" s="3"/>
      <c r="EV188" s="3"/>
      <c r="EW188" s="3"/>
      <c r="EX188" s="3"/>
      <c r="EY188" s="3"/>
      <c r="EZ188" s="3"/>
      <c r="FA188" s="3"/>
      <c r="FB188" s="3"/>
      <c r="FC188" s="3"/>
      <c r="FD188" s="3"/>
      <c r="FE188" s="3"/>
      <c r="FF188" s="3"/>
      <c r="FG188" s="3"/>
      <c r="FH188" s="3"/>
      <c r="FI188" s="3"/>
      <c r="FJ188" s="3"/>
      <c r="FK188" s="3"/>
      <c r="FL188" s="3"/>
      <c r="FM188" s="3"/>
      <c r="FN188" s="3"/>
      <c r="FO188" s="3"/>
      <c r="FP188" s="3"/>
      <c r="FQ188" s="3"/>
      <c r="FR188" s="3"/>
      <c r="FS188" s="3"/>
      <c r="FT188" s="3"/>
      <c r="FU188" s="3"/>
      <c r="FV188" s="3"/>
      <c r="FW188" s="3"/>
      <c r="FX188" s="3"/>
      <c r="FY188" s="3"/>
      <c r="FZ188" s="3"/>
      <c r="GA188" s="3"/>
      <c r="GB188" s="3"/>
      <c r="GC188" s="3"/>
      <c r="GD188" s="3"/>
      <c r="GE188" s="3"/>
      <c r="GF188" s="3"/>
      <c r="GG188" s="3"/>
      <c r="GH188" s="3"/>
      <c r="GI188" s="3"/>
      <c r="GJ188" s="3"/>
      <c r="GK188" s="3"/>
      <c r="GL188" s="3"/>
      <c r="GM188" s="3"/>
      <c r="GN188" s="3"/>
      <c r="GO188" s="3"/>
      <c r="GP188" s="3"/>
      <c r="GQ188" s="3"/>
      <c r="GR188" s="3"/>
      <c r="GS188" s="3"/>
      <c r="GT188" s="3"/>
      <c r="GU188" s="3"/>
      <c r="GV188" s="3"/>
      <c r="GW188" s="3"/>
      <c r="GX188" s="3">
        <v>0</v>
      </c>
    </row>
    <row r="190" spans="1:206" x14ac:dyDescent="0.2">
      <c r="A190" s="4">
        <v>50</v>
      </c>
      <c r="B190" s="4">
        <v>0</v>
      </c>
      <c r="C190" s="4">
        <v>0</v>
      </c>
      <c r="D190" s="4">
        <v>1</v>
      </c>
      <c r="E190" s="4">
        <v>201</v>
      </c>
      <c r="F190" s="4">
        <f>ROUND(Source!O188,O190)</f>
        <v>481962.97</v>
      </c>
      <c r="G190" s="4" t="s">
        <v>22</v>
      </c>
      <c r="H190" s="4" t="s">
        <v>23</v>
      </c>
      <c r="I190" s="4"/>
      <c r="J190" s="4"/>
      <c r="K190" s="4">
        <v>201</v>
      </c>
      <c r="L190" s="4">
        <v>1</v>
      </c>
      <c r="M190" s="4">
        <v>3</v>
      </c>
      <c r="N190" s="4" t="s">
        <v>3</v>
      </c>
      <c r="O190" s="4">
        <v>2</v>
      </c>
      <c r="P190" s="4"/>
      <c r="Q190" s="4"/>
      <c r="R190" s="4"/>
      <c r="S190" s="4"/>
      <c r="T190" s="4"/>
      <c r="U190" s="4"/>
      <c r="V190" s="4"/>
      <c r="W190" s="4">
        <v>481962.97</v>
      </c>
      <c r="X190" s="4">
        <v>1</v>
      </c>
      <c r="Y190" s="4">
        <v>481962.97</v>
      </c>
      <c r="Z190" s="4"/>
      <c r="AA190" s="4"/>
      <c r="AB190" s="4"/>
    </row>
    <row r="191" spans="1:206" x14ac:dyDescent="0.2">
      <c r="A191" s="4">
        <v>50</v>
      </c>
      <c r="B191" s="4">
        <v>0</v>
      </c>
      <c r="C191" s="4">
        <v>0</v>
      </c>
      <c r="D191" s="4">
        <v>1</v>
      </c>
      <c r="E191" s="4">
        <v>202</v>
      </c>
      <c r="F191" s="4">
        <f>ROUND(Source!P188,O191)</f>
        <v>103990.9</v>
      </c>
      <c r="G191" s="4" t="s">
        <v>24</v>
      </c>
      <c r="H191" s="4" t="s">
        <v>25</v>
      </c>
      <c r="I191" s="4"/>
      <c r="J191" s="4"/>
      <c r="K191" s="4">
        <v>202</v>
      </c>
      <c r="L191" s="4">
        <v>2</v>
      </c>
      <c r="M191" s="4">
        <v>3</v>
      </c>
      <c r="N191" s="4" t="s">
        <v>3</v>
      </c>
      <c r="O191" s="4">
        <v>2</v>
      </c>
      <c r="P191" s="4"/>
      <c r="Q191" s="4"/>
      <c r="R191" s="4"/>
      <c r="S191" s="4"/>
      <c r="T191" s="4"/>
      <c r="U191" s="4"/>
      <c r="V191" s="4"/>
      <c r="W191" s="4">
        <v>103990.9</v>
      </c>
      <c r="X191" s="4">
        <v>1</v>
      </c>
      <c r="Y191" s="4">
        <v>103990.9</v>
      </c>
      <c r="Z191" s="4"/>
      <c r="AA191" s="4"/>
      <c r="AB191" s="4"/>
    </row>
    <row r="192" spans="1:206" x14ac:dyDescent="0.2">
      <c r="A192" s="4">
        <v>50</v>
      </c>
      <c r="B192" s="4">
        <v>0</v>
      </c>
      <c r="C192" s="4">
        <v>0</v>
      </c>
      <c r="D192" s="4">
        <v>1</v>
      </c>
      <c r="E192" s="4">
        <v>222</v>
      </c>
      <c r="F192" s="4">
        <f>ROUND(Source!AO188,O192)</f>
        <v>0</v>
      </c>
      <c r="G192" s="4" t="s">
        <v>26</v>
      </c>
      <c r="H192" s="4" t="s">
        <v>27</v>
      </c>
      <c r="I192" s="4"/>
      <c r="J192" s="4"/>
      <c r="K192" s="4">
        <v>222</v>
      </c>
      <c r="L192" s="4">
        <v>3</v>
      </c>
      <c r="M192" s="4">
        <v>3</v>
      </c>
      <c r="N192" s="4" t="s">
        <v>3</v>
      </c>
      <c r="O192" s="4">
        <v>2</v>
      </c>
      <c r="P192" s="4"/>
      <c r="Q192" s="4"/>
      <c r="R192" s="4"/>
      <c r="S192" s="4"/>
      <c r="T192" s="4"/>
      <c r="U192" s="4"/>
      <c r="V192" s="4"/>
      <c r="W192" s="4">
        <v>0</v>
      </c>
      <c r="X192" s="4">
        <v>1</v>
      </c>
      <c r="Y192" s="4">
        <v>0</v>
      </c>
      <c r="Z192" s="4"/>
      <c r="AA192" s="4"/>
      <c r="AB192" s="4"/>
    </row>
    <row r="193" spans="1:28" x14ac:dyDescent="0.2">
      <c r="A193" s="4">
        <v>50</v>
      </c>
      <c r="B193" s="4">
        <v>0</v>
      </c>
      <c r="C193" s="4">
        <v>0</v>
      </c>
      <c r="D193" s="4">
        <v>1</v>
      </c>
      <c r="E193" s="4">
        <v>225</v>
      </c>
      <c r="F193" s="4">
        <f>ROUND(Source!AV188,O193)</f>
        <v>103990.9</v>
      </c>
      <c r="G193" s="4" t="s">
        <v>28</v>
      </c>
      <c r="H193" s="4" t="s">
        <v>29</v>
      </c>
      <c r="I193" s="4"/>
      <c r="J193" s="4"/>
      <c r="K193" s="4">
        <v>225</v>
      </c>
      <c r="L193" s="4">
        <v>4</v>
      </c>
      <c r="M193" s="4">
        <v>3</v>
      </c>
      <c r="N193" s="4" t="s">
        <v>3</v>
      </c>
      <c r="O193" s="4">
        <v>2</v>
      </c>
      <c r="P193" s="4"/>
      <c r="Q193" s="4"/>
      <c r="R193" s="4"/>
      <c r="S193" s="4"/>
      <c r="T193" s="4"/>
      <c r="U193" s="4"/>
      <c r="V193" s="4"/>
      <c r="W193" s="4">
        <v>103990.9</v>
      </c>
      <c r="X193" s="4">
        <v>1</v>
      </c>
      <c r="Y193" s="4">
        <v>103990.9</v>
      </c>
      <c r="Z193" s="4"/>
      <c r="AA193" s="4"/>
      <c r="AB193" s="4"/>
    </row>
    <row r="194" spans="1:28" x14ac:dyDescent="0.2">
      <c r="A194" s="4">
        <v>50</v>
      </c>
      <c r="B194" s="4">
        <v>0</v>
      </c>
      <c r="C194" s="4">
        <v>0</v>
      </c>
      <c r="D194" s="4">
        <v>1</v>
      </c>
      <c r="E194" s="4">
        <v>226</v>
      </c>
      <c r="F194" s="4">
        <f>ROUND(Source!AW188,O194)</f>
        <v>103990.9</v>
      </c>
      <c r="G194" s="4" t="s">
        <v>30</v>
      </c>
      <c r="H194" s="4" t="s">
        <v>31</v>
      </c>
      <c r="I194" s="4"/>
      <c r="J194" s="4"/>
      <c r="K194" s="4">
        <v>226</v>
      </c>
      <c r="L194" s="4">
        <v>5</v>
      </c>
      <c r="M194" s="4">
        <v>3</v>
      </c>
      <c r="N194" s="4" t="s">
        <v>3</v>
      </c>
      <c r="O194" s="4">
        <v>2</v>
      </c>
      <c r="P194" s="4"/>
      <c r="Q194" s="4"/>
      <c r="R194" s="4"/>
      <c r="S194" s="4"/>
      <c r="T194" s="4"/>
      <c r="U194" s="4"/>
      <c r="V194" s="4"/>
      <c r="W194" s="4">
        <v>103990.9</v>
      </c>
      <c r="X194" s="4">
        <v>1</v>
      </c>
      <c r="Y194" s="4">
        <v>103990.9</v>
      </c>
      <c r="Z194" s="4"/>
      <c r="AA194" s="4"/>
      <c r="AB194" s="4"/>
    </row>
    <row r="195" spans="1:28" x14ac:dyDescent="0.2">
      <c r="A195" s="4">
        <v>50</v>
      </c>
      <c r="B195" s="4">
        <v>0</v>
      </c>
      <c r="C195" s="4">
        <v>0</v>
      </c>
      <c r="D195" s="4">
        <v>1</v>
      </c>
      <c r="E195" s="4">
        <v>227</v>
      </c>
      <c r="F195" s="4">
        <f>ROUND(Source!AX188,O195)</f>
        <v>0</v>
      </c>
      <c r="G195" s="4" t="s">
        <v>32</v>
      </c>
      <c r="H195" s="4" t="s">
        <v>33</v>
      </c>
      <c r="I195" s="4"/>
      <c r="J195" s="4"/>
      <c r="K195" s="4">
        <v>227</v>
      </c>
      <c r="L195" s="4">
        <v>6</v>
      </c>
      <c r="M195" s="4">
        <v>3</v>
      </c>
      <c r="N195" s="4" t="s">
        <v>3</v>
      </c>
      <c r="O195" s="4">
        <v>2</v>
      </c>
      <c r="P195" s="4"/>
      <c r="Q195" s="4"/>
      <c r="R195" s="4"/>
      <c r="S195" s="4"/>
      <c r="T195" s="4"/>
      <c r="U195" s="4"/>
      <c r="V195" s="4"/>
      <c r="W195" s="4">
        <v>0</v>
      </c>
      <c r="X195" s="4">
        <v>1</v>
      </c>
      <c r="Y195" s="4">
        <v>0</v>
      </c>
      <c r="Z195" s="4"/>
      <c r="AA195" s="4"/>
      <c r="AB195" s="4"/>
    </row>
    <row r="196" spans="1:28" x14ac:dyDescent="0.2">
      <c r="A196" s="4">
        <v>50</v>
      </c>
      <c r="B196" s="4">
        <v>0</v>
      </c>
      <c r="C196" s="4">
        <v>0</v>
      </c>
      <c r="D196" s="4">
        <v>1</v>
      </c>
      <c r="E196" s="4">
        <v>228</v>
      </c>
      <c r="F196" s="4">
        <f>ROUND(Source!AY188,O196)</f>
        <v>103990.9</v>
      </c>
      <c r="G196" s="4" t="s">
        <v>34</v>
      </c>
      <c r="H196" s="4" t="s">
        <v>35</v>
      </c>
      <c r="I196" s="4"/>
      <c r="J196" s="4"/>
      <c r="K196" s="4">
        <v>228</v>
      </c>
      <c r="L196" s="4">
        <v>7</v>
      </c>
      <c r="M196" s="4">
        <v>3</v>
      </c>
      <c r="N196" s="4" t="s">
        <v>3</v>
      </c>
      <c r="O196" s="4">
        <v>2</v>
      </c>
      <c r="P196" s="4"/>
      <c r="Q196" s="4"/>
      <c r="R196" s="4"/>
      <c r="S196" s="4"/>
      <c r="T196" s="4"/>
      <c r="U196" s="4"/>
      <c r="V196" s="4"/>
      <c r="W196" s="4">
        <v>103990.9</v>
      </c>
      <c r="X196" s="4">
        <v>1</v>
      </c>
      <c r="Y196" s="4">
        <v>103990.9</v>
      </c>
      <c r="Z196" s="4"/>
      <c r="AA196" s="4"/>
      <c r="AB196" s="4"/>
    </row>
    <row r="197" spans="1:28" x14ac:dyDescent="0.2">
      <c r="A197" s="4">
        <v>50</v>
      </c>
      <c r="B197" s="4">
        <v>0</v>
      </c>
      <c r="C197" s="4">
        <v>0</v>
      </c>
      <c r="D197" s="4">
        <v>1</v>
      </c>
      <c r="E197" s="4">
        <v>216</v>
      </c>
      <c r="F197" s="4">
        <f>ROUND(Source!AP188,O197)</f>
        <v>0</v>
      </c>
      <c r="G197" s="4" t="s">
        <v>36</v>
      </c>
      <c r="H197" s="4" t="s">
        <v>37</v>
      </c>
      <c r="I197" s="4"/>
      <c r="J197" s="4"/>
      <c r="K197" s="4">
        <v>216</v>
      </c>
      <c r="L197" s="4">
        <v>8</v>
      </c>
      <c r="M197" s="4">
        <v>3</v>
      </c>
      <c r="N197" s="4" t="s">
        <v>3</v>
      </c>
      <c r="O197" s="4">
        <v>2</v>
      </c>
      <c r="P197" s="4"/>
      <c r="Q197" s="4"/>
      <c r="R197" s="4"/>
      <c r="S197" s="4"/>
      <c r="T197" s="4"/>
      <c r="U197" s="4"/>
      <c r="V197" s="4"/>
      <c r="W197" s="4">
        <v>0</v>
      </c>
      <c r="X197" s="4">
        <v>1</v>
      </c>
      <c r="Y197" s="4">
        <v>0</v>
      </c>
      <c r="Z197" s="4"/>
      <c r="AA197" s="4"/>
      <c r="AB197" s="4"/>
    </row>
    <row r="198" spans="1:28" x14ac:dyDescent="0.2">
      <c r="A198" s="4">
        <v>50</v>
      </c>
      <c r="B198" s="4">
        <v>0</v>
      </c>
      <c r="C198" s="4">
        <v>0</v>
      </c>
      <c r="D198" s="4">
        <v>1</v>
      </c>
      <c r="E198" s="4">
        <v>223</v>
      </c>
      <c r="F198" s="4">
        <f>ROUND(Source!AQ188,O198)</f>
        <v>0</v>
      </c>
      <c r="G198" s="4" t="s">
        <v>38</v>
      </c>
      <c r="H198" s="4" t="s">
        <v>39</v>
      </c>
      <c r="I198" s="4"/>
      <c r="J198" s="4"/>
      <c r="K198" s="4">
        <v>223</v>
      </c>
      <c r="L198" s="4">
        <v>9</v>
      </c>
      <c r="M198" s="4">
        <v>3</v>
      </c>
      <c r="N198" s="4" t="s">
        <v>3</v>
      </c>
      <c r="O198" s="4">
        <v>2</v>
      </c>
      <c r="P198" s="4"/>
      <c r="Q198" s="4"/>
      <c r="R198" s="4"/>
      <c r="S198" s="4"/>
      <c r="T198" s="4"/>
      <c r="U198" s="4"/>
      <c r="V198" s="4"/>
      <c r="W198" s="4">
        <v>0</v>
      </c>
      <c r="X198" s="4">
        <v>1</v>
      </c>
      <c r="Y198" s="4">
        <v>0</v>
      </c>
      <c r="Z198" s="4"/>
      <c r="AA198" s="4"/>
      <c r="AB198" s="4"/>
    </row>
    <row r="199" spans="1:28" x14ac:dyDescent="0.2">
      <c r="A199" s="4">
        <v>50</v>
      </c>
      <c r="B199" s="4">
        <v>0</v>
      </c>
      <c r="C199" s="4">
        <v>0</v>
      </c>
      <c r="D199" s="4">
        <v>1</v>
      </c>
      <c r="E199" s="4">
        <v>229</v>
      </c>
      <c r="F199" s="4">
        <f>ROUND(Source!AZ188,O199)</f>
        <v>0</v>
      </c>
      <c r="G199" s="4" t="s">
        <v>40</v>
      </c>
      <c r="H199" s="4" t="s">
        <v>41</v>
      </c>
      <c r="I199" s="4"/>
      <c r="J199" s="4"/>
      <c r="K199" s="4">
        <v>229</v>
      </c>
      <c r="L199" s="4">
        <v>10</v>
      </c>
      <c r="M199" s="4">
        <v>3</v>
      </c>
      <c r="N199" s="4" t="s">
        <v>3</v>
      </c>
      <c r="O199" s="4">
        <v>2</v>
      </c>
      <c r="P199" s="4"/>
      <c r="Q199" s="4"/>
      <c r="R199" s="4"/>
      <c r="S199" s="4"/>
      <c r="T199" s="4"/>
      <c r="U199" s="4"/>
      <c r="V199" s="4"/>
      <c r="W199" s="4">
        <v>0</v>
      </c>
      <c r="X199" s="4">
        <v>1</v>
      </c>
      <c r="Y199" s="4">
        <v>0</v>
      </c>
      <c r="Z199" s="4"/>
      <c r="AA199" s="4"/>
      <c r="AB199" s="4"/>
    </row>
    <row r="200" spans="1:28" x14ac:dyDescent="0.2">
      <c r="A200" s="4">
        <v>50</v>
      </c>
      <c r="B200" s="4">
        <v>0</v>
      </c>
      <c r="C200" s="4">
        <v>0</v>
      </c>
      <c r="D200" s="4">
        <v>1</v>
      </c>
      <c r="E200" s="4">
        <v>203</v>
      </c>
      <c r="F200" s="4">
        <f>ROUND(Source!Q188,O200)</f>
        <v>48620.27</v>
      </c>
      <c r="G200" s="4" t="s">
        <v>42</v>
      </c>
      <c r="H200" s="4" t="s">
        <v>43</v>
      </c>
      <c r="I200" s="4"/>
      <c r="J200" s="4"/>
      <c r="K200" s="4">
        <v>203</v>
      </c>
      <c r="L200" s="4">
        <v>11</v>
      </c>
      <c r="M200" s="4">
        <v>3</v>
      </c>
      <c r="N200" s="4" t="s">
        <v>3</v>
      </c>
      <c r="O200" s="4">
        <v>2</v>
      </c>
      <c r="P200" s="4"/>
      <c r="Q200" s="4"/>
      <c r="R200" s="4"/>
      <c r="S200" s="4"/>
      <c r="T200" s="4"/>
      <c r="U200" s="4"/>
      <c r="V200" s="4"/>
      <c r="W200" s="4">
        <v>48620.27</v>
      </c>
      <c r="X200" s="4">
        <v>1</v>
      </c>
      <c r="Y200" s="4">
        <v>48620.27</v>
      </c>
      <c r="Z200" s="4"/>
      <c r="AA200" s="4"/>
      <c r="AB200" s="4"/>
    </row>
    <row r="201" spans="1:28" x14ac:dyDescent="0.2">
      <c r="A201" s="4">
        <v>50</v>
      </c>
      <c r="B201" s="4">
        <v>0</v>
      </c>
      <c r="C201" s="4">
        <v>0</v>
      </c>
      <c r="D201" s="4">
        <v>1</v>
      </c>
      <c r="E201" s="4">
        <v>231</v>
      </c>
      <c r="F201" s="4">
        <f>ROUND(Source!BB188,O201)</f>
        <v>0</v>
      </c>
      <c r="G201" s="4" t="s">
        <v>44</v>
      </c>
      <c r="H201" s="4" t="s">
        <v>45</v>
      </c>
      <c r="I201" s="4"/>
      <c r="J201" s="4"/>
      <c r="K201" s="4">
        <v>231</v>
      </c>
      <c r="L201" s="4">
        <v>12</v>
      </c>
      <c r="M201" s="4">
        <v>3</v>
      </c>
      <c r="N201" s="4" t="s">
        <v>3</v>
      </c>
      <c r="O201" s="4">
        <v>2</v>
      </c>
      <c r="P201" s="4"/>
      <c r="Q201" s="4"/>
      <c r="R201" s="4"/>
      <c r="S201" s="4"/>
      <c r="T201" s="4"/>
      <c r="U201" s="4"/>
      <c r="V201" s="4"/>
      <c r="W201" s="4">
        <v>0</v>
      </c>
      <c r="X201" s="4">
        <v>1</v>
      </c>
      <c r="Y201" s="4">
        <v>0</v>
      </c>
      <c r="Z201" s="4"/>
      <c r="AA201" s="4"/>
      <c r="AB201" s="4"/>
    </row>
    <row r="202" spans="1:28" x14ac:dyDescent="0.2">
      <c r="A202" s="4">
        <v>50</v>
      </c>
      <c r="B202" s="4">
        <v>0</v>
      </c>
      <c r="C202" s="4">
        <v>0</v>
      </c>
      <c r="D202" s="4">
        <v>1</v>
      </c>
      <c r="E202" s="4">
        <v>204</v>
      </c>
      <c r="F202" s="4">
        <f>ROUND(Source!R188,O202)</f>
        <v>24049.78</v>
      </c>
      <c r="G202" s="4" t="s">
        <v>46</v>
      </c>
      <c r="H202" s="4" t="s">
        <v>47</v>
      </c>
      <c r="I202" s="4"/>
      <c r="J202" s="4"/>
      <c r="K202" s="4">
        <v>204</v>
      </c>
      <c r="L202" s="4">
        <v>13</v>
      </c>
      <c r="M202" s="4">
        <v>3</v>
      </c>
      <c r="N202" s="4" t="s">
        <v>3</v>
      </c>
      <c r="O202" s="4">
        <v>2</v>
      </c>
      <c r="P202" s="4"/>
      <c r="Q202" s="4"/>
      <c r="R202" s="4"/>
      <c r="S202" s="4"/>
      <c r="T202" s="4"/>
      <c r="U202" s="4"/>
      <c r="V202" s="4"/>
      <c r="W202" s="4">
        <v>24049.78</v>
      </c>
      <c r="X202" s="4">
        <v>1</v>
      </c>
      <c r="Y202" s="4">
        <v>24049.78</v>
      </c>
      <c r="Z202" s="4"/>
      <c r="AA202" s="4"/>
      <c r="AB202" s="4"/>
    </row>
    <row r="203" spans="1:28" x14ac:dyDescent="0.2">
      <c r="A203" s="4">
        <v>50</v>
      </c>
      <c r="B203" s="4">
        <v>0</v>
      </c>
      <c r="C203" s="4">
        <v>0</v>
      </c>
      <c r="D203" s="4">
        <v>1</v>
      </c>
      <c r="E203" s="4">
        <v>205</v>
      </c>
      <c r="F203" s="4">
        <f>ROUND(Source!S188,O203)</f>
        <v>329351.8</v>
      </c>
      <c r="G203" s="4" t="s">
        <v>48</v>
      </c>
      <c r="H203" s="4" t="s">
        <v>49</v>
      </c>
      <c r="I203" s="4"/>
      <c r="J203" s="4"/>
      <c r="K203" s="4">
        <v>205</v>
      </c>
      <c r="L203" s="4">
        <v>14</v>
      </c>
      <c r="M203" s="4">
        <v>3</v>
      </c>
      <c r="N203" s="4" t="s">
        <v>3</v>
      </c>
      <c r="O203" s="4">
        <v>2</v>
      </c>
      <c r="P203" s="4"/>
      <c r="Q203" s="4"/>
      <c r="R203" s="4"/>
      <c r="S203" s="4"/>
      <c r="T203" s="4"/>
      <c r="U203" s="4"/>
      <c r="V203" s="4"/>
      <c r="W203" s="4">
        <v>329351.8</v>
      </c>
      <c r="X203" s="4">
        <v>1</v>
      </c>
      <c r="Y203" s="4">
        <v>329351.8</v>
      </c>
      <c r="Z203" s="4"/>
      <c r="AA203" s="4"/>
      <c r="AB203" s="4"/>
    </row>
    <row r="204" spans="1:28" x14ac:dyDescent="0.2">
      <c r="A204" s="4">
        <v>50</v>
      </c>
      <c r="B204" s="4">
        <v>0</v>
      </c>
      <c r="C204" s="4">
        <v>0</v>
      </c>
      <c r="D204" s="4">
        <v>1</v>
      </c>
      <c r="E204" s="4">
        <v>232</v>
      </c>
      <c r="F204" s="4">
        <f>ROUND(Source!BC188,O204)</f>
        <v>0</v>
      </c>
      <c r="G204" s="4" t="s">
        <v>50</v>
      </c>
      <c r="H204" s="4" t="s">
        <v>51</v>
      </c>
      <c r="I204" s="4"/>
      <c r="J204" s="4"/>
      <c r="K204" s="4">
        <v>232</v>
      </c>
      <c r="L204" s="4">
        <v>15</v>
      </c>
      <c r="M204" s="4">
        <v>3</v>
      </c>
      <c r="N204" s="4" t="s">
        <v>3</v>
      </c>
      <c r="O204" s="4">
        <v>2</v>
      </c>
      <c r="P204" s="4"/>
      <c r="Q204" s="4"/>
      <c r="R204" s="4"/>
      <c r="S204" s="4"/>
      <c r="T204" s="4"/>
      <c r="U204" s="4"/>
      <c r="V204" s="4"/>
      <c r="W204" s="4">
        <v>0</v>
      </c>
      <c r="X204" s="4">
        <v>1</v>
      </c>
      <c r="Y204" s="4">
        <v>0</v>
      </c>
      <c r="Z204" s="4"/>
      <c r="AA204" s="4"/>
      <c r="AB204" s="4"/>
    </row>
    <row r="205" spans="1:28" x14ac:dyDescent="0.2">
      <c r="A205" s="4">
        <v>50</v>
      </c>
      <c r="B205" s="4">
        <v>0</v>
      </c>
      <c r="C205" s="4">
        <v>0</v>
      </c>
      <c r="D205" s="4">
        <v>1</v>
      </c>
      <c r="E205" s="4">
        <v>214</v>
      </c>
      <c r="F205" s="4">
        <f>ROUND(Source!AS188,O205)</f>
        <v>0</v>
      </c>
      <c r="G205" s="4" t="s">
        <v>52</v>
      </c>
      <c r="H205" s="4" t="s">
        <v>53</v>
      </c>
      <c r="I205" s="4"/>
      <c r="J205" s="4"/>
      <c r="K205" s="4">
        <v>214</v>
      </c>
      <c r="L205" s="4">
        <v>16</v>
      </c>
      <c r="M205" s="4">
        <v>3</v>
      </c>
      <c r="N205" s="4" t="s">
        <v>3</v>
      </c>
      <c r="O205" s="4">
        <v>2</v>
      </c>
      <c r="P205" s="4"/>
      <c r="Q205" s="4"/>
      <c r="R205" s="4"/>
      <c r="S205" s="4"/>
      <c r="T205" s="4"/>
      <c r="U205" s="4"/>
      <c r="V205" s="4"/>
      <c r="W205" s="4">
        <v>0</v>
      </c>
      <c r="X205" s="4">
        <v>1</v>
      </c>
      <c r="Y205" s="4">
        <v>0</v>
      </c>
      <c r="Z205" s="4"/>
      <c r="AA205" s="4"/>
      <c r="AB205" s="4"/>
    </row>
    <row r="206" spans="1:28" x14ac:dyDescent="0.2">
      <c r="A206" s="4">
        <v>50</v>
      </c>
      <c r="B206" s="4">
        <v>0</v>
      </c>
      <c r="C206" s="4">
        <v>0</v>
      </c>
      <c r="D206" s="4">
        <v>1</v>
      </c>
      <c r="E206" s="4">
        <v>215</v>
      </c>
      <c r="F206" s="4">
        <f>ROUND(Source!AT188,O206)</f>
        <v>0</v>
      </c>
      <c r="G206" s="4" t="s">
        <v>54</v>
      </c>
      <c r="H206" s="4" t="s">
        <v>55</v>
      </c>
      <c r="I206" s="4"/>
      <c r="J206" s="4"/>
      <c r="K206" s="4">
        <v>215</v>
      </c>
      <c r="L206" s="4">
        <v>17</v>
      </c>
      <c r="M206" s="4">
        <v>3</v>
      </c>
      <c r="N206" s="4" t="s">
        <v>3</v>
      </c>
      <c r="O206" s="4">
        <v>2</v>
      </c>
      <c r="P206" s="4"/>
      <c r="Q206" s="4"/>
      <c r="R206" s="4"/>
      <c r="S206" s="4"/>
      <c r="T206" s="4"/>
      <c r="U206" s="4"/>
      <c r="V206" s="4"/>
      <c r="W206" s="4">
        <v>0</v>
      </c>
      <c r="X206" s="4">
        <v>1</v>
      </c>
      <c r="Y206" s="4">
        <v>0</v>
      </c>
      <c r="Z206" s="4"/>
      <c r="AA206" s="4"/>
      <c r="AB206" s="4"/>
    </row>
    <row r="207" spans="1:28" x14ac:dyDescent="0.2">
      <c r="A207" s="4">
        <v>50</v>
      </c>
      <c r="B207" s="4">
        <v>0</v>
      </c>
      <c r="C207" s="4">
        <v>0</v>
      </c>
      <c r="D207" s="4">
        <v>1</v>
      </c>
      <c r="E207" s="4">
        <v>217</v>
      </c>
      <c r="F207" s="4">
        <f>ROUND(Source!AU188,O207)</f>
        <v>771418.18</v>
      </c>
      <c r="G207" s="4" t="s">
        <v>56</v>
      </c>
      <c r="H207" s="4" t="s">
        <v>57</v>
      </c>
      <c r="I207" s="4"/>
      <c r="J207" s="4"/>
      <c r="K207" s="4">
        <v>217</v>
      </c>
      <c r="L207" s="4">
        <v>18</v>
      </c>
      <c r="M207" s="4">
        <v>3</v>
      </c>
      <c r="N207" s="4" t="s">
        <v>3</v>
      </c>
      <c r="O207" s="4">
        <v>2</v>
      </c>
      <c r="P207" s="4"/>
      <c r="Q207" s="4"/>
      <c r="R207" s="4"/>
      <c r="S207" s="4"/>
      <c r="T207" s="4"/>
      <c r="U207" s="4"/>
      <c r="V207" s="4"/>
      <c r="W207" s="4">
        <v>771418.18</v>
      </c>
      <c r="X207" s="4">
        <v>1</v>
      </c>
      <c r="Y207" s="4">
        <v>771418.18</v>
      </c>
      <c r="Z207" s="4"/>
      <c r="AA207" s="4"/>
      <c r="AB207" s="4"/>
    </row>
    <row r="208" spans="1:28" x14ac:dyDescent="0.2">
      <c r="A208" s="4">
        <v>50</v>
      </c>
      <c r="B208" s="4">
        <v>0</v>
      </c>
      <c r="C208" s="4">
        <v>0</v>
      </c>
      <c r="D208" s="4">
        <v>1</v>
      </c>
      <c r="E208" s="4">
        <v>230</v>
      </c>
      <c r="F208" s="4">
        <f>ROUND(Source!BA188,O208)</f>
        <v>0</v>
      </c>
      <c r="G208" s="4" t="s">
        <v>58</v>
      </c>
      <c r="H208" s="4" t="s">
        <v>59</v>
      </c>
      <c r="I208" s="4"/>
      <c r="J208" s="4"/>
      <c r="K208" s="4">
        <v>230</v>
      </c>
      <c r="L208" s="4">
        <v>19</v>
      </c>
      <c r="M208" s="4">
        <v>3</v>
      </c>
      <c r="N208" s="4" t="s">
        <v>3</v>
      </c>
      <c r="O208" s="4">
        <v>2</v>
      </c>
      <c r="P208" s="4"/>
      <c r="Q208" s="4"/>
      <c r="R208" s="4"/>
      <c r="S208" s="4"/>
      <c r="T208" s="4"/>
      <c r="U208" s="4"/>
      <c r="V208" s="4"/>
      <c r="W208" s="4">
        <v>0</v>
      </c>
      <c r="X208" s="4">
        <v>1</v>
      </c>
      <c r="Y208" s="4">
        <v>0</v>
      </c>
      <c r="Z208" s="4"/>
      <c r="AA208" s="4"/>
      <c r="AB208" s="4"/>
    </row>
    <row r="209" spans="1:206" x14ac:dyDescent="0.2">
      <c r="A209" s="4">
        <v>50</v>
      </c>
      <c r="B209" s="4">
        <v>0</v>
      </c>
      <c r="C209" s="4">
        <v>0</v>
      </c>
      <c r="D209" s="4">
        <v>1</v>
      </c>
      <c r="E209" s="4">
        <v>206</v>
      </c>
      <c r="F209" s="4">
        <f>ROUND(Source!T188,O209)</f>
        <v>0</v>
      </c>
      <c r="G209" s="4" t="s">
        <v>60</v>
      </c>
      <c r="H209" s="4" t="s">
        <v>61</v>
      </c>
      <c r="I209" s="4"/>
      <c r="J209" s="4"/>
      <c r="K209" s="4">
        <v>206</v>
      </c>
      <c r="L209" s="4">
        <v>20</v>
      </c>
      <c r="M209" s="4">
        <v>3</v>
      </c>
      <c r="N209" s="4" t="s">
        <v>3</v>
      </c>
      <c r="O209" s="4">
        <v>2</v>
      </c>
      <c r="P209" s="4"/>
      <c r="Q209" s="4"/>
      <c r="R209" s="4"/>
      <c r="S209" s="4"/>
      <c r="T209" s="4"/>
      <c r="U209" s="4"/>
      <c r="V209" s="4"/>
      <c r="W209" s="4">
        <v>0</v>
      </c>
      <c r="X209" s="4">
        <v>1</v>
      </c>
      <c r="Y209" s="4">
        <v>0</v>
      </c>
      <c r="Z209" s="4"/>
      <c r="AA209" s="4"/>
      <c r="AB209" s="4"/>
    </row>
    <row r="210" spans="1:206" x14ac:dyDescent="0.2">
      <c r="A210" s="4">
        <v>50</v>
      </c>
      <c r="B210" s="4">
        <v>0</v>
      </c>
      <c r="C210" s="4">
        <v>0</v>
      </c>
      <c r="D210" s="4">
        <v>1</v>
      </c>
      <c r="E210" s="4">
        <v>207</v>
      </c>
      <c r="F210" s="4">
        <f>Source!U188</f>
        <v>379.00049999999999</v>
      </c>
      <c r="G210" s="4" t="s">
        <v>62</v>
      </c>
      <c r="H210" s="4" t="s">
        <v>63</v>
      </c>
      <c r="I210" s="4"/>
      <c r="J210" s="4"/>
      <c r="K210" s="4">
        <v>207</v>
      </c>
      <c r="L210" s="4">
        <v>21</v>
      </c>
      <c r="M210" s="4">
        <v>3</v>
      </c>
      <c r="N210" s="4" t="s">
        <v>3</v>
      </c>
      <c r="O210" s="4">
        <v>-1</v>
      </c>
      <c r="P210" s="4"/>
      <c r="Q210" s="4"/>
      <c r="R210" s="4"/>
      <c r="S210" s="4"/>
      <c r="T210" s="4"/>
      <c r="U210" s="4"/>
      <c r="V210" s="4"/>
      <c r="W210" s="4">
        <v>379.00049999999999</v>
      </c>
      <c r="X210" s="4">
        <v>1</v>
      </c>
      <c r="Y210" s="4">
        <v>379.00049999999999</v>
      </c>
      <c r="Z210" s="4"/>
      <c r="AA210" s="4"/>
      <c r="AB210" s="4"/>
    </row>
    <row r="211" spans="1:206" x14ac:dyDescent="0.2">
      <c r="A211" s="4">
        <v>50</v>
      </c>
      <c r="B211" s="4">
        <v>0</v>
      </c>
      <c r="C211" s="4">
        <v>0</v>
      </c>
      <c r="D211" s="4">
        <v>1</v>
      </c>
      <c r="E211" s="4">
        <v>208</v>
      </c>
      <c r="F211" s="4">
        <f>Source!V188</f>
        <v>0</v>
      </c>
      <c r="G211" s="4" t="s">
        <v>64</v>
      </c>
      <c r="H211" s="4" t="s">
        <v>65</v>
      </c>
      <c r="I211" s="4"/>
      <c r="J211" s="4"/>
      <c r="K211" s="4">
        <v>208</v>
      </c>
      <c r="L211" s="4">
        <v>22</v>
      </c>
      <c r="M211" s="4">
        <v>3</v>
      </c>
      <c r="N211" s="4" t="s">
        <v>3</v>
      </c>
      <c r="O211" s="4">
        <v>-1</v>
      </c>
      <c r="P211" s="4"/>
      <c r="Q211" s="4"/>
      <c r="R211" s="4"/>
      <c r="S211" s="4"/>
      <c r="T211" s="4"/>
      <c r="U211" s="4"/>
      <c r="V211" s="4"/>
      <c r="W211" s="4">
        <v>0</v>
      </c>
      <c r="X211" s="4">
        <v>1</v>
      </c>
      <c r="Y211" s="4">
        <v>0</v>
      </c>
      <c r="Z211" s="4"/>
      <c r="AA211" s="4"/>
      <c r="AB211" s="4"/>
    </row>
    <row r="212" spans="1:206" x14ac:dyDescent="0.2">
      <c r="A212" s="4">
        <v>50</v>
      </c>
      <c r="B212" s="4">
        <v>0</v>
      </c>
      <c r="C212" s="4">
        <v>0</v>
      </c>
      <c r="D212" s="4">
        <v>1</v>
      </c>
      <c r="E212" s="4">
        <v>209</v>
      </c>
      <c r="F212" s="4">
        <f>ROUND(Source!W188,O212)</f>
        <v>0</v>
      </c>
      <c r="G212" s="4" t="s">
        <v>66</v>
      </c>
      <c r="H212" s="4" t="s">
        <v>67</v>
      </c>
      <c r="I212" s="4"/>
      <c r="J212" s="4"/>
      <c r="K212" s="4">
        <v>209</v>
      </c>
      <c r="L212" s="4">
        <v>23</v>
      </c>
      <c r="M212" s="4">
        <v>3</v>
      </c>
      <c r="N212" s="4" t="s">
        <v>3</v>
      </c>
      <c r="O212" s="4">
        <v>2</v>
      </c>
      <c r="P212" s="4"/>
      <c r="Q212" s="4"/>
      <c r="R212" s="4"/>
      <c r="S212" s="4"/>
      <c r="T212" s="4"/>
      <c r="U212" s="4"/>
      <c r="V212" s="4"/>
      <c r="W212" s="4">
        <v>0</v>
      </c>
      <c r="X212" s="4">
        <v>1</v>
      </c>
      <c r="Y212" s="4">
        <v>0</v>
      </c>
      <c r="Z212" s="4"/>
      <c r="AA212" s="4"/>
      <c r="AB212" s="4"/>
    </row>
    <row r="213" spans="1:206" x14ac:dyDescent="0.2">
      <c r="A213" s="4">
        <v>50</v>
      </c>
      <c r="B213" s="4">
        <v>0</v>
      </c>
      <c r="C213" s="4">
        <v>0</v>
      </c>
      <c r="D213" s="4">
        <v>1</v>
      </c>
      <c r="E213" s="4">
        <v>233</v>
      </c>
      <c r="F213" s="4">
        <f>ROUND(Source!BD188,O213)</f>
        <v>0</v>
      </c>
      <c r="G213" s="4" t="s">
        <v>68</v>
      </c>
      <c r="H213" s="4" t="s">
        <v>69</v>
      </c>
      <c r="I213" s="4"/>
      <c r="J213" s="4"/>
      <c r="K213" s="4">
        <v>233</v>
      </c>
      <c r="L213" s="4">
        <v>24</v>
      </c>
      <c r="M213" s="4">
        <v>3</v>
      </c>
      <c r="N213" s="4" t="s">
        <v>3</v>
      </c>
      <c r="O213" s="4">
        <v>2</v>
      </c>
      <c r="P213" s="4"/>
      <c r="Q213" s="4"/>
      <c r="R213" s="4"/>
      <c r="S213" s="4"/>
      <c r="T213" s="4"/>
      <c r="U213" s="4"/>
      <c r="V213" s="4"/>
      <c r="W213" s="4">
        <v>0</v>
      </c>
      <c r="X213" s="4">
        <v>1</v>
      </c>
      <c r="Y213" s="4">
        <v>0</v>
      </c>
      <c r="Z213" s="4"/>
      <c r="AA213" s="4"/>
      <c r="AB213" s="4"/>
    </row>
    <row r="214" spans="1:206" x14ac:dyDescent="0.2">
      <c r="A214" s="4">
        <v>50</v>
      </c>
      <c r="B214" s="4">
        <v>0</v>
      </c>
      <c r="C214" s="4">
        <v>0</v>
      </c>
      <c r="D214" s="4">
        <v>1</v>
      </c>
      <c r="E214" s="4">
        <v>210</v>
      </c>
      <c r="F214" s="4">
        <f>ROUND(Source!X188,O214)</f>
        <v>230546.27</v>
      </c>
      <c r="G214" s="4" t="s">
        <v>70</v>
      </c>
      <c r="H214" s="4" t="s">
        <v>71</v>
      </c>
      <c r="I214" s="4"/>
      <c r="J214" s="4"/>
      <c r="K214" s="4">
        <v>210</v>
      </c>
      <c r="L214" s="4">
        <v>25</v>
      </c>
      <c r="M214" s="4">
        <v>3</v>
      </c>
      <c r="N214" s="4" t="s">
        <v>3</v>
      </c>
      <c r="O214" s="4">
        <v>2</v>
      </c>
      <c r="P214" s="4"/>
      <c r="Q214" s="4"/>
      <c r="R214" s="4"/>
      <c r="S214" s="4"/>
      <c r="T214" s="4"/>
      <c r="U214" s="4"/>
      <c r="V214" s="4"/>
      <c r="W214" s="4">
        <v>230546.27</v>
      </c>
      <c r="X214" s="4">
        <v>1</v>
      </c>
      <c r="Y214" s="4">
        <v>230546.27</v>
      </c>
      <c r="Z214" s="4"/>
      <c r="AA214" s="4"/>
      <c r="AB214" s="4"/>
    </row>
    <row r="215" spans="1:206" x14ac:dyDescent="0.2">
      <c r="A215" s="4">
        <v>50</v>
      </c>
      <c r="B215" s="4">
        <v>0</v>
      </c>
      <c r="C215" s="4">
        <v>0</v>
      </c>
      <c r="D215" s="4">
        <v>1</v>
      </c>
      <c r="E215" s="4">
        <v>211</v>
      </c>
      <c r="F215" s="4">
        <f>ROUND(Source!Y188,O215)</f>
        <v>32935.18</v>
      </c>
      <c r="G215" s="4" t="s">
        <v>72</v>
      </c>
      <c r="H215" s="4" t="s">
        <v>73</v>
      </c>
      <c r="I215" s="4"/>
      <c r="J215" s="4"/>
      <c r="K215" s="4">
        <v>211</v>
      </c>
      <c r="L215" s="4">
        <v>26</v>
      </c>
      <c r="M215" s="4">
        <v>3</v>
      </c>
      <c r="N215" s="4" t="s">
        <v>3</v>
      </c>
      <c r="O215" s="4">
        <v>2</v>
      </c>
      <c r="P215" s="4"/>
      <c r="Q215" s="4"/>
      <c r="R215" s="4"/>
      <c r="S215" s="4"/>
      <c r="T215" s="4"/>
      <c r="U215" s="4"/>
      <c r="V215" s="4"/>
      <c r="W215" s="4">
        <v>32935.18</v>
      </c>
      <c r="X215" s="4">
        <v>1</v>
      </c>
      <c r="Y215" s="4">
        <v>32935.18</v>
      </c>
      <c r="Z215" s="4"/>
      <c r="AA215" s="4"/>
      <c r="AB215" s="4"/>
    </row>
    <row r="216" spans="1:206" x14ac:dyDescent="0.2">
      <c r="A216" s="4">
        <v>50</v>
      </c>
      <c r="B216" s="4">
        <v>0</v>
      </c>
      <c r="C216" s="4">
        <v>0</v>
      </c>
      <c r="D216" s="4">
        <v>1</v>
      </c>
      <c r="E216" s="4">
        <v>224</v>
      </c>
      <c r="F216" s="4">
        <f>ROUND(Source!AR188,O216)</f>
        <v>771418.18</v>
      </c>
      <c r="G216" s="4" t="s">
        <v>74</v>
      </c>
      <c r="H216" s="4" t="s">
        <v>75</v>
      </c>
      <c r="I216" s="4"/>
      <c r="J216" s="4"/>
      <c r="K216" s="4">
        <v>224</v>
      </c>
      <c r="L216" s="4">
        <v>27</v>
      </c>
      <c r="M216" s="4">
        <v>3</v>
      </c>
      <c r="N216" s="4" t="s">
        <v>3</v>
      </c>
      <c r="O216" s="4">
        <v>2</v>
      </c>
      <c r="P216" s="4"/>
      <c r="Q216" s="4"/>
      <c r="R216" s="4"/>
      <c r="S216" s="4"/>
      <c r="T216" s="4"/>
      <c r="U216" s="4"/>
      <c r="V216" s="4"/>
      <c r="W216" s="4">
        <v>771418.18</v>
      </c>
      <c r="X216" s="4">
        <v>1</v>
      </c>
      <c r="Y216" s="4">
        <v>771418.18</v>
      </c>
      <c r="Z216" s="4"/>
      <c r="AA216" s="4"/>
      <c r="AB216" s="4"/>
    </row>
    <row r="218" spans="1:206" x14ac:dyDescent="0.2">
      <c r="A218" s="2">
        <v>51</v>
      </c>
      <c r="B218" s="2">
        <f>B12</f>
        <v>251</v>
      </c>
      <c r="C218" s="2">
        <f>A12</f>
        <v>1</v>
      </c>
      <c r="D218" s="2">
        <f>ROW(A12)</f>
        <v>12</v>
      </c>
      <c r="E218" s="2"/>
      <c r="F218" s="2" t="str">
        <f>IF(F12&lt;&gt;"",F12,"")</f>
        <v>Стрелец  без НДС   (СН-2021) (СН-2012 - 2022 г Сборник стоимостных нормативов) (СН-2012 - 2023 г Сборник стоимостных нормативов)_(Копия)_(Копия) (СН-2012 - 2024 г Сборник стоимостных нормативов)_(Копия) (СН-2012 - 2024 г (в ценах на 01.01.2024 г) Сбо_(Копия)_(Копия)_(Копия)_(Копия)_(Копия)</v>
      </c>
      <c r="G218" s="2" t="str">
        <f>IF(G12&lt;&gt;"",G12,"")</f>
        <v>Консерватория им. П.И.Чайковского  ВОДА</v>
      </c>
      <c r="H218" s="2">
        <v>0</v>
      </c>
      <c r="I218" s="2"/>
      <c r="J218" s="2"/>
      <c r="K218" s="2"/>
      <c r="L218" s="2"/>
      <c r="M218" s="2"/>
      <c r="N218" s="2"/>
      <c r="O218" s="2">
        <f t="shared" ref="O218:T218" si="91">ROUND(O188,2)</f>
        <v>481962.97</v>
      </c>
      <c r="P218" s="2">
        <f t="shared" si="91"/>
        <v>103990.9</v>
      </c>
      <c r="Q218" s="2">
        <f t="shared" si="91"/>
        <v>48620.27</v>
      </c>
      <c r="R218" s="2">
        <f t="shared" si="91"/>
        <v>24049.78</v>
      </c>
      <c r="S218" s="2">
        <f t="shared" si="91"/>
        <v>329351.8</v>
      </c>
      <c r="T218" s="2">
        <f t="shared" si="91"/>
        <v>0</v>
      </c>
      <c r="U218" s="2">
        <f>U188</f>
        <v>379.00049999999999</v>
      </c>
      <c r="V218" s="2">
        <f>V188</f>
        <v>0</v>
      </c>
      <c r="W218" s="2">
        <f>ROUND(W188,2)</f>
        <v>0</v>
      </c>
      <c r="X218" s="2">
        <f>ROUND(X188,2)</f>
        <v>230546.27</v>
      </c>
      <c r="Y218" s="2">
        <f>ROUND(Y188,2)</f>
        <v>32935.18</v>
      </c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>
        <f t="shared" ref="AO218:BD218" si="92">ROUND(AO188,2)</f>
        <v>0</v>
      </c>
      <c r="AP218" s="2">
        <f t="shared" si="92"/>
        <v>0</v>
      </c>
      <c r="AQ218" s="2">
        <f t="shared" si="92"/>
        <v>0</v>
      </c>
      <c r="AR218" s="2">
        <f t="shared" si="92"/>
        <v>771418.18</v>
      </c>
      <c r="AS218" s="2">
        <f t="shared" si="92"/>
        <v>0</v>
      </c>
      <c r="AT218" s="2">
        <f t="shared" si="92"/>
        <v>0</v>
      </c>
      <c r="AU218" s="2">
        <f t="shared" si="92"/>
        <v>771418.18</v>
      </c>
      <c r="AV218" s="2">
        <f t="shared" si="92"/>
        <v>103990.9</v>
      </c>
      <c r="AW218" s="2">
        <f t="shared" si="92"/>
        <v>103990.9</v>
      </c>
      <c r="AX218" s="2">
        <f t="shared" si="92"/>
        <v>0</v>
      </c>
      <c r="AY218" s="2">
        <f t="shared" si="92"/>
        <v>103990.9</v>
      </c>
      <c r="AZ218" s="2">
        <f t="shared" si="92"/>
        <v>0</v>
      </c>
      <c r="BA218" s="2">
        <f t="shared" si="92"/>
        <v>0</v>
      </c>
      <c r="BB218" s="2">
        <f t="shared" si="92"/>
        <v>0</v>
      </c>
      <c r="BC218" s="2">
        <f t="shared" si="92"/>
        <v>0</v>
      </c>
      <c r="BD218" s="2">
        <f t="shared" si="92"/>
        <v>0</v>
      </c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3"/>
      <c r="DH218" s="3"/>
      <c r="DI218" s="3"/>
      <c r="DJ218" s="3"/>
      <c r="DK218" s="3"/>
      <c r="DL218" s="3"/>
      <c r="DM218" s="3"/>
      <c r="DN218" s="3"/>
      <c r="DO218" s="3"/>
      <c r="DP218" s="3"/>
      <c r="DQ218" s="3"/>
      <c r="DR218" s="3"/>
      <c r="DS218" s="3"/>
      <c r="DT218" s="3"/>
      <c r="DU218" s="3"/>
      <c r="DV218" s="3"/>
      <c r="DW218" s="3"/>
      <c r="DX218" s="3"/>
      <c r="DY218" s="3"/>
      <c r="DZ218" s="3"/>
      <c r="EA218" s="3"/>
      <c r="EB218" s="3"/>
      <c r="EC218" s="3"/>
      <c r="ED218" s="3"/>
      <c r="EE218" s="3"/>
      <c r="EF218" s="3"/>
      <c r="EG218" s="3"/>
      <c r="EH218" s="3"/>
      <c r="EI218" s="3"/>
      <c r="EJ218" s="3"/>
      <c r="EK218" s="3"/>
      <c r="EL218" s="3"/>
      <c r="EM218" s="3"/>
      <c r="EN218" s="3"/>
      <c r="EO218" s="3"/>
      <c r="EP218" s="3"/>
      <c r="EQ218" s="3"/>
      <c r="ER218" s="3"/>
      <c r="ES218" s="3"/>
      <c r="ET218" s="3"/>
      <c r="EU218" s="3"/>
      <c r="EV218" s="3"/>
      <c r="EW218" s="3"/>
      <c r="EX218" s="3"/>
      <c r="EY218" s="3"/>
      <c r="EZ218" s="3"/>
      <c r="FA218" s="3"/>
      <c r="FB218" s="3"/>
      <c r="FC218" s="3"/>
      <c r="FD218" s="3"/>
      <c r="FE218" s="3"/>
      <c r="FF218" s="3"/>
      <c r="FG218" s="3"/>
      <c r="FH218" s="3"/>
      <c r="FI218" s="3"/>
      <c r="FJ218" s="3"/>
      <c r="FK218" s="3"/>
      <c r="FL218" s="3"/>
      <c r="FM218" s="3"/>
      <c r="FN218" s="3"/>
      <c r="FO218" s="3"/>
      <c r="FP218" s="3"/>
      <c r="FQ218" s="3"/>
      <c r="FR218" s="3"/>
      <c r="FS218" s="3"/>
      <c r="FT218" s="3"/>
      <c r="FU218" s="3"/>
      <c r="FV218" s="3"/>
      <c r="FW218" s="3"/>
      <c r="FX218" s="3"/>
      <c r="FY218" s="3"/>
      <c r="FZ218" s="3"/>
      <c r="GA218" s="3"/>
      <c r="GB218" s="3"/>
      <c r="GC218" s="3"/>
      <c r="GD218" s="3"/>
      <c r="GE218" s="3"/>
      <c r="GF218" s="3"/>
      <c r="GG218" s="3"/>
      <c r="GH218" s="3"/>
      <c r="GI218" s="3"/>
      <c r="GJ218" s="3"/>
      <c r="GK218" s="3"/>
      <c r="GL218" s="3"/>
      <c r="GM218" s="3"/>
      <c r="GN218" s="3"/>
      <c r="GO218" s="3"/>
      <c r="GP218" s="3"/>
      <c r="GQ218" s="3"/>
      <c r="GR218" s="3"/>
      <c r="GS218" s="3"/>
      <c r="GT218" s="3"/>
      <c r="GU218" s="3"/>
      <c r="GV218" s="3"/>
      <c r="GW218" s="3"/>
      <c r="GX218" s="3">
        <v>0</v>
      </c>
    </row>
    <row r="220" spans="1:206" x14ac:dyDescent="0.2">
      <c r="A220" s="4">
        <v>50</v>
      </c>
      <c r="B220" s="4">
        <v>0</v>
      </c>
      <c r="C220" s="4">
        <v>0</v>
      </c>
      <c r="D220" s="4">
        <v>1</v>
      </c>
      <c r="E220" s="4">
        <v>201</v>
      </c>
      <c r="F220" s="4">
        <f>ROUND(Source!O218,O220)</f>
        <v>481962.97</v>
      </c>
      <c r="G220" s="4" t="s">
        <v>22</v>
      </c>
      <c r="H220" s="4" t="s">
        <v>23</v>
      </c>
      <c r="I220" s="4"/>
      <c r="J220" s="4"/>
      <c r="K220" s="4">
        <v>201</v>
      </c>
      <c r="L220" s="4">
        <v>1</v>
      </c>
      <c r="M220" s="4">
        <v>3</v>
      </c>
      <c r="N220" s="4" t="s">
        <v>3</v>
      </c>
      <c r="O220" s="4">
        <v>2</v>
      </c>
      <c r="P220" s="4"/>
      <c r="Q220" s="4"/>
      <c r="R220" s="4"/>
      <c r="S220" s="4"/>
      <c r="T220" s="4"/>
      <c r="U220" s="4"/>
      <c r="V220" s="4"/>
      <c r="W220" s="4">
        <v>481962.97</v>
      </c>
      <c r="X220" s="4">
        <v>1</v>
      </c>
      <c r="Y220" s="4">
        <v>481962.97</v>
      </c>
      <c r="Z220" s="4"/>
      <c r="AA220" s="4"/>
      <c r="AB220" s="4"/>
    </row>
    <row r="221" spans="1:206" x14ac:dyDescent="0.2">
      <c r="A221" s="4">
        <v>50</v>
      </c>
      <c r="B221" s="4">
        <v>0</v>
      </c>
      <c r="C221" s="4">
        <v>0</v>
      </c>
      <c r="D221" s="4">
        <v>1</v>
      </c>
      <c r="E221" s="4">
        <v>202</v>
      </c>
      <c r="F221" s="4">
        <f>ROUND(Source!P218,O221)</f>
        <v>103990.9</v>
      </c>
      <c r="G221" s="4" t="s">
        <v>24</v>
      </c>
      <c r="H221" s="4" t="s">
        <v>25</v>
      </c>
      <c r="I221" s="4"/>
      <c r="J221" s="4"/>
      <c r="K221" s="4">
        <v>202</v>
      </c>
      <c r="L221" s="4">
        <v>2</v>
      </c>
      <c r="M221" s="4">
        <v>3</v>
      </c>
      <c r="N221" s="4" t="s">
        <v>3</v>
      </c>
      <c r="O221" s="4">
        <v>2</v>
      </c>
      <c r="P221" s="4"/>
      <c r="Q221" s="4"/>
      <c r="R221" s="4"/>
      <c r="S221" s="4"/>
      <c r="T221" s="4"/>
      <c r="U221" s="4"/>
      <c r="V221" s="4"/>
      <c r="W221" s="4">
        <v>103990.9</v>
      </c>
      <c r="X221" s="4">
        <v>1</v>
      </c>
      <c r="Y221" s="4">
        <v>103990.9</v>
      </c>
      <c r="Z221" s="4"/>
      <c r="AA221" s="4"/>
      <c r="AB221" s="4"/>
    </row>
    <row r="222" spans="1:206" x14ac:dyDescent="0.2">
      <c r="A222" s="4">
        <v>50</v>
      </c>
      <c r="B222" s="4">
        <v>0</v>
      </c>
      <c r="C222" s="4">
        <v>0</v>
      </c>
      <c r="D222" s="4">
        <v>1</v>
      </c>
      <c r="E222" s="4">
        <v>222</v>
      </c>
      <c r="F222" s="4">
        <f>ROUND(Source!AO218,O222)</f>
        <v>0</v>
      </c>
      <c r="G222" s="4" t="s">
        <v>26</v>
      </c>
      <c r="H222" s="4" t="s">
        <v>27</v>
      </c>
      <c r="I222" s="4"/>
      <c r="J222" s="4"/>
      <c r="K222" s="4">
        <v>222</v>
      </c>
      <c r="L222" s="4">
        <v>3</v>
      </c>
      <c r="M222" s="4">
        <v>3</v>
      </c>
      <c r="N222" s="4" t="s">
        <v>3</v>
      </c>
      <c r="O222" s="4">
        <v>2</v>
      </c>
      <c r="P222" s="4"/>
      <c r="Q222" s="4"/>
      <c r="R222" s="4"/>
      <c r="S222" s="4"/>
      <c r="T222" s="4"/>
      <c r="U222" s="4"/>
      <c r="V222" s="4"/>
      <c r="W222" s="4">
        <v>0</v>
      </c>
      <c r="X222" s="4">
        <v>1</v>
      </c>
      <c r="Y222" s="4">
        <v>0</v>
      </c>
      <c r="Z222" s="4"/>
      <c r="AA222" s="4"/>
      <c r="AB222" s="4"/>
    </row>
    <row r="223" spans="1:206" x14ac:dyDescent="0.2">
      <c r="A223" s="4">
        <v>50</v>
      </c>
      <c r="B223" s="4">
        <v>0</v>
      </c>
      <c r="C223" s="4">
        <v>0</v>
      </c>
      <c r="D223" s="4">
        <v>1</v>
      </c>
      <c r="E223" s="4">
        <v>225</v>
      </c>
      <c r="F223" s="4">
        <f>ROUND(Source!AV218,O223)</f>
        <v>103990.9</v>
      </c>
      <c r="G223" s="4" t="s">
        <v>28</v>
      </c>
      <c r="H223" s="4" t="s">
        <v>29</v>
      </c>
      <c r="I223" s="4"/>
      <c r="J223" s="4"/>
      <c r="K223" s="4">
        <v>225</v>
      </c>
      <c r="L223" s="4">
        <v>4</v>
      </c>
      <c r="M223" s="4">
        <v>3</v>
      </c>
      <c r="N223" s="4" t="s">
        <v>3</v>
      </c>
      <c r="O223" s="4">
        <v>2</v>
      </c>
      <c r="P223" s="4"/>
      <c r="Q223" s="4"/>
      <c r="R223" s="4"/>
      <c r="S223" s="4"/>
      <c r="T223" s="4"/>
      <c r="U223" s="4"/>
      <c r="V223" s="4"/>
      <c r="W223" s="4">
        <v>103990.9</v>
      </c>
      <c r="X223" s="4">
        <v>1</v>
      </c>
      <c r="Y223" s="4">
        <v>103990.9</v>
      </c>
      <c r="Z223" s="4"/>
      <c r="AA223" s="4"/>
      <c r="AB223" s="4"/>
    </row>
    <row r="224" spans="1:206" x14ac:dyDescent="0.2">
      <c r="A224" s="4">
        <v>50</v>
      </c>
      <c r="B224" s="4">
        <v>0</v>
      </c>
      <c r="C224" s="4">
        <v>0</v>
      </c>
      <c r="D224" s="4">
        <v>1</v>
      </c>
      <c r="E224" s="4">
        <v>226</v>
      </c>
      <c r="F224" s="4">
        <f>ROUND(Source!AW218,O224)</f>
        <v>103990.9</v>
      </c>
      <c r="G224" s="4" t="s">
        <v>30</v>
      </c>
      <c r="H224" s="4" t="s">
        <v>31</v>
      </c>
      <c r="I224" s="4"/>
      <c r="J224" s="4"/>
      <c r="K224" s="4">
        <v>226</v>
      </c>
      <c r="L224" s="4">
        <v>5</v>
      </c>
      <c r="M224" s="4">
        <v>3</v>
      </c>
      <c r="N224" s="4" t="s">
        <v>3</v>
      </c>
      <c r="O224" s="4">
        <v>2</v>
      </c>
      <c r="P224" s="4"/>
      <c r="Q224" s="4"/>
      <c r="R224" s="4"/>
      <c r="S224" s="4"/>
      <c r="T224" s="4"/>
      <c r="U224" s="4"/>
      <c r="V224" s="4"/>
      <c r="W224" s="4">
        <v>103990.9</v>
      </c>
      <c r="X224" s="4">
        <v>1</v>
      </c>
      <c r="Y224" s="4">
        <v>103990.9</v>
      </c>
      <c r="Z224" s="4"/>
      <c r="AA224" s="4"/>
      <c r="AB224" s="4"/>
    </row>
    <row r="225" spans="1:28" x14ac:dyDescent="0.2">
      <c r="A225" s="4">
        <v>50</v>
      </c>
      <c r="B225" s="4">
        <v>0</v>
      </c>
      <c r="C225" s="4">
        <v>0</v>
      </c>
      <c r="D225" s="4">
        <v>1</v>
      </c>
      <c r="E225" s="4">
        <v>227</v>
      </c>
      <c r="F225" s="4">
        <f>ROUND(Source!AX218,O225)</f>
        <v>0</v>
      </c>
      <c r="G225" s="4" t="s">
        <v>32</v>
      </c>
      <c r="H225" s="4" t="s">
        <v>33</v>
      </c>
      <c r="I225" s="4"/>
      <c r="J225" s="4"/>
      <c r="K225" s="4">
        <v>227</v>
      </c>
      <c r="L225" s="4">
        <v>6</v>
      </c>
      <c r="M225" s="4">
        <v>3</v>
      </c>
      <c r="N225" s="4" t="s">
        <v>3</v>
      </c>
      <c r="O225" s="4">
        <v>2</v>
      </c>
      <c r="P225" s="4"/>
      <c r="Q225" s="4"/>
      <c r="R225" s="4"/>
      <c r="S225" s="4"/>
      <c r="T225" s="4"/>
      <c r="U225" s="4"/>
      <c r="V225" s="4"/>
      <c r="W225" s="4">
        <v>0</v>
      </c>
      <c r="X225" s="4">
        <v>1</v>
      </c>
      <c r="Y225" s="4">
        <v>0</v>
      </c>
      <c r="Z225" s="4"/>
      <c r="AA225" s="4"/>
      <c r="AB225" s="4"/>
    </row>
    <row r="226" spans="1:28" x14ac:dyDescent="0.2">
      <c r="A226" s="4">
        <v>50</v>
      </c>
      <c r="B226" s="4">
        <v>0</v>
      </c>
      <c r="C226" s="4">
        <v>0</v>
      </c>
      <c r="D226" s="4">
        <v>1</v>
      </c>
      <c r="E226" s="4">
        <v>228</v>
      </c>
      <c r="F226" s="4">
        <f>ROUND(Source!AY218,O226)</f>
        <v>103990.9</v>
      </c>
      <c r="G226" s="4" t="s">
        <v>34</v>
      </c>
      <c r="H226" s="4" t="s">
        <v>35</v>
      </c>
      <c r="I226" s="4"/>
      <c r="J226" s="4"/>
      <c r="K226" s="4">
        <v>228</v>
      </c>
      <c r="L226" s="4">
        <v>7</v>
      </c>
      <c r="M226" s="4">
        <v>3</v>
      </c>
      <c r="N226" s="4" t="s">
        <v>3</v>
      </c>
      <c r="O226" s="4">
        <v>2</v>
      </c>
      <c r="P226" s="4"/>
      <c r="Q226" s="4"/>
      <c r="R226" s="4"/>
      <c r="S226" s="4"/>
      <c r="T226" s="4"/>
      <c r="U226" s="4"/>
      <c r="V226" s="4"/>
      <c r="W226" s="4">
        <v>103990.9</v>
      </c>
      <c r="X226" s="4">
        <v>1</v>
      </c>
      <c r="Y226" s="4">
        <v>103990.9</v>
      </c>
      <c r="Z226" s="4"/>
      <c r="AA226" s="4"/>
      <c r="AB226" s="4"/>
    </row>
    <row r="227" spans="1:28" x14ac:dyDescent="0.2">
      <c r="A227" s="4">
        <v>50</v>
      </c>
      <c r="B227" s="4">
        <v>0</v>
      </c>
      <c r="C227" s="4">
        <v>0</v>
      </c>
      <c r="D227" s="4">
        <v>1</v>
      </c>
      <c r="E227" s="4">
        <v>216</v>
      </c>
      <c r="F227" s="4">
        <f>ROUND(Source!AP218,O227)</f>
        <v>0</v>
      </c>
      <c r="G227" s="4" t="s">
        <v>36</v>
      </c>
      <c r="H227" s="4" t="s">
        <v>37</v>
      </c>
      <c r="I227" s="4"/>
      <c r="J227" s="4"/>
      <c r="K227" s="4">
        <v>216</v>
      </c>
      <c r="L227" s="4">
        <v>8</v>
      </c>
      <c r="M227" s="4">
        <v>3</v>
      </c>
      <c r="N227" s="4" t="s">
        <v>3</v>
      </c>
      <c r="O227" s="4">
        <v>2</v>
      </c>
      <c r="P227" s="4"/>
      <c r="Q227" s="4"/>
      <c r="R227" s="4"/>
      <c r="S227" s="4"/>
      <c r="T227" s="4"/>
      <c r="U227" s="4"/>
      <c r="V227" s="4"/>
      <c r="W227" s="4">
        <v>0</v>
      </c>
      <c r="X227" s="4">
        <v>1</v>
      </c>
      <c r="Y227" s="4">
        <v>0</v>
      </c>
      <c r="Z227" s="4"/>
      <c r="AA227" s="4"/>
      <c r="AB227" s="4"/>
    </row>
    <row r="228" spans="1:28" x14ac:dyDescent="0.2">
      <c r="A228" s="4">
        <v>50</v>
      </c>
      <c r="B228" s="4">
        <v>0</v>
      </c>
      <c r="C228" s="4">
        <v>0</v>
      </c>
      <c r="D228" s="4">
        <v>1</v>
      </c>
      <c r="E228" s="4">
        <v>223</v>
      </c>
      <c r="F228" s="4">
        <f>ROUND(Source!AQ218,O228)</f>
        <v>0</v>
      </c>
      <c r="G228" s="4" t="s">
        <v>38</v>
      </c>
      <c r="H228" s="4" t="s">
        <v>39</v>
      </c>
      <c r="I228" s="4"/>
      <c r="J228" s="4"/>
      <c r="K228" s="4">
        <v>223</v>
      </c>
      <c r="L228" s="4">
        <v>9</v>
      </c>
      <c r="M228" s="4">
        <v>3</v>
      </c>
      <c r="N228" s="4" t="s">
        <v>3</v>
      </c>
      <c r="O228" s="4">
        <v>2</v>
      </c>
      <c r="P228" s="4"/>
      <c r="Q228" s="4"/>
      <c r="R228" s="4"/>
      <c r="S228" s="4"/>
      <c r="T228" s="4"/>
      <c r="U228" s="4"/>
      <c r="V228" s="4"/>
      <c r="W228" s="4">
        <v>0</v>
      </c>
      <c r="X228" s="4">
        <v>1</v>
      </c>
      <c r="Y228" s="4">
        <v>0</v>
      </c>
      <c r="Z228" s="4"/>
      <c r="AA228" s="4"/>
      <c r="AB228" s="4"/>
    </row>
    <row r="229" spans="1:28" x14ac:dyDescent="0.2">
      <c r="A229" s="4">
        <v>50</v>
      </c>
      <c r="B229" s="4">
        <v>0</v>
      </c>
      <c r="C229" s="4">
        <v>0</v>
      </c>
      <c r="D229" s="4">
        <v>1</v>
      </c>
      <c r="E229" s="4">
        <v>229</v>
      </c>
      <c r="F229" s="4">
        <f>ROUND(Source!AZ218,O229)</f>
        <v>0</v>
      </c>
      <c r="G229" s="4" t="s">
        <v>40</v>
      </c>
      <c r="H229" s="4" t="s">
        <v>41</v>
      </c>
      <c r="I229" s="4"/>
      <c r="J229" s="4"/>
      <c r="K229" s="4">
        <v>229</v>
      </c>
      <c r="L229" s="4">
        <v>10</v>
      </c>
      <c r="M229" s="4">
        <v>3</v>
      </c>
      <c r="N229" s="4" t="s">
        <v>3</v>
      </c>
      <c r="O229" s="4">
        <v>2</v>
      </c>
      <c r="P229" s="4"/>
      <c r="Q229" s="4"/>
      <c r="R229" s="4"/>
      <c r="S229" s="4"/>
      <c r="T229" s="4"/>
      <c r="U229" s="4"/>
      <c r="V229" s="4"/>
      <c r="W229" s="4">
        <v>0</v>
      </c>
      <c r="X229" s="4">
        <v>1</v>
      </c>
      <c r="Y229" s="4">
        <v>0</v>
      </c>
      <c r="Z229" s="4"/>
      <c r="AA229" s="4"/>
      <c r="AB229" s="4"/>
    </row>
    <row r="230" spans="1:28" x14ac:dyDescent="0.2">
      <c r="A230" s="4">
        <v>50</v>
      </c>
      <c r="B230" s="4">
        <v>0</v>
      </c>
      <c r="C230" s="4">
        <v>0</v>
      </c>
      <c r="D230" s="4">
        <v>1</v>
      </c>
      <c r="E230" s="4">
        <v>203</v>
      </c>
      <c r="F230" s="4">
        <f>ROUND(Source!Q218,O230)</f>
        <v>48620.27</v>
      </c>
      <c r="G230" s="4" t="s">
        <v>42</v>
      </c>
      <c r="H230" s="4" t="s">
        <v>43</v>
      </c>
      <c r="I230" s="4"/>
      <c r="J230" s="4"/>
      <c r="K230" s="4">
        <v>203</v>
      </c>
      <c r="L230" s="4">
        <v>11</v>
      </c>
      <c r="M230" s="4">
        <v>3</v>
      </c>
      <c r="N230" s="4" t="s">
        <v>3</v>
      </c>
      <c r="O230" s="4">
        <v>2</v>
      </c>
      <c r="P230" s="4"/>
      <c r="Q230" s="4"/>
      <c r="R230" s="4"/>
      <c r="S230" s="4"/>
      <c r="T230" s="4"/>
      <c r="U230" s="4"/>
      <c r="V230" s="4"/>
      <c r="W230" s="4">
        <v>48620.27</v>
      </c>
      <c r="X230" s="4">
        <v>1</v>
      </c>
      <c r="Y230" s="4">
        <v>48620.27</v>
      </c>
      <c r="Z230" s="4"/>
      <c r="AA230" s="4"/>
      <c r="AB230" s="4"/>
    </row>
    <row r="231" spans="1:28" x14ac:dyDescent="0.2">
      <c r="A231" s="4">
        <v>50</v>
      </c>
      <c r="B231" s="4">
        <v>0</v>
      </c>
      <c r="C231" s="4">
        <v>0</v>
      </c>
      <c r="D231" s="4">
        <v>1</v>
      </c>
      <c r="E231" s="4">
        <v>231</v>
      </c>
      <c r="F231" s="4">
        <f>ROUND(Source!BB218,O231)</f>
        <v>0</v>
      </c>
      <c r="G231" s="4" t="s">
        <v>44</v>
      </c>
      <c r="H231" s="4" t="s">
        <v>45</v>
      </c>
      <c r="I231" s="4"/>
      <c r="J231" s="4"/>
      <c r="K231" s="4">
        <v>231</v>
      </c>
      <c r="L231" s="4">
        <v>12</v>
      </c>
      <c r="M231" s="4">
        <v>3</v>
      </c>
      <c r="N231" s="4" t="s">
        <v>3</v>
      </c>
      <c r="O231" s="4">
        <v>2</v>
      </c>
      <c r="P231" s="4"/>
      <c r="Q231" s="4"/>
      <c r="R231" s="4"/>
      <c r="S231" s="4"/>
      <c r="T231" s="4"/>
      <c r="U231" s="4"/>
      <c r="V231" s="4"/>
      <c r="W231" s="4">
        <v>0</v>
      </c>
      <c r="X231" s="4">
        <v>1</v>
      </c>
      <c r="Y231" s="4">
        <v>0</v>
      </c>
      <c r="Z231" s="4"/>
      <c r="AA231" s="4"/>
      <c r="AB231" s="4"/>
    </row>
    <row r="232" spans="1:28" x14ac:dyDescent="0.2">
      <c r="A232" s="4">
        <v>50</v>
      </c>
      <c r="B232" s="4">
        <v>0</v>
      </c>
      <c r="C232" s="4">
        <v>0</v>
      </c>
      <c r="D232" s="4">
        <v>1</v>
      </c>
      <c r="E232" s="4">
        <v>204</v>
      </c>
      <c r="F232" s="4">
        <f>ROUND(Source!R218,O232)</f>
        <v>24049.78</v>
      </c>
      <c r="G232" s="4" t="s">
        <v>46</v>
      </c>
      <c r="H232" s="4" t="s">
        <v>47</v>
      </c>
      <c r="I232" s="4"/>
      <c r="J232" s="4"/>
      <c r="K232" s="4">
        <v>204</v>
      </c>
      <c r="L232" s="4">
        <v>13</v>
      </c>
      <c r="M232" s="4">
        <v>3</v>
      </c>
      <c r="N232" s="4" t="s">
        <v>3</v>
      </c>
      <c r="O232" s="4">
        <v>2</v>
      </c>
      <c r="P232" s="4"/>
      <c r="Q232" s="4"/>
      <c r="R232" s="4"/>
      <c r="S232" s="4"/>
      <c r="T232" s="4"/>
      <c r="U232" s="4"/>
      <c r="V232" s="4"/>
      <c r="W232" s="4">
        <v>24049.78</v>
      </c>
      <c r="X232" s="4">
        <v>1</v>
      </c>
      <c r="Y232" s="4">
        <v>24049.78</v>
      </c>
      <c r="Z232" s="4"/>
      <c r="AA232" s="4"/>
      <c r="AB232" s="4"/>
    </row>
    <row r="233" spans="1:28" x14ac:dyDescent="0.2">
      <c r="A233" s="4">
        <v>50</v>
      </c>
      <c r="B233" s="4">
        <v>0</v>
      </c>
      <c r="C233" s="4">
        <v>0</v>
      </c>
      <c r="D233" s="4">
        <v>1</v>
      </c>
      <c r="E233" s="4">
        <v>205</v>
      </c>
      <c r="F233" s="4">
        <f>ROUND(Source!S218,O233)</f>
        <v>329351.8</v>
      </c>
      <c r="G233" s="4" t="s">
        <v>48</v>
      </c>
      <c r="H233" s="4" t="s">
        <v>49</v>
      </c>
      <c r="I233" s="4"/>
      <c r="J233" s="4"/>
      <c r="K233" s="4">
        <v>205</v>
      </c>
      <c r="L233" s="4">
        <v>14</v>
      </c>
      <c r="M233" s="4">
        <v>3</v>
      </c>
      <c r="N233" s="4" t="s">
        <v>3</v>
      </c>
      <c r="O233" s="4">
        <v>2</v>
      </c>
      <c r="P233" s="4"/>
      <c r="Q233" s="4"/>
      <c r="R233" s="4"/>
      <c r="S233" s="4"/>
      <c r="T233" s="4"/>
      <c r="U233" s="4"/>
      <c r="V233" s="4"/>
      <c r="W233" s="4">
        <v>329351.8</v>
      </c>
      <c r="X233" s="4">
        <v>1</v>
      </c>
      <c r="Y233" s="4">
        <v>329351.8</v>
      </c>
      <c r="Z233" s="4"/>
      <c r="AA233" s="4"/>
      <c r="AB233" s="4"/>
    </row>
    <row r="234" spans="1:28" x14ac:dyDescent="0.2">
      <c r="A234" s="4">
        <v>50</v>
      </c>
      <c r="B234" s="4">
        <v>0</v>
      </c>
      <c r="C234" s="4">
        <v>0</v>
      </c>
      <c r="D234" s="4">
        <v>1</v>
      </c>
      <c r="E234" s="4">
        <v>232</v>
      </c>
      <c r="F234" s="4">
        <f>ROUND(Source!BC218,O234)</f>
        <v>0</v>
      </c>
      <c r="G234" s="4" t="s">
        <v>50</v>
      </c>
      <c r="H234" s="4" t="s">
        <v>51</v>
      </c>
      <c r="I234" s="4"/>
      <c r="J234" s="4"/>
      <c r="K234" s="4">
        <v>232</v>
      </c>
      <c r="L234" s="4">
        <v>15</v>
      </c>
      <c r="M234" s="4">
        <v>3</v>
      </c>
      <c r="N234" s="4" t="s">
        <v>3</v>
      </c>
      <c r="O234" s="4">
        <v>2</v>
      </c>
      <c r="P234" s="4"/>
      <c r="Q234" s="4"/>
      <c r="R234" s="4"/>
      <c r="S234" s="4"/>
      <c r="T234" s="4"/>
      <c r="U234" s="4"/>
      <c r="V234" s="4"/>
      <c r="W234" s="4">
        <v>0</v>
      </c>
      <c r="X234" s="4">
        <v>1</v>
      </c>
      <c r="Y234" s="4">
        <v>0</v>
      </c>
      <c r="Z234" s="4"/>
      <c r="AA234" s="4"/>
      <c r="AB234" s="4"/>
    </row>
    <row r="235" spans="1:28" x14ac:dyDescent="0.2">
      <c r="A235" s="4">
        <v>50</v>
      </c>
      <c r="B235" s="4">
        <v>0</v>
      </c>
      <c r="C235" s="4">
        <v>0</v>
      </c>
      <c r="D235" s="4">
        <v>1</v>
      </c>
      <c r="E235" s="4">
        <v>214</v>
      </c>
      <c r="F235" s="4">
        <f>ROUND(Source!AS218,O235)</f>
        <v>0</v>
      </c>
      <c r="G235" s="4" t="s">
        <v>52</v>
      </c>
      <c r="H235" s="4" t="s">
        <v>53</v>
      </c>
      <c r="I235" s="4"/>
      <c r="J235" s="4"/>
      <c r="K235" s="4">
        <v>214</v>
      </c>
      <c r="L235" s="4">
        <v>16</v>
      </c>
      <c r="M235" s="4">
        <v>3</v>
      </c>
      <c r="N235" s="4" t="s">
        <v>3</v>
      </c>
      <c r="O235" s="4">
        <v>2</v>
      </c>
      <c r="P235" s="4"/>
      <c r="Q235" s="4"/>
      <c r="R235" s="4"/>
      <c r="S235" s="4"/>
      <c r="T235" s="4"/>
      <c r="U235" s="4"/>
      <c r="V235" s="4"/>
      <c r="W235" s="4">
        <v>0</v>
      </c>
      <c r="X235" s="4">
        <v>1</v>
      </c>
      <c r="Y235" s="4">
        <v>0</v>
      </c>
      <c r="Z235" s="4"/>
      <c r="AA235" s="4"/>
      <c r="AB235" s="4"/>
    </row>
    <row r="236" spans="1:28" x14ac:dyDescent="0.2">
      <c r="A236" s="4">
        <v>50</v>
      </c>
      <c r="B236" s="4">
        <v>0</v>
      </c>
      <c r="C236" s="4">
        <v>0</v>
      </c>
      <c r="D236" s="4">
        <v>1</v>
      </c>
      <c r="E236" s="4">
        <v>215</v>
      </c>
      <c r="F236" s="4">
        <f>ROUND(Source!AT218,O236)</f>
        <v>0</v>
      </c>
      <c r="G236" s="4" t="s">
        <v>54</v>
      </c>
      <c r="H236" s="4" t="s">
        <v>55</v>
      </c>
      <c r="I236" s="4"/>
      <c r="J236" s="4"/>
      <c r="K236" s="4">
        <v>215</v>
      </c>
      <c r="L236" s="4">
        <v>17</v>
      </c>
      <c r="M236" s="4">
        <v>3</v>
      </c>
      <c r="N236" s="4" t="s">
        <v>3</v>
      </c>
      <c r="O236" s="4">
        <v>2</v>
      </c>
      <c r="P236" s="4"/>
      <c r="Q236" s="4"/>
      <c r="R236" s="4"/>
      <c r="S236" s="4"/>
      <c r="T236" s="4"/>
      <c r="U236" s="4"/>
      <c r="V236" s="4"/>
      <c r="W236" s="4">
        <v>0</v>
      </c>
      <c r="X236" s="4">
        <v>1</v>
      </c>
      <c r="Y236" s="4">
        <v>0</v>
      </c>
      <c r="Z236" s="4"/>
      <c r="AA236" s="4"/>
      <c r="AB236" s="4"/>
    </row>
    <row r="237" spans="1:28" x14ac:dyDescent="0.2">
      <c r="A237" s="4">
        <v>50</v>
      </c>
      <c r="B237" s="4">
        <v>0</v>
      </c>
      <c r="C237" s="4">
        <v>0</v>
      </c>
      <c r="D237" s="4">
        <v>1</v>
      </c>
      <c r="E237" s="4">
        <v>217</v>
      </c>
      <c r="F237" s="4">
        <f>ROUND(Source!AU218,O237)</f>
        <v>771418.18</v>
      </c>
      <c r="G237" s="4" t="s">
        <v>56</v>
      </c>
      <c r="H237" s="4" t="s">
        <v>57</v>
      </c>
      <c r="I237" s="4"/>
      <c r="J237" s="4"/>
      <c r="K237" s="4">
        <v>217</v>
      </c>
      <c r="L237" s="4">
        <v>18</v>
      </c>
      <c r="M237" s="4">
        <v>3</v>
      </c>
      <c r="N237" s="4" t="s">
        <v>3</v>
      </c>
      <c r="O237" s="4">
        <v>2</v>
      </c>
      <c r="P237" s="4"/>
      <c r="Q237" s="4"/>
      <c r="R237" s="4"/>
      <c r="S237" s="4"/>
      <c r="T237" s="4"/>
      <c r="U237" s="4"/>
      <c r="V237" s="4"/>
      <c r="W237" s="4">
        <v>771418.18</v>
      </c>
      <c r="X237" s="4">
        <v>1</v>
      </c>
      <c r="Y237" s="4">
        <v>771418.18</v>
      </c>
      <c r="Z237" s="4"/>
      <c r="AA237" s="4"/>
      <c r="AB237" s="4"/>
    </row>
    <row r="238" spans="1:28" x14ac:dyDescent="0.2">
      <c r="A238" s="4">
        <v>50</v>
      </c>
      <c r="B238" s="4">
        <v>0</v>
      </c>
      <c r="C238" s="4">
        <v>0</v>
      </c>
      <c r="D238" s="4">
        <v>1</v>
      </c>
      <c r="E238" s="4">
        <v>230</v>
      </c>
      <c r="F238" s="4">
        <f>ROUND(Source!BA218,O238)</f>
        <v>0</v>
      </c>
      <c r="G238" s="4" t="s">
        <v>58</v>
      </c>
      <c r="H238" s="4" t="s">
        <v>59</v>
      </c>
      <c r="I238" s="4"/>
      <c r="J238" s="4"/>
      <c r="K238" s="4">
        <v>230</v>
      </c>
      <c r="L238" s="4">
        <v>19</v>
      </c>
      <c r="M238" s="4">
        <v>3</v>
      </c>
      <c r="N238" s="4" t="s">
        <v>3</v>
      </c>
      <c r="O238" s="4">
        <v>2</v>
      </c>
      <c r="P238" s="4"/>
      <c r="Q238" s="4"/>
      <c r="R238" s="4"/>
      <c r="S238" s="4"/>
      <c r="T238" s="4"/>
      <c r="U238" s="4"/>
      <c r="V238" s="4"/>
      <c r="W238" s="4">
        <v>0</v>
      </c>
      <c r="X238" s="4">
        <v>1</v>
      </c>
      <c r="Y238" s="4">
        <v>0</v>
      </c>
      <c r="Z238" s="4"/>
      <c r="AA238" s="4"/>
      <c r="AB238" s="4"/>
    </row>
    <row r="239" spans="1:28" x14ac:dyDescent="0.2">
      <c r="A239" s="4">
        <v>50</v>
      </c>
      <c r="B239" s="4">
        <v>0</v>
      </c>
      <c r="C239" s="4">
        <v>0</v>
      </c>
      <c r="D239" s="4">
        <v>1</v>
      </c>
      <c r="E239" s="4">
        <v>206</v>
      </c>
      <c r="F239" s="4">
        <f>ROUND(Source!T218,O239)</f>
        <v>0</v>
      </c>
      <c r="G239" s="4" t="s">
        <v>60</v>
      </c>
      <c r="H239" s="4" t="s">
        <v>61</v>
      </c>
      <c r="I239" s="4"/>
      <c r="J239" s="4"/>
      <c r="K239" s="4">
        <v>206</v>
      </c>
      <c r="L239" s="4">
        <v>20</v>
      </c>
      <c r="M239" s="4">
        <v>3</v>
      </c>
      <c r="N239" s="4" t="s">
        <v>3</v>
      </c>
      <c r="O239" s="4">
        <v>2</v>
      </c>
      <c r="P239" s="4"/>
      <c r="Q239" s="4"/>
      <c r="R239" s="4"/>
      <c r="S239" s="4"/>
      <c r="T239" s="4"/>
      <c r="U239" s="4"/>
      <c r="V239" s="4"/>
      <c r="W239" s="4">
        <v>0</v>
      </c>
      <c r="X239" s="4">
        <v>1</v>
      </c>
      <c r="Y239" s="4">
        <v>0</v>
      </c>
      <c r="Z239" s="4"/>
      <c r="AA239" s="4"/>
      <c r="AB239" s="4"/>
    </row>
    <row r="240" spans="1:28" x14ac:dyDescent="0.2">
      <c r="A240" s="4">
        <v>50</v>
      </c>
      <c r="B240" s="4">
        <v>0</v>
      </c>
      <c r="C240" s="4">
        <v>0</v>
      </c>
      <c r="D240" s="4">
        <v>1</v>
      </c>
      <c r="E240" s="4">
        <v>207</v>
      </c>
      <c r="F240" s="4">
        <f>Source!U218</f>
        <v>379.00049999999999</v>
      </c>
      <c r="G240" s="4" t="s">
        <v>62</v>
      </c>
      <c r="H240" s="4" t="s">
        <v>63</v>
      </c>
      <c r="I240" s="4"/>
      <c r="J240" s="4"/>
      <c r="K240" s="4">
        <v>207</v>
      </c>
      <c r="L240" s="4">
        <v>21</v>
      </c>
      <c r="M240" s="4">
        <v>3</v>
      </c>
      <c r="N240" s="4" t="s">
        <v>3</v>
      </c>
      <c r="O240" s="4">
        <v>-1</v>
      </c>
      <c r="P240" s="4"/>
      <c r="Q240" s="4"/>
      <c r="R240" s="4"/>
      <c r="S240" s="4"/>
      <c r="T240" s="4"/>
      <c r="U240" s="4"/>
      <c r="V240" s="4"/>
      <c r="W240" s="4">
        <v>379.00049999999999</v>
      </c>
      <c r="X240" s="4">
        <v>1</v>
      </c>
      <c r="Y240" s="4">
        <v>379.00049999999999</v>
      </c>
      <c r="Z240" s="4"/>
      <c r="AA240" s="4"/>
      <c r="AB240" s="4"/>
    </row>
    <row r="241" spans="1:28" x14ac:dyDescent="0.2">
      <c r="A241" s="4">
        <v>50</v>
      </c>
      <c r="B241" s="4">
        <v>0</v>
      </c>
      <c r="C241" s="4">
        <v>0</v>
      </c>
      <c r="D241" s="4">
        <v>1</v>
      </c>
      <c r="E241" s="4">
        <v>208</v>
      </c>
      <c r="F241" s="4">
        <f>Source!V218</f>
        <v>0</v>
      </c>
      <c r="G241" s="4" t="s">
        <v>64</v>
      </c>
      <c r="H241" s="4" t="s">
        <v>65</v>
      </c>
      <c r="I241" s="4"/>
      <c r="J241" s="4"/>
      <c r="K241" s="4">
        <v>208</v>
      </c>
      <c r="L241" s="4">
        <v>22</v>
      </c>
      <c r="M241" s="4">
        <v>3</v>
      </c>
      <c r="N241" s="4" t="s">
        <v>3</v>
      </c>
      <c r="O241" s="4">
        <v>-1</v>
      </c>
      <c r="P241" s="4"/>
      <c r="Q241" s="4"/>
      <c r="R241" s="4"/>
      <c r="S241" s="4"/>
      <c r="T241" s="4"/>
      <c r="U241" s="4"/>
      <c r="V241" s="4"/>
      <c r="W241" s="4">
        <v>0</v>
      </c>
      <c r="X241" s="4">
        <v>1</v>
      </c>
      <c r="Y241" s="4">
        <v>0</v>
      </c>
      <c r="Z241" s="4"/>
      <c r="AA241" s="4"/>
      <c r="AB241" s="4"/>
    </row>
    <row r="242" spans="1:28" x14ac:dyDescent="0.2">
      <c r="A242" s="4">
        <v>50</v>
      </c>
      <c r="B242" s="4">
        <v>0</v>
      </c>
      <c r="C242" s="4">
        <v>0</v>
      </c>
      <c r="D242" s="4">
        <v>1</v>
      </c>
      <c r="E242" s="4">
        <v>209</v>
      </c>
      <c r="F242" s="4">
        <f>ROUND(Source!W218,O242)</f>
        <v>0</v>
      </c>
      <c r="G242" s="4" t="s">
        <v>66</v>
      </c>
      <c r="H242" s="4" t="s">
        <v>67</v>
      </c>
      <c r="I242" s="4"/>
      <c r="J242" s="4"/>
      <c r="K242" s="4">
        <v>209</v>
      </c>
      <c r="L242" s="4">
        <v>23</v>
      </c>
      <c r="M242" s="4">
        <v>3</v>
      </c>
      <c r="N242" s="4" t="s">
        <v>3</v>
      </c>
      <c r="O242" s="4">
        <v>2</v>
      </c>
      <c r="P242" s="4"/>
      <c r="Q242" s="4"/>
      <c r="R242" s="4"/>
      <c r="S242" s="4"/>
      <c r="T242" s="4"/>
      <c r="U242" s="4"/>
      <c r="V242" s="4"/>
      <c r="W242" s="4">
        <v>0</v>
      </c>
      <c r="X242" s="4">
        <v>1</v>
      </c>
      <c r="Y242" s="4">
        <v>0</v>
      </c>
      <c r="Z242" s="4"/>
      <c r="AA242" s="4"/>
      <c r="AB242" s="4"/>
    </row>
    <row r="243" spans="1:28" x14ac:dyDescent="0.2">
      <c r="A243" s="4">
        <v>50</v>
      </c>
      <c r="B243" s="4">
        <v>0</v>
      </c>
      <c r="C243" s="4">
        <v>0</v>
      </c>
      <c r="D243" s="4">
        <v>1</v>
      </c>
      <c r="E243" s="4">
        <v>233</v>
      </c>
      <c r="F243" s="4">
        <f>ROUND(Source!BD218,O243)</f>
        <v>0</v>
      </c>
      <c r="G243" s="4" t="s">
        <v>68</v>
      </c>
      <c r="H243" s="4" t="s">
        <v>69</v>
      </c>
      <c r="I243" s="4"/>
      <c r="J243" s="4"/>
      <c r="K243" s="4">
        <v>233</v>
      </c>
      <c r="L243" s="4">
        <v>24</v>
      </c>
      <c r="M243" s="4">
        <v>3</v>
      </c>
      <c r="N243" s="4" t="s">
        <v>3</v>
      </c>
      <c r="O243" s="4">
        <v>2</v>
      </c>
      <c r="P243" s="4"/>
      <c r="Q243" s="4"/>
      <c r="R243" s="4"/>
      <c r="S243" s="4"/>
      <c r="T243" s="4"/>
      <c r="U243" s="4"/>
      <c r="V243" s="4"/>
      <c r="W243" s="4">
        <v>0</v>
      </c>
      <c r="X243" s="4">
        <v>1</v>
      </c>
      <c r="Y243" s="4">
        <v>0</v>
      </c>
      <c r="Z243" s="4"/>
      <c r="AA243" s="4"/>
      <c r="AB243" s="4"/>
    </row>
    <row r="244" spans="1:28" x14ac:dyDescent="0.2">
      <c r="A244" s="4">
        <v>50</v>
      </c>
      <c r="B244" s="4">
        <v>0</v>
      </c>
      <c r="C244" s="4">
        <v>0</v>
      </c>
      <c r="D244" s="4">
        <v>1</v>
      </c>
      <c r="E244" s="4">
        <v>210</v>
      </c>
      <c r="F244" s="4">
        <f>ROUND(Source!X218,O244)</f>
        <v>230546.27</v>
      </c>
      <c r="G244" s="4" t="s">
        <v>70</v>
      </c>
      <c r="H244" s="4" t="s">
        <v>71</v>
      </c>
      <c r="I244" s="4"/>
      <c r="J244" s="4"/>
      <c r="K244" s="4">
        <v>210</v>
      </c>
      <c r="L244" s="4">
        <v>25</v>
      </c>
      <c r="M244" s="4">
        <v>3</v>
      </c>
      <c r="N244" s="4" t="s">
        <v>3</v>
      </c>
      <c r="O244" s="4">
        <v>2</v>
      </c>
      <c r="P244" s="4"/>
      <c r="Q244" s="4"/>
      <c r="R244" s="4"/>
      <c r="S244" s="4"/>
      <c r="T244" s="4"/>
      <c r="U244" s="4"/>
      <c r="V244" s="4"/>
      <c r="W244" s="4">
        <v>230546.27</v>
      </c>
      <c r="X244" s="4">
        <v>1</v>
      </c>
      <c r="Y244" s="4">
        <v>230546.27</v>
      </c>
      <c r="Z244" s="4"/>
      <c r="AA244" s="4"/>
      <c r="AB244" s="4"/>
    </row>
    <row r="245" spans="1:28" x14ac:dyDescent="0.2">
      <c r="A245" s="4">
        <v>50</v>
      </c>
      <c r="B245" s="4">
        <v>0</v>
      </c>
      <c r="C245" s="4">
        <v>0</v>
      </c>
      <c r="D245" s="4">
        <v>1</v>
      </c>
      <c r="E245" s="4">
        <v>211</v>
      </c>
      <c r="F245" s="4">
        <f>ROUND(Source!Y218,O245)</f>
        <v>32935.18</v>
      </c>
      <c r="G245" s="4" t="s">
        <v>72</v>
      </c>
      <c r="H245" s="4" t="s">
        <v>73</v>
      </c>
      <c r="I245" s="4"/>
      <c r="J245" s="4"/>
      <c r="K245" s="4">
        <v>211</v>
      </c>
      <c r="L245" s="4">
        <v>26</v>
      </c>
      <c r="M245" s="4">
        <v>3</v>
      </c>
      <c r="N245" s="4" t="s">
        <v>3</v>
      </c>
      <c r="O245" s="4">
        <v>2</v>
      </c>
      <c r="P245" s="4"/>
      <c r="Q245" s="4"/>
      <c r="R245" s="4"/>
      <c r="S245" s="4"/>
      <c r="T245" s="4"/>
      <c r="U245" s="4"/>
      <c r="V245" s="4"/>
      <c r="W245" s="4">
        <v>32935.18</v>
      </c>
      <c r="X245" s="4">
        <v>1</v>
      </c>
      <c r="Y245" s="4">
        <v>32935.18</v>
      </c>
      <c r="Z245" s="4"/>
      <c r="AA245" s="4"/>
      <c r="AB245" s="4"/>
    </row>
    <row r="246" spans="1:28" x14ac:dyDescent="0.2">
      <c r="A246" s="4">
        <v>50</v>
      </c>
      <c r="B246" s="4">
        <v>0</v>
      </c>
      <c r="C246" s="4">
        <v>0</v>
      </c>
      <c r="D246" s="4">
        <v>1</v>
      </c>
      <c r="E246" s="4">
        <v>224</v>
      </c>
      <c r="F246" s="4">
        <f>ROUND(Source!AR218,O246)</f>
        <v>771418.18</v>
      </c>
      <c r="G246" s="4" t="s">
        <v>74</v>
      </c>
      <c r="H246" s="4" t="s">
        <v>75</v>
      </c>
      <c r="I246" s="4"/>
      <c r="J246" s="4"/>
      <c r="K246" s="4">
        <v>224</v>
      </c>
      <c r="L246" s="4">
        <v>27</v>
      </c>
      <c r="M246" s="4">
        <v>3</v>
      </c>
      <c r="N246" s="4" t="s">
        <v>3</v>
      </c>
      <c r="O246" s="4">
        <v>2</v>
      </c>
      <c r="P246" s="4"/>
      <c r="Q246" s="4"/>
      <c r="R246" s="4"/>
      <c r="S246" s="4"/>
      <c r="T246" s="4"/>
      <c r="U246" s="4"/>
      <c r="V246" s="4"/>
      <c r="W246" s="4">
        <v>771418.18</v>
      </c>
      <c r="X246" s="4">
        <v>1</v>
      </c>
      <c r="Y246" s="4">
        <v>771418.18</v>
      </c>
      <c r="Z246" s="4"/>
      <c r="AA246" s="4"/>
      <c r="AB246" s="4"/>
    </row>
    <row r="249" spans="1:28" x14ac:dyDescent="0.2">
      <c r="A249">
        <v>-1</v>
      </c>
    </row>
    <row r="251" spans="1:28" x14ac:dyDescent="0.2">
      <c r="A251" s="3">
        <v>75</v>
      </c>
      <c r="B251" s="3" t="s">
        <v>182</v>
      </c>
      <c r="C251" s="3">
        <v>2026</v>
      </c>
      <c r="D251" s="3">
        <v>0</v>
      </c>
      <c r="E251" s="3">
        <v>1</v>
      </c>
      <c r="F251" s="3">
        <v>0</v>
      </c>
      <c r="G251" s="3">
        <v>0</v>
      </c>
      <c r="H251" s="3">
        <v>1</v>
      </c>
      <c r="I251" s="3">
        <v>0</v>
      </c>
      <c r="J251" s="3">
        <v>1</v>
      </c>
      <c r="K251" s="3">
        <v>78</v>
      </c>
      <c r="L251" s="3">
        <v>30</v>
      </c>
      <c r="M251" s="3">
        <v>0</v>
      </c>
      <c r="N251" s="3">
        <v>76395835</v>
      </c>
      <c r="O251" s="3">
        <v>1</v>
      </c>
    </row>
    <row r="255" spans="1:28" x14ac:dyDescent="0.2">
      <c r="A255">
        <v>65</v>
      </c>
      <c r="C255">
        <v>1</v>
      </c>
      <c r="D255">
        <v>0</v>
      </c>
      <c r="E255">
        <v>245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C51"/>
  <sheetViews>
    <sheetView workbookViewId="0"/>
  </sheetViews>
  <sheetFormatPr defaultColWidth="9.140625" defaultRowHeight="12.75" x14ac:dyDescent="0.2"/>
  <cols>
    <col min="1" max="256" width="9.140625" customWidth="1"/>
  </cols>
  <sheetData>
    <row r="1" spans="1:133" x14ac:dyDescent="0.2">
      <c r="A1">
        <v>0</v>
      </c>
      <c r="B1" t="s">
        <v>0</v>
      </c>
      <c r="D1" t="s">
        <v>183</v>
      </c>
      <c r="F1">
        <v>0</v>
      </c>
      <c r="G1">
        <v>0</v>
      </c>
      <c r="H1">
        <v>0</v>
      </c>
      <c r="I1" t="s">
        <v>2</v>
      </c>
      <c r="J1" t="s">
        <v>3</v>
      </c>
      <c r="K1">
        <v>0</v>
      </c>
      <c r="L1">
        <v>31271</v>
      </c>
      <c r="M1">
        <v>10</v>
      </c>
      <c r="N1">
        <v>11</v>
      </c>
      <c r="O1">
        <v>15</v>
      </c>
      <c r="P1">
        <v>0</v>
      </c>
      <c r="Q1">
        <v>2</v>
      </c>
    </row>
    <row r="12" spans="1:133" x14ac:dyDescent="0.2">
      <c r="A12" s="1">
        <v>1</v>
      </c>
      <c r="B12" s="1">
        <v>51</v>
      </c>
      <c r="C12" s="1">
        <v>0</v>
      </c>
      <c r="D12" s="1"/>
      <c r="E12" s="1">
        <v>0</v>
      </c>
      <c r="F12" s="1" t="s">
        <v>266</v>
      </c>
      <c r="G12" s="1" t="s">
        <v>4</v>
      </c>
      <c r="H12" s="1" t="s">
        <v>3</v>
      </c>
      <c r="I12" s="1">
        <v>0</v>
      </c>
      <c r="J12" s="1" t="s">
        <v>3</v>
      </c>
      <c r="K12" s="1">
        <v>0</v>
      </c>
      <c r="L12" s="1">
        <v>0</v>
      </c>
      <c r="M12" s="1">
        <v>2</v>
      </c>
      <c r="N12" s="1"/>
      <c r="O12" s="1">
        <v>0</v>
      </c>
      <c r="P12" s="1">
        <v>0</v>
      </c>
      <c r="Q12" s="1">
        <v>0</v>
      </c>
      <c r="R12" s="1">
        <v>108</v>
      </c>
      <c r="S12" s="1"/>
      <c r="T12" s="1">
        <v>1</v>
      </c>
      <c r="U12" s="1" t="s">
        <v>3</v>
      </c>
      <c r="V12" s="1">
        <v>0</v>
      </c>
      <c r="W12" s="1" t="s">
        <v>3</v>
      </c>
      <c r="X12" s="1" t="s">
        <v>3</v>
      </c>
      <c r="Y12" s="1" t="s">
        <v>3</v>
      </c>
      <c r="Z12" s="1" t="s">
        <v>3</v>
      </c>
      <c r="AA12" s="1" t="s">
        <v>3</v>
      </c>
      <c r="AB12" s="1" t="s">
        <v>3</v>
      </c>
      <c r="AC12" s="1" t="s">
        <v>3</v>
      </c>
      <c r="AD12" s="1" t="s">
        <v>3</v>
      </c>
      <c r="AE12" s="1" t="s">
        <v>3</v>
      </c>
      <c r="AF12" s="1" t="s">
        <v>3</v>
      </c>
      <c r="AG12" s="1" t="s">
        <v>3</v>
      </c>
      <c r="AH12" s="1" t="s">
        <v>3</v>
      </c>
      <c r="AI12" s="1" t="s">
        <v>3</v>
      </c>
      <c r="AJ12" s="1" t="s">
        <v>3</v>
      </c>
      <c r="AK12" s="1"/>
      <c r="AL12" s="1" t="s">
        <v>3</v>
      </c>
      <c r="AM12" s="1" t="s">
        <v>3</v>
      </c>
      <c r="AN12" s="1" t="s">
        <v>3</v>
      </c>
      <c r="AO12" s="1"/>
      <c r="AP12" s="1" t="s">
        <v>3</v>
      </c>
      <c r="AQ12" s="1" t="s">
        <v>3</v>
      </c>
      <c r="AR12" s="1" t="s">
        <v>3</v>
      </c>
      <c r="AS12" s="1"/>
      <c r="AT12" s="1"/>
      <c r="AU12" s="1"/>
      <c r="AV12" s="1"/>
      <c r="AW12" s="1"/>
      <c r="AX12" s="1" t="s">
        <v>3</v>
      </c>
      <c r="AY12" s="1" t="s">
        <v>3</v>
      </c>
      <c r="AZ12" s="1" t="s">
        <v>3</v>
      </c>
      <c r="BA12" s="1"/>
      <c r="BB12" s="1">
        <v>0</v>
      </c>
      <c r="BC12" s="1"/>
      <c r="BD12" s="1"/>
      <c r="BE12" s="1"/>
      <c r="BF12" s="1"/>
      <c r="BG12" s="1"/>
      <c r="BH12" s="1" t="s">
        <v>5</v>
      </c>
      <c r="BI12" s="1" t="s">
        <v>6</v>
      </c>
      <c r="BJ12" s="1">
        <v>1</v>
      </c>
      <c r="BK12" s="1">
        <v>1</v>
      </c>
      <c r="BL12" s="1">
        <v>0</v>
      </c>
      <c r="BM12" s="1">
        <v>0</v>
      </c>
      <c r="BN12" s="1">
        <v>1</v>
      </c>
      <c r="BO12" s="1">
        <v>0</v>
      </c>
      <c r="BP12" s="1">
        <v>6</v>
      </c>
      <c r="BQ12" s="1">
        <v>2</v>
      </c>
      <c r="BR12" s="1">
        <v>1</v>
      </c>
      <c r="BS12" s="1">
        <v>1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 t="s">
        <v>7</v>
      </c>
      <c r="BZ12" s="1" t="s">
        <v>8</v>
      </c>
      <c r="CA12" s="1" t="s">
        <v>9</v>
      </c>
      <c r="CB12" s="1" t="s">
        <v>9</v>
      </c>
      <c r="CC12" s="1" t="s">
        <v>9</v>
      </c>
      <c r="CD12" s="1" t="s">
        <v>9</v>
      </c>
      <c r="CE12" s="1" t="s">
        <v>10</v>
      </c>
      <c r="CF12" s="1">
        <v>0</v>
      </c>
      <c r="CG12" s="1">
        <v>0</v>
      </c>
      <c r="CH12" s="1">
        <v>8</v>
      </c>
      <c r="CI12" s="1" t="s">
        <v>3</v>
      </c>
      <c r="CJ12" s="1" t="s">
        <v>3</v>
      </c>
      <c r="CK12" s="1">
        <v>0</v>
      </c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>
        <v>0</v>
      </c>
      <c r="CZ12" s="1" t="s">
        <v>3</v>
      </c>
      <c r="DA12" s="1" t="s">
        <v>3</v>
      </c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>
        <v>0</v>
      </c>
    </row>
    <row r="14" spans="1:133" x14ac:dyDescent="0.2">
      <c r="A14" s="1">
        <v>22</v>
      </c>
      <c r="B14" s="1">
        <v>1</v>
      </c>
      <c r="C14" s="1">
        <v>0</v>
      </c>
      <c r="D14" s="1">
        <v>76395835</v>
      </c>
      <c r="E14" s="1">
        <v>0</v>
      </c>
      <c r="F14" s="1">
        <v>2</v>
      </c>
      <c r="G14" s="1">
        <v>1</v>
      </c>
      <c r="H14" s="1"/>
      <c r="I14" s="1"/>
      <c r="J14" s="1"/>
      <c r="K14" s="1"/>
      <c r="L14" s="1"/>
      <c r="M14" s="1"/>
      <c r="N14" s="1"/>
      <c r="O14" s="1"/>
    </row>
    <row r="16" spans="1:133" x14ac:dyDescent="0.2">
      <c r="A16" s="5">
        <v>3</v>
      </c>
      <c r="B16" s="5">
        <v>1</v>
      </c>
      <c r="C16" s="5" t="s">
        <v>11</v>
      </c>
      <c r="D16" s="5" t="s">
        <v>12</v>
      </c>
      <c r="E16" s="6">
        <f>ROUND((Source!F205)/1000,2)</f>
        <v>0</v>
      </c>
      <c r="F16" s="6">
        <f>ROUND((Source!F206)/1000,2)</f>
        <v>0</v>
      </c>
      <c r="G16" s="6">
        <f>ROUND((Source!F197)/1000,2)</f>
        <v>0</v>
      </c>
      <c r="H16" s="6">
        <f>ROUND((Source!F207)/1000+(Source!F208)/1000,2)</f>
        <v>771.42</v>
      </c>
      <c r="I16" s="6">
        <f>E16+F16+G16+H16</f>
        <v>771.42</v>
      </c>
      <c r="J16" s="6">
        <f>ROUND((Source!F203+Source!F202)/1000,2)</f>
        <v>353.4</v>
      </c>
      <c r="K16" s="6">
        <v>585.95000000000005</v>
      </c>
      <c r="L16" s="6">
        <v>0</v>
      </c>
      <c r="M16" s="6">
        <v>0</v>
      </c>
      <c r="N16" s="6">
        <f>I16+L16+M16</f>
        <v>771.42</v>
      </c>
      <c r="AI16" s="5">
        <v>0</v>
      </c>
      <c r="AJ16" s="5">
        <v>0</v>
      </c>
      <c r="AK16" s="5" t="s">
        <v>3</v>
      </c>
      <c r="AL16" s="5" t="s">
        <v>3</v>
      </c>
      <c r="AM16" s="5" t="s">
        <v>3</v>
      </c>
      <c r="AN16" s="5">
        <v>0</v>
      </c>
      <c r="AO16" s="5" t="s">
        <v>3</v>
      </c>
      <c r="AP16" s="5" t="s">
        <v>3</v>
      </c>
      <c r="AT16" s="6">
        <v>481962.97</v>
      </c>
      <c r="AU16" s="6">
        <v>103990.9</v>
      </c>
      <c r="AV16" s="6">
        <v>0</v>
      </c>
      <c r="AW16" s="6">
        <v>0</v>
      </c>
      <c r="AX16" s="6">
        <v>0</v>
      </c>
      <c r="AY16" s="6">
        <v>48620.27</v>
      </c>
      <c r="AZ16" s="6">
        <v>24049.78</v>
      </c>
      <c r="BA16" s="6">
        <v>329351.8</v>
      </c>
      <c r="BB16" s="6">
        <v>0</v>
      </c>
      <c r="BC16" s="6">
        <v>0</v>
      </c>
      <c r="BD16" s="6">
        <v>771418.18</v>
      </c>
      <c r="BE16" s="6">
        <v>0</v>
      </c>
      <c r="BF16" s="6">
        <v>379.00049999999999</v>
      </c>
      <c r="BG16" s="6">
        <v>0</v>
      </c>
      <c r="BH16" s="6">
        <v>0</v>
      </c>
      <c r="BI16" s="6">
        <v>230546.27</v>
      </c>
      <c r="BJ16" s="6">
        <v>32935.18</v>
      </c>
      <c r="BK16" s="6">
        <v>771418.18</v>
      </c>
    </row>
    <row r="18" spans="1:16" x14ac:dyDescent="0.2">
      <c r="A18">
        <v>51</v>
      </c>
      <c r="E18">
        <v>0</v>
      </c>
      <c r="F18">
        <v>0</v>
      </c>
      <c r="G18">
        <v>0</v>
      </c>
      <c r="H18">
        <v>771.42</v>
      </c>
      <c r="I18">
        <v>771.42</v>
      </c>
      <c r="J18">
        <v>353.4</v>
      </c>
      <c r="K18">
        <v>585.95000000000005</v>
      </c>
      <c r="L18">
        <v>0</v>
      </c>
      <c r="M18">
        <v>0</v>
      </c>
      <c r="N18">
        <v>771.42</v>
      </c>
    </row>
    <row r="20" spans="1:16" x14ac:dyDescent="0.2">
      <c r="A20" s="4">
        <v>50</v>
      </c>
      <c r="B20" s="4">
        <v>0</v>
      </c>
      <c r="C20" s="4">
        <v>0</v>
      </c>
      <c r="D20" s="4">
        <v>1</v>
      </c>
      <c r="E20" s="4">
        <v>201</v>
      </c>
      <c r="F20" s="4">
        <v>481962.97</v>
      </c>
      <c r="G20" s="4" t="s">
        <v>22</v>
      </c>
      <c r="H20" s="4" t="s">
        <v>23</v>
      </c>
      <c r="I20" s="4"/>
      <c r="J20" s="4"/>
      <c r="K20" s="4">
        <v>201</v>
      </c>
      <c r="L20" s="4">
        <v>1</v>
      </c>
      <c r="M20" s="4">
        <v>3</v>
      </c>
      <c r="N20" s="4" t="s">
        <v>3</v>
      </c>
      <c r="O20" s="4">
        <v>2</v>
      </c>
      <c r="P20" s="4"/>
    </row>
    <row r="21" spans="1:16" x14ac:dyDescent="0.2">
      <c r="A21" s="4">
        <v>50</v>
      </c>
      <c r="B21" s="4">
        <v>0</v>
      </c>
      <c r="C21" s="4">
        <v>0</v>
      </c>
      <c r="D21" s="4">
        <v>1</v>
      </c>
      <c r="E21" s="4">
        <v>202</v>
      </c>
      <c r="F21" s="4">
        <v>103990.9</v>
      </c>
      <c r="G21" s="4" t="s">
        <v>24</v>
      </c>
      <c r="H21" s="4" t="s">
        <v>25</v>
      </c>
      <c r="I21" s="4"/>
      <c r="J21" s="4"/>
      <c r="K21" s="4">
        <v>202</v>
      </c>
      <c r="L21" s="4">
        <v>2</v>
      </c>
      <c r="M21" s="4">
        <v>3</v>
      </c>
      <c r="N21" s="4" t="s">
        <v>3</v>
      </c>
      <c r="O21" s="4">
        <v>2</v>
      </c>
      <c r="P21" s="4"/>
    </row>
    <row r="22" spans="1:16" x14ac:dyDescent="0.2">
      <c r="A22" s="4">
        <v>50</v>
      </c>
      <c r="B22" s="4">
        <v>0</v>
      </c>
      <c r="C22" s="4">
        <v>0</v>
      </c>
      <c r="D22" s="4">
        <v>1</v>
      </c>
      <c r="E22" s="4">
        <v>222</v>
      </c>
      <c r="F22" s="4">
        <v>0</v>
      </c>
      <c r="G22" s="4" t="s">
        <v>26</v>
      </c>
      <c r="H22" s="4" t="s">
        <v>27</v>
      </c>
      <c r="I22" s="4"/>
      <c r="J22" s="4"/>
      <c r="K22" s="4">
        <v>222</v>
      </c>
      <c r="L22" s="4">
        <v>3</v>
      </c>
      <c r="M22" s="4">
        <v>3</v>
      </c>
      <c r="N22" s="4" t="s">
        <v>3</v>
      </c>
      <c r="O22" s="4">
        <v>2</v>
      </c>
      <c r="P22" s="4"/>
    </row>
    <row r="23" spans="1:16" x14ac:dyDescent="0.2">
      <c r="A23" s="4">
        <v>50</v>
      </c>
      <c r="B23" s="4">
        <v>0</v>
      </c>
      <c r="C23" s="4">
        <v>0</v>
      </c>
      <c r="D23" s="4">
        <v>1</v>
      </c>
      <c r="E23" s="4">
        <v>225</v>
      </c>
      <c r="F23" s="4">
        <v>103990.9</v>
      </c>
      <c r="G23" s="4" t="s">
        <v>28</v>
      </c>
      <c r="H23" s="4" t="s">
        <v>29</v>
      </c>
      <c r="I23" s="4"/>
      <c r="J23" s="4"/>
      <c r="K23" s="4">
        <v>225</v>
      </c>
      <c r="L23" s="4">
        <v>4</v>
      </c>
      <c r="M23" s="4">
        <v>3</v>
      </c>
      <c r="N23" s="4" t="s">
        <v>3</v>
      </c>
      <c r="O23" s="4">
        <v>2</v>
      </c>
      <c r="P23" s="4"/>
    </row>
    <row r="24" spans="1:16" x14ac:dyDescent="0.2">
      <c r="A24" s="4">
        <v>50</v>
      </c>
      <c r="B24" s="4">
        <v>0</v>
      </c>
      <c r="C24" s="4">
        <v>0</v>
      </c>
      <c r="D24" s="4">
        <v>1</v>
      </c>
      <c r="E24" s="4">
        <v>226</v>
      </c>
      <c r="F24" s="4">
        <v>103990.9</v>
      </c>
      <c r="G24" s="4" t="s">
        <v>30</v>
      </c>
      <c r="H24" s="4" t="s">
        <v>31</v>
      </c>
      <c r="I24" s="4"/>
      <c r="J24" s="4"/>
      <c r="K24" s="4">
        <v>226</v>
      </c>
      <c r="L24" s="4">
        <v>5</v>
      </c>
      <c r="M24" s="4">
        <v>3</v>
      </c>
      <c r="N24" s="4" t="s">
        <v>3</v>
      </c>
      <c r="O24" s="4">
        <v>2</v>
      </c>
      <c r="P24" s="4"/>
    </row>
    <row r="25" spans="1:16" x14ac:dyDescent="0.2">
      <c r="A25" s="4">
        <v>50</v>
      </c>
      <c r="B25" s="4">
        <v>0</v>
      </c>
      <c r="C25" s="4">
        <v>0</v>
      </c>
      <c r="D25" s="4">
        <v>1</v>
      </c>
      <c r="E25" s="4">
        <v>227</v>
      </c>
      <c r="F25" s="4">
        <v>0</v>
      </c>
      <c r="G25" s="4" t="s">
        <v>32</v>
      </c>
      <c r="H25" s="4" t="s">
        <v>33</v>
      </c>
      <c r="I25" s="4"/>
      <c r="J25" s="4"/>
      <c r="K25" s="4">
        <v>227</v>
      </c>
      <c r="L25" s="4">
        <v>6</v>
      </c>
      <c r="M25" s="4">
        <v>3</v>
      </c>
      <c r="N25" s="4" t="s">
        <v>3</v>
      </c>
      <c r="O25" s="4">
        <v>2</v>
      </c>
      <c r="P25" s="4"/>
    </row>
    <row r="26" spans="1:16" x14ac:dyDescent="0.2">
      <c r="A26" s="4">
        <v>50</v>
      </c>
      <c r="B26" s="4">
        <v>0</v>
      </c>
      <c r="C26" s="4">
        <v>0</v>
      </c>
      <c r="D26" s="4">
        <v>1</v>
      </c>
      <c r="E26" s="4">
        <v>228</v>
      </c>
      <c r="F26" s="4">
        <v>103990.9</v>
      </c>
      <c r="G26" s="4" t="s">
        <v>34</v>
      </c>
      <c r="H26" s="4" t="s">
        <v>35</v>
      </c>
      <c r="I26" s="4"/>
      <c r="J26" s="4"/>
      <c r="K26" s="4">
        <v>228</v>
      </c>
      <c r="L26" s="4">
        <v>7</v>
      </c>
      <c r="M26" s="4">
        <v>3</v>
      </c>
      <c r="N26" s="4" t="s">
        <v>3</v>
      </c>
      <c r="O26" s="4">
        <v>2</v>
      </c>
      <c r="P26" s="4"/>
    </row>
    <row r="27" spans="1:16" x14ac:dyDescent="0.2">
      <c r="A27" s="4">
        <v>50</v>
      </c>
      <c r="B27" s="4">
        <v>0</v>
      </c>
      <c r="C27" s="4">
        <v>0</v>
      </c>
      <c r="D27" s="4">
        <v>1</v>
      </c>
      <c r="E27" s="4">
        <v>216</v>
      </c>
      <c r="F27" s="4">
        <v>0</v>
      </c>
      <c r="G27" s="4" t="s">
        <v>36</v>
      </c>
      <c r="H27" s="4" t="s">
        <v>37</v>
      </c>
      <c r="I27" s="4"/>
      <c r="J27" s="4"/>
      <c r="K27" s="4">
        <v>216</v>
      </c>
      <c r="L27" s="4">
        <v>8</v>
      </c>
      <c r="M27" s="4">
        <v>3</v>
      </c>
      <c r="N27" s="4" t="s">
        <v>3</v>
      </c>
      <c r="O27" s="4">
        <v>2</v>
      </c>
      <c r="P27" s="4"/>
    </row>
    <row r="28" spans="1:16" x14ac:dyDescent="0.2">
      <c r="A28" s="4">
        <v>50</v>
      </c>
      <c r="B28" s="4">
        <v>0</v>
      </c>
      <c r="C28" s="4">
        <v>0</v>
      </c>
      <c r="D28" s="4">
        <v>1</v>
      </c>
      <c r="E28" s="4">
        <v>223</v>
      </c>
      <c r="F28" s="4">
        <v>0</v>
      </c>
      <c r="G28" s="4" t="s">
        <v>38</v>
      </c>
      <c r="H28" s="4" t="s">
        <v>39</v>
      </c>
      <c r="I28" s="4"/>
      <c r="J28" s="4"/>
      <c r="K28" s="4">
        <v>223</v>
      </c>
      <c r="L28" s="4">
        <v>9</v>
      </c>
      <c r="M28" s="4">
        <v>3</v>
      </c>
      <c r="N28" s="4" t="s">
        <v>3</v>
      </c>
      <c r="O28" s="4">
        <v>2</v>
      </c>
      <c r="P28" s="4"/>
    </row>
    <row r="29" spans="1:16" x14ac:dyDescent="0.2">
      <c r="A29" s="4">
        <v>50</v>
      </c>
      <c r="B29" s="4">
        <v>0</v>
      </c>
      <c r="C29" s="4">
        <v>0</v>
      </c>
      <c r="D29" s="4">
        <v>1</v>
      </c>
      <c r="E29" s="4">
        <v>229</v>
      </c>
      <c r="F29" s="4">
        <v>0</v>
      </c>
      <c r="G29" s="4" t="s">
        <v>40</v>
      </c>
      <c r="H29" s="4" t="s">
        <v>41</v>
      </c>
      <c r="I29" s="4"/>
      <c r="J29" s="4"/>
      <c r="K29" s="4">
        <v>229</v>
      </c>
      <c r="L29" s="4">
        <v>10</v>
      </c>
      <c r="M29" s="4">
        <v>3</v>
      </c>
      <c r="N29" s="4" t="s">
        <v>3</v>
      </c>
      <c r="O29" s="4">
        <v>2</v>
      </c>
      <c r="P29" s="4"/>
    </row>
    <row r="30" spans="1:16" x14ac:dyDescent="0.2">
      <c r="A30" s="4">
        <v>50</v>
      </c>
      <c r="B30" s="4">
        <v>0</v>
      </c>
      <c r="C30" s="4">
        <v>0</v>
      </c>
      <c r="D30" s="4">
        <v>1</v>
      </c>
      <c r="E30" s="4">
        <v>203</v>
      </c>
      <c r="F30" s="4">
        <v>48620.27</v>
      </c>
      <c r="G30" s="4" t="s">
        <v>42</v>
      </c>
      <c r="H30" s="4" t="s">
        <v>43</v>
      </c>
      <c r="I30" s="4"/>
      <c r="J30" s="4"/>
      <c r="K30" s="4">
        <v>203</v>
      </c>
      <c r="L30" s="4">
        <v>11</v>
      </c>
      <c r="M30" s="4">
        <v>3</v>
      </c>
      <c r="N30" s="4" t="s">
        <v>3</v>
      </c>
      <c r="O30" s="4">
        <v>2</v>
      </c>
      <c r="P30" s="4"/>
    </row>
    <row r="31" spans="1:16" x14ac:dyDescent="0.2">
      <c r="A31" s="4">
        <v>50</v>
      </c>
      <c r="B31" s="4">
        <v>0</v>
      </c>
      <c r="C31" s="4">
        <v>0</v>
      </c>
      <c r="D31" s="4">
        <v>1</v>
      </c>
      <c r="E31" s="4">
        <v>231</v>
      </c>
      <c r="F31" s="4">
        <v>0</v>
      </c>
      <c r="G31" s="4" t="s">
        <v>44</v>
      </c>
      <c r="H31" s="4" t="s">
        <v>45</v>
      </c>
      <c r="I31" s="4"/>
      <c r="J31" s="4"/>
      <c r="K31" s="4">
        <v>231</v>
      </c>
      <c r="L31" s="4">
        <v>12</v>
      </c>
      <c r="M31" s="4">
        <v>3</v>
      </c>
      <c r="N31" s="4" t="s">
        <v>3</v>
      </c>
      <c r="O31" s="4">
        <v>2</v>
      </c>
      <c r="P31" s="4"/>
    </row>
    <row r="32" spans="1:16" x14ac:dyDescent="0.2">
      <c r="A32" s="4">
        <v>50</v>
      </c>
      <c r="B32" s="4">
        <v>0</v>
      </c>
      <c r="C32" s="4">
        <v>0</v>
      </c>
      <c r="D32" s="4">
        <v>1</v>
      </c>
      <c r="E32" s="4">
        <v>204</v>
      </c>
      <c r="F32" s="4">
        <v>24049.78</v>
      </c>
      <c r="G32" s="4" t="s">
        <v>46</v>
      </c>
      <c r="H32" s="4" t="s">
        <v>47</v>
      </c>
      <c r="I32" s="4"/>
      <c r="J32" s="4"/>
      <c r="K32" s="4">
        <v>204</v>
      </c>
      <c r="L32" s="4">
        <v>13</v>
      </c>
      <c r="M32" s="4">
        <v>3</v>
      </c>
      <c r="N32" s="4" t="s">
        <v>3</v>
      </c>
      <c r="O32" s="4">
        <v>2</v>
      </c>
      <c r="P32" s="4"/>
    </row>
    <row r="33" spans="1:16" x14ac:dyDescent="0.2">
      <c r="A33" s="4">
        <v>50</v>
      </c>
      <c r="B33" s="4">
        <v>0</v>
      </c>
      <c r="C33" s="4">
        <v>0</v>
      </c>
      <c r="D33" s="4">
        <v>1</v>
      </c>
      <c r="E33" s="4">
        <v>205</v>
      </c>
      <c r="F33" s="4">
        <v>329351.8</v>
      </c>
      <c r="G33" s="4" t="s">
        <v>48</v>
      </c>
      <c r="H33" s="4" t="s">
        <v>49</v>
      </c>
      <c r="I33" s="4"/>
      <c r="J33" s="4"/>
      <c r="K33" s="4">
        <v>205</v>
      </c>
      <c r="L33" s="4">
        <v>14</v>
      </c>
      <c r="M33" s="4">
        <v>3</v>
      </c>
      <c r="N33" s="4" t="s">
        <v>3</v>
      </c>
      <c r="O33" s="4">
        <v>2</v>
      </c>
      <c r="P33" s="4"/>
    </row>
    <row r="34" spans="1:16" x14ac:dyDescent="0.2">
      <c r="A34" s="4">
        <v>50</v>
      </c>
      <c r="B34" s="4">
        <v>0</v>
      </c>
      <c r="C34" s="4">
        <v>0</v>
      </c>
      <c r="D34" s="4">
        <v>1</v>
      </c>
      <c r="E34" s="4">
        <v>232</v>
      </c>
      <c r="F34" s="4">
        <v>0</v>
      </c>
      <c r="G34" s="4" t="s">
        <v>50</v>
      </c>
      <c r="H34" s="4" t="s">
        <v>51</v>
      </c>
      <c r="I34" s="4"/>
      <c r="J34" s="4"/>
      <c r="K34" s="4">
        <v>232</v>
      </c>
      <c r="L34" s="4">
        <v>15</v>
      </c>
      <c r="M34" s="4">
        <v>3</v>
      </c>
      <c r="N34" s="4" t="s">
        <v>3</v>
      </c>
      <c r="O34" s="4">
        <v>2</v>
      </c>
      <c r="P34" s="4"/>
    </row>
    <row r="35" spans="1:16" x14ac:dyDescent="0.2">
      <c r="A35" s="4">
        <v>50</v>
      </c>
      <c r="B35" s="4">
        <v>0</v>
      </c>
      <c r="C35" s="4">
        <v>0</v>
      </c>
      <c r="D35" s="4">
        <v>1</v>
      </c>
      <c r="E35" s="4">
        <v>214</v>
      </c>
      <c r="F35" s="4">
        <v>0</v>
      </c>
      <c r="G35" s="4" t="s">
        <v>52</v>
      </c>
      <c r="H35" s="4" t="s">
        <v>53</v>
      </c>
      <c r="I35" s="4"/>
      <c r="J35" s="4"/>
      <c r="K35" s="4">
        <v>214</v>
      </c>
      <c r="L35" s="4">
        <v>16</v>
      </c>
      <c r="M35" s="4">
        <v>3</v>
      </c>
      <c r="N35" s="4" t="s">
        <v>3</v>
      </c>
      <c r="O35" s="4">
        <v>2</v>
      </c>
      <c r="P35" s="4"/>
    </row>
    <row r="36" spans="1:16" x14ac:dyDescent="0.2">
      <c r="A36" s="4">
        <v>50</v>
      </c>
      <c r="B36" s="4">
        <v>0</v>
      </c>
      <c r="C36" s="4">
        <v>0</v>
      </c>
      <c r="D36" s="4">
        <v>1</v>
      </c>
      <c r="E36" s="4">
        <v>215</v>
      </c>
      <c r="F36" s="4">
        <v>0</v>
      </c>
      <c r="G36" s="4" t="s">
        <v>54</v>
      </c>
      <c r="H36" s="4" t="s">
        <v>55</v>
      </c>
      <c r="I36" s="4"/>
      <c r="J36" s="4"/>
      <c r="K36" s="4">
        <v>215</v>
      </c>
      <c r="L36" s="4">
        <v>17</v>
      </c>
      <c r="M36" s="4">
        <v>3</v>
      </c>
      <c r="N36" s="4" t="s">
        <v>3</v>
      </c>
      <c r="O36" s="4">
        <v>2</v>
      </c>
      <c r="P36" s="4"/>
    </row>
    <row r="37" spans="1:16" x14ac:dyDescent="0.2">
      <c r="A37" s="4">
        <v>50</v>
      </c>
      <c r="B37" s="4">
        <v>0</v>
      </c>
      <c r="C37" s="4">
        <v>0</v>
      </c>
      <c r="D37" s="4">
        <v>1</v>
      </c>
      <c r="E37" s="4">
        <v>217</v>
      </c>
      <c r="F37" s="4">
        <v>771418.18</v>
      </c>
      <c r="G37" s="4" t="s">
        <v>56</v>
      </c>
      <c r="H37" s="4" t="s">
        <v>57</v>
      </c>
      <c r="I37" s="4"/>
      <c r="J37" s="4"/>
      <c r="K37" s="4">
        <v>217</v>
      </c>
      <c r="L37" s="4">
        <v>18</v>
      </c>
      <c r="M37" s="4">
        <v>3</v>
      </c>
      <c r="N37" s="4" t="s">
        <v>3</v>
      </c>
      <c r="O37" s="4">
        <v>2</v>
      </c>
      <c r="P37" s="4"/>
    </row>
    <row r="38" spans="1:16" x14ac:dyDescent="0.2">
      <c r="A38" s="4">
        <v>50</v>
      </c>
      <c r="B38" s="4">
        <v>0</v>
      </c>
      <c r="C38" s="4">
        <v>0</v>
      </c>
      <c r="D38" s="4">
        <v>1</v>
      </c>
      <c r="E38" s="4">
        <v>230</v>
      </c>
      <c r="F38" s="4">
        <v>0</v>
      </c>
      <c r="G38" s="4" t="s">
        <v>58</v>
      </c>
      <c r="H38" s="4" t="s">
        <v>59</v>
      </c>
      <c r="I38" s="4"/>
      <c r="J38" s="4"/>
      <c r="K38" s="4">
        <v>230</v>
      </c>
      <c r="L38" s="4">
        <v>19</v>
      </c>
      <c r="M38" s="4">
        <v>3</v>
      </c>
      <c r="N38" s="4" t="s">
        <v>3</v>
      </c>
      <c r="O38" s="4">
        <v>2</v>
      </c>
      <c r="P38" s="4"/>
    </row>
    <row r="39" spans="1:16" x14ac:dyDescent="0.2">
      <c r="A39" s="4">
        <v>50</v>
      </c>
      <c r="B39" s="4">
        <v>0</v>
      </c>
      <c r="C39" s="4">
        <v>0</v>
      </c>
      <c r="D39" s="4">
        <v>1</v>
      </c>
      <c r="E39" s="4">
        <v>206</v>
      </c>
      <c r="F39" s="4">
        <v>0</v>
      </c>
      <c r="G39" s="4" t="s">
        <v>60</v>
      </c>
      <c r="H39" s="4" t="s">
        <v>61</v>
      </c>
      <c r="I39" s="4"/>
      <c r="J39" s="4"/>
      <c r="K39" s="4">
        <v>206</v>
      </c>
      <c r="L39" s="4">
        <v>20</v>
      </c>
      <c r="M39" s="4">
        <v>3</v>
      </c>
      <c r="N39" s="4" t="s">
        <v>3</v>
      </c>
      <c r="O39" s="4">
        <v>2</v>
      </c>
      <c r="P39" s="4"/>
    </row>
    <row r="40" spans="1:16" x14ac:dyDescent="0.2">
      <c r="A40" s="4">
        <v>50</v>
      </c>
      <c r="B40" s="4">
        <v>0</v>
      </c>
      <c r="C40" s="4">
        <v>0</v>
      </c>
      <c r="D40" s="4">
        <v>1</v>
      </c>
      <c r="E40" s="4">
        <v>207</v>
      </c>
      <c r="F40" s="4">
        <v>379.00049999999999</v>
      </c>
      <c r="G40" s="4" t="s">
        <v>62</v>
      </c>
      <c r="H40" s="4" t="s">
        <v>63</v>
      </c>
      <c r="I40" s="4"/>
      <c r="J40" s="4"/>
      <c r="K40" s="4">
        <v>207</v>
      </c>
      <c r="L40" s="4">
        <v>21</v>
      </c>
      <c r="M40" s="4">
        <v>3</v>
      </c>
      <c r="N40" s="4" t="s">
        <v>3</v>
      </c>
      <c r="O40" s="4">
        <v>-1</v>
      </c>
      <c r="P40" s="4"/>
    </row>
    <row r="41" spans="1:16" x14ac:dyDescent="0.2">
      <c r="A41" s="4">
        <v>50</v>
      </c>
      <c r="B41" s="4">
        <v>0</v>
      </c>
      <c r="C41" s="4">
        <v>0</v>
      </c>
      <c r="D41" s="4">
        <v>1</v>
      </c>
      <c r="E41" s="4">
        <v>208</v>
      </c>
      <c r="F41" s="4">
        <v>0</v>
      </c>
      <c r="G41" s="4" t="s">
        <v>64</v>
      </c>
      <c r="H41" s="4" t="s">
        <v>65</v>
      </c>
      <c r="I41" s="4"/>
      <c r="J41" s="4"/>
      <c r="K41" s="4">
        <v>208</v>
      </c>
      <c r="L41" s="4">
        <v>22</v>
      </c>
      <c r="M41" s="4">
        <v>3</v>
      </c>
      <c r="N41" s="4" t="s">
        <v>3</v>
      </c>
      <c r="O41" s="4">
        <v>-1</v>
      </c>
      <c r="P41" s="4"/>
    </row>
    <row r="42" spans="1:16" x14ac:dyDescent="0.2">
      <c r="A42" s="4">
        <v>50</v>
      </c>
      <c r="B42" s="4">
        <v>0</v>
      </c>
      <c r="C42" s="4">
        <v>0</v>
      </c>
      <c r="D42" s="4">
        <v>1</v>
      </c>
      <c r="E42" s="4">
        <v>209</v>
      </c>
      <c r="F42" s="4">
        <v>0</v>
      </c>
      <c r="G42" s="4" t="s">
        <v>66</v>
      </c>
      <c r="H42" s="4" t="s">
        <v>67</v>
      </c>
      <c r="I42" s="4"/>
      <c r="J42" s="4"/>
      <c r="K42" s="4">
        <v>209</v>
      </c>
      <c r="L42" s="4">
        <v>23</v>
      </c>
      <c r="M42" s="4">
        <v>3</v>
      </c>
      <c r="N42" s="4" t="s">
        <v>3</v>
      </c>
      <c r="O42" s="4">
        <v>2</v>
      </c>
      <c r="P42" s="4"/>
    </row>
    <row r="43" spans="1:16" x14ac:dyDescent="0.2">
      <c r="A43" s="4">
        <v>50</v>
      </c>
      <c r="B43" s="4">
        <v>0</v>
      </c>
      <c r="C43" s="4">
        <v>0</v>
      </c>
      <c r="D43" s="4">
        <v>1</v>
      </c>
      <c r="E43" s="4">
        <v>233</v>
      </c>
      <c r="F43" s="4">
        <v>0</v>
      </c>
      <c r="G43" s="4" t="s">
        <v>68</v>
      </c>
      <c r="H43" s="4" t="s">
        <v>69</v>
      </c>
      <c r="I43" s="4"/>
      <c r="J43" s="4"/>
      <c r="K43" s="4">
        <v>233</v>
      </c>
      <c r="L43" s="4">
        <v>24</v>
      </c>
      <c r="M43" s="4">
        <v>3</v>
      </c>
      <c r="N43" s="4" t="s">
        <v>3</v>
      </c>
      <c r="O43" s="4">
        <v>2</v>
      </c>
      <c r="P43" s="4"/>
    </row>
    <row r="44" spans="1:16" x14ac:dyDescent="0.2">
      <c r="A44" s="4">
        <v>50</v>
      </c>
      <c r="B44" s="4">
        <v>0</v>
      </c>
      <c r="C44" s="4">
        <v>0</v>
      </c>
      <c r="D44" s="4">
        <v>1</v>
      </c>
      <c r="E44" s="4">
        <v>210</v>
      </c>
      <c r="F44" s="4">
        <v>230546.27</v>
      </c>
      <c r="G44" s="4" t="s">
        <v>70</v>
      </c>
      <c r="H44" s="4" t="s">
        <v>71</v>
      </c>
      <c r="I44" s="4"/>
      <c r="J44" s="4"/>
      <c r="K44" s="4">
        <v>210</v>
      </c>
      <c r="L44" s="4">
        <v>25</v>
      </c>
      <c r="M44" s="4">
        <v>3</v>
      </c>
      <c r="N44" s="4" t="s">
        <v>3</v>
      </c>
      <c r="O44" s="4">
        <v>2</v>
      </c>
      <c r="P44" s="4"/>
    </row>
    <row r="45" spans="1:16" x14ac:dyDescent="0.2">
      <c r="A45" s="4">
        <v>50</v>
      </c>
      <c r="B45" s="4">
        <v>0</v>
      </c>
      <c r="C45" s="4">
        <v>0</v>
      </c>
      <c r="D45" s="4">
        <v>1</v>
      </c>
      <c r="E45" s="4">
        <v>211</v>
      </c>
      <c r="F45" s="4">
        <v>32935.18</v>
      </c>
      <c r="G45" s="4" t="s">
        <v>72</v>
      </c>
      <c r="H45" s="4" t="s">
        <v>73</v>
      </c>
      <c r="I45" s="4"/>
      <c r="J45" s="4"/>
      <c r="K45" s="4">
        <v>211</v>
      </c>
      <c r="L45" s="4">
        <v>26</v>
      </c>
      <c r="M45" s="4">
        <v>3</v>
      </c>
      <c r="N45" s="4" t="s">
        <v>3</v>
      </c>
      <c r="O45" s="4">
        <v>2</v>
      </c>
      <c r="P45" s="4"/>
    </row>
    <row r="46" spans="1:16" x14ac:dyDescent="0.2">
      <c r="A46" s="4">
        <v>50</v>
      </c>
      <c r="B46" s="4">
        <v>0</v>
      </c>
      <c r="C46" s="4">
        <v>0</v>
      </c>
      <c r="D46" s="4">
        <v>1</v>
      </c>
      <c r="E46" s="4">
        <v>224</v>
      </c>
      <c r="F46" s="4">
        <v>771418.18</v>
      </c>
      <c r="G46" s="4" t="s">
        <v>74</v>
      </c>
      <c r="H46" s="4" t="s">
        <v>75</v>
      </c>
      <c r="I46" s="4"/>
      <c r="J46" s="4"/>
      <c r="K46" s="4">
        <v>224</v>
      </c>
      <c r="L46" s="4">
        <v>27</v>
      </c>
      <c r="M46" s="4">
        <v>3</v>
      </c>
      <c r="N46" s="4" t="s">
        <v>3</v>
      </c>
      <c r="O46" s="4">
        <v>2</v>
      </c>
      <c r="P46" s="4"/>
    </row>
    <row r="48" spans="1:16" x14ac:dyDescent="0.2">
      <c r="A48">
        <v>-1</v>
      </c>
    </row>
    <row r="51" spans="1:15" x14ac:dyDescent="0.2">
      <c r="A51" s="3">
        <v>75</v>
      </c>
      <c r="B51" s="3" t="s">
        <v>182</v>
      </c>
      <c r="C51" s="3">
        <v>2026</v>
      </c>
      <c r="D51" s="3">
        <v>0</v>
      </c>
      <c r="E51" s="3">
        <v>1</v>
      </c>
      <c r="F51" s="3">
        <v>0</v>
      </c>
      <c r="G51" s="3">
        <v>0</v>
      </c>
      <c r="H51" s="3">
        <v>1</v>
      </c>
      <c r="I51" s="3">
        <v>0</v>
      </c>
      <c r="J51" s="3">
        <v>1</v>
      </c>
      <c r="K51" s="3">
        <v>78</v>
      </c>
      <c r="L51" s="3">
        <v>30</v>
      </c>
      <c r="M51" s="3">
        <v>0</v>
      </c>
      <c r="N51" s="3">
        <v>76395835</v>
      </c>
      <c r="O51" s="3">
        <v>1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O63"/>
  <sheetViews>
    <sheetView workbookViewId="0"/>
  </sheetViews>
  <sheetFormatPr defaultColWidth="9.140625" defaultRowHeight="12.75" x14ac:dyDescent="0.2"/>
  <cols>
    <col min="1" max="256" width="9.140625" customWidth="1"/>
  </cols>
  <sheetData>
    <row r="1" spans="1:119" x14ac:dyDescent="0.2">
      <c r="A1">
        <f>ROW(Source!A68)</f>
        <v>68</v>
      </c>
      <c r="B1">
        <v>76395835</v>
      </c>
      <c r="C1">
        <v>76396418</v>
      </c>
      <c r="D1">
        <v>75874090</v>
      </c>
      <c r="E1">
        <v>15872964</v>
      </c>
      <c r="F1">
        <v>1</v>
      </c>
      <c r="G1">
        <v>15872964</v>
      </c>
      <c r="H1">
        <v>1</v>
      </c>
      <c r="I1" t="s">
        <v>184</v>
      </c>
      <c r="J1" t="s">
        <v>3</v>
      </c>
      <c r="K1" t="s">
        <v>185</v>
      </c>
      <c r="L1">
        <v>1191</v>
      </c>
      <c r="N1">
        <v>1013</v>
      </c>
      <c r="O1" t="s">
        <v>186</v>
      </c>
      <c r="P1" t="s">
        <v>186</v>
      </c>
      <c r="Q1">
        <v>1</v>
      </c>
      <c r="W1">
        <v>0</v>
      </c>
      <c r="X1">
        <v>476480486</v>
      </c>
      <c r="Y1">
        <f t="shared" ref="Y1:Y32" si="0">AT1</f>
        <v>9.1999999999999993</v>
      </c>
      <c r="AA1">
        <v>0</v>
      </c>
      <c r="AB1">
        <v>0</v>
      </c>
      <c r="AC1">
        <v>0</v>
      </c>
      <c r="AD1">
        <v>0</v>
      </c>
      <c r="AE1">
        <v>0</v>
      </c>
      <c r="AF1">
        <v>0</v>
      </c>
      <c r="AG1">
        <v>0</v>
      </c>
      <c r="AH1">
        <v>0</v>
      </c>
      <c r="AI1">
        <v>1</v>
      </c>
      <c r="AJ1">
        <v>1</v>
      </c>
      <c r="AK1">
        <v>1</v>
      </c>
      <c r="AL1">
        <v>1</v>
      </c>
      <c r="AM1">
        <v>-2</v>
      </c>
      <c r="AN1">
        <v>0</v>
      </c>
      <c r="AO1">
        <v>1</v>
      </c>
      <c r="AP1">
        <v>0</v>
      </c>
      <c r="AQ1">
        <v>0</v>
      </c>
      <c r="AR1">
        <v>0</v>
      </c>
      <c r="AS1" t="s">
        <v>3</v>
      </c>
      <c r="AT1">
        <v>9.1999999999999993</v>
      </c>
      <c r="AU1" t="s">
        <v>3</v>
      </c>
      <c r="AV1">
        <v>1</v>
      </c>
      <c r="AW1">
        <v>2</v>
      </c>
      <c r="AX1">
        <v>76396420</v>
      </c>
      <c r="AY1">
        <v>1</v>
      </c>
      <c r="AZ1">
        <v>0</v>
      </c>
      <c r="BA1">
        <v>1</v>
      </c>
      <c r="BB1">
        <v>0</v>
      </c>
      <c r="BC1">
        <v>0</v>
      </c>
      <c r="BD1">
        <v>0</v>
      </c>
      <c r="BE1">
        <v>0</v>
      </c>
      <c r="BF1">
        <v>0</v>
      </c>
      <c r="BG1">
        <v>0</v>
      </c>
      <c r="BH1">
        <v>0</v>
      </c>
      <c r="BI1">
        <v>0</v>
      </c>
      <c r="BJ1">
        <v>0</v>
      </c>
      <c r="BK1">
        <v>0</v>
      </c>
      <c r="BL1">
        <v>0</v>
      </c>
      <c r="BM1">
        <v>0</v>
      </c>
      <c r="BN1">
        <v>0</v>
      </c>
      <c r="BO1">
        <v>0</v>
      </c>
      <c r="BP1">
        <v>0</v>
      </c>
      <c r="BQ1">
        <v>0</v>
      </c>
      <c r="BR1">
        <v>0</v>
      </c>
      <c r="BS1">
        <v>0</v>
      </c>
      <c r="BT1">
        <v>0</v>
      </c>
      <c r="BU1">
        <v>0</v>
      </c>
      <c r="BV1">
        <v>0</v>
      </c>
      <c r="BW1">
        <v>0</v>
      </c>
      <c r="CU1">
        <f>ROUND(AT1*Source!I68*AH1*AL1,2)</f>
        <v>0</v>
      </c>
      <c r="CV1">
        <f>ROUND(Y1*Source!I68,9)</f>
        <v>46</v>
      </c>
      <c r="CW1">
        <v>0</v>
      </c>
      <c r="CX1">
        <f>ROUND(Y1*Source!I68,9)</f>
        <v>46</v>
      </c>
      <c r="CY1">
        <f>AD1</f>
        <v>0</v>
      </c>
      <c r="CZ1">
        <f>AH1</f>
        <v>0</v>
      </c>
      <c r="DA1">
        <f>AL1</f>
        <v>1</v>
      </c>
      <c r="DB1">
        <f t="shared" ref="DB1:DB32" si="1">ROUND(ROUND(AT1*CZ1,2),6)</f>
        <v>0</v>
      </c>
      <c r="DC1">
        <f t="shared" ref="DC1:DC32" si="2">ROUND(ROUND(AT1*AG1,2),6)</f>
        <v>0</v>
      </c>
      <c r="DD1" t="s">
        <v>3</v>
      </c>
      <c r="DE1" t="s">
        <v>3</v>
      </c>
      <c r="DF1">
        <f t="shared" ref="DF1:DF32" si="3">ROUND(ROUND(AE1,2)*CX1,2)</f>
        <v>0</v>
      </c>
      <c r="DG1">
        <f t="shared" ref="DG1:DG32" si="4">ROUND(ROUND(AF1,2)*CX1,2)</f>
        <v>0</v>
      </c>
      <c r="DH1">
        <f t="shared" ref="DH1:DH32" si="5">ROUND(ROUND(AG1,2)*CX1,2)</f>
        <v>0</v>
      </c>
      <c r="DI1">
        <f t="shared" ref="DI1:DI32" si="6">ROUND(ROUND(AH1,2)*CX1,2)</f>
        <v>0</v>
      </c>
      <c r="DJ1">
        <f>DI1</f>
        <v>0</v>
      </c>
      <c r="DK1">
        <v>0</v>
      </c>
      <c r="DL1" t="s">
        <v>3</v>
      </c>
      <c r="DM1">
        <v>0</v>
      </c>
      <c r="DN1" t="s">
        <v>3</v>
      </c>
      <c r="DO1">
        <v>0</v>
      </c>
    </row>
    <row r="2" spans="1:119" x14ac:dyDescent="0.2">
      <c r="A2">
        <f>ROW(Source!A69)</f>
        <v>69</v>
      </c>
      <c r="B2">
        <v>76395835</v>
      </c>
      <c r="C2">
        <v>76396421</v>
      </c>
      <c r="D2">
        <v>75874090</v>
      </c>
      <c r="E2">
        <v>15872964</v>
      </c>
      <c r="F2">
        <v>1</v>
      </c>
      <c r="G2">
        <v>15872964</v>
      </c>
      <c r="H2">
        <v>1</v>
      </c>
      <c r="I2" t="s">
        <v>184</v>
      </c>
      <c r="J2" t="s">
        <v>3</v>
      </c>
      <c r="K2" t="s">
        <v>185</v>
      </c>
      <c r="L2">
        <v>1191</v>
      </c>
      <c r="N2">
        <v>1013</v>
      </c>
      <c r="O2" t="s">
        <v>186</v>
      </c>
      <c r="P2" t="s">
        <v>186</v>
      </c>
      <c r="Q2">
        <v>1</v>
      </c>
      <c r="W2">
        <v>0</v>
      </c>
      <c r="X2">
        <v>476480486</v>
      </c>
      <c r="Y2">
        <f t="shared" si="0"/>
        <v>0.6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1</v>
      </c>
      <c r="AJ2">
        <v>1</v>
      </c>
      <c r="AK2">
        <v>1</v>
      </c>
      <c r="AL2">
        <v>1</v>
      </c>
      <c r="AM2">
        <v>-2</v>
      </c>
      <c r="AN2">
        <v>0</v>
      </c>
      <c r="AO2">
        <v>1</v>
      </c>
      <c r="AP2">
        <v>0</v>
      </c>
      <c r="AQ2">
        <v>0</v>
      </c>
      <c r="AR2">
        <v>0</v>
      </c>
      <c r="AS2" t="s">
        <v>3</v>
      </c>
      <c r="AT2">
        <v>0.6</v>
      </c>
      <c r="AU2" t="s">
        <v>3</v>
      </c>
      <c r="AV2">
        <v>1</v>
      </c>
      <c r="AW2">
        <v>2</v>
      </c>
      <c r="AX2">
        <v>76396423</v>
      </c>
      <c r="AY2">
        <v>1</v>
      </c>
      <c r="AZ2">
        <v>0</v>
      </c>
      <c r="BA2">
        <v>2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CU2">
        <f>ROUND(AT2*Source!I69*AH2*AL2,2)</f>
        <v>0</v>
      </c>
      <c r="CV2">
        <f>ROUND(Y2*Source!I69,9)</f>
        <v>1.2</v>
      </c>
      <c r="CW2">
        <v>0</v>
      </c>
      <c r="CX2">
        <f>ROUND(Y2*Source!I69,9)</f>
        <v>1.2</v>
      </c>
      <c r="CY2">
        <f>AD2</f>
        <v>0</v>
      </c>
      <c r="CZ2">
        <f>AH2</f>
        <v>0</v>
      </c>
      <c r="DA2">
        <f>AL2</f>
        <v>1</v>
      </c>
      <c r="DB2">
        <f t="shared" si="1"/>
        <v>0</v>
      </c>
      <c r="DC2">
        <f t="shared" si="2"/>
        <v>0</v>
      </c>
      <c r="DD2" t="s">
        <v>3</v>
      </c>
      <c r="DE2" t="s">
        <v>3</v>
      </c>
      <c r="DF2">
        <f t="shared" si="3"/>
        <v>0</v>
      </c>
      <c r="DG2">
        <f t="shared" si="4"/>
        <v>0</v>
      </c>
      <c r="DH2">
        <f t="shared" si="5"/>
        <v>0</v>
      </c>
      <c r="DI2">
        <f t="shared" si="6"/>
        <v>0</v>
      </c>
      <c r="DJ2">
        <f>DI2</f>
        <v>0</v>
      </c>
      <c r="DK2">
        <v>0</v>
      </c>
      <c r="DL2" t="s">
        <v>3</v>
      </c>
      <c r="DM2">
        <v>0</v>
      </c>
      <c r="DN2" t="s">
        <v>3</v>
      </c>
      <c r="DO2">
        <v>0</v>
      </c>
    </row>
    <row r="3" spans="1:119" x14ac:dyDescent="0.2">
      <c r="A3">
        <f>ROW(Source!A70)</f>
        <v>70</v>
      </c>
      <c r="B3">
        <v>76395835</v>
      </c>
      <c r="C3">
        <v>76396424</v>
      </c>
      <c r="D3">
        <v>75874090</v>
      </c>
      <c r="E3">
        <v>15872964</v>
      </c>
      <c r="F3">
        <v>1</v>
      </c>
      <c r="G3">
        <v>15872964</v>
      </c>
      <c r="H3">
        <v>1</v>
      </c>
      <c r="I3" t="s">
        <v>184</v>
      </c>
      <c r="J3" t="s">
        <v>3</v>
      </c>
      <c r="K3" t="s">
        <v>185</v>
      </c>
      <c r="L3">
        <v>1191</v>
      </c>
      <c r="N3">
        <v>1013</v>
      </c>
      <c r="O3" t="s">
        <v>186</v>
      </c>
      <c r="P3" t="s">
        <v>186</v>
      </c>
      <c r="Q3">
        <v>1</v>
      </c>
      <c r="W3">
        <v>0</v>
      </c>
      <c r="X3">
        <v>476480486</v>
      </c>
      <c r="Y3">
        <f t="shared" si="0"/>
        <v>2.2999999999999998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1</v>
      </c>
      <c r="AJ3">
        <v>1</v>
      </c>
      <c r="AK3">
        <v>1</v>
      </c>
      <c r="AL3">
        <v>1</v>
      </c>
      <c r="AM3">
        <v>-2</v>
      </c>
      <c r="AN3">
        <v>0</v>
      </c>
      <c r="AO3">
        <v>1</v>
      </c>
      <c r="AP3">
        <v>0</v>
      </c>
      <c r="AQ3">
        <v>0</v>
      </c>
      <c r="AR3">
        <v>0</v>
      </c>
      <c r="AS3" t="s">
        <v>3</v>
      </c>
      <c r="AT3">
        <v>2.2999999999999998</v>
      </c>
      <c r="AU3" t="s">
        <v>3</v>
      </c>
      <c r="AV3">
        <v>1</v>
      </c>
      <c r="AW3">
        <v>2</v>
      </c>
      <c r="AX3">
        <v>76396428</v>
      </c>
      <c r="AY3">
        <v>1</v>
      </c>
      <c r="AZ3">
        <v>0</v>
      </c>
      <c r="BA3">
        <v>3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CU3">
        <f>ROUND(AT3*Source!I70*AH3*AL3,2)</f>
        <v>0</v>
      </c>
      <c r="CV3">
        <f>ROUND(Y3*Source!I70,9)</f>
        <v>2.2999999999999998</v>
      </c>
      <c r="CW3">
        <v>0</v>
      </c>
      <c r="CX3">
        <f>ROUND(Y3*Source!I70,9)</f>
        <v>2.2999999999999998</v>
      </c>
      <c r="CY3">
        <f>AD3</f>
        <v>0</v>
      </c>
      <c r="CZ3">
        <f>AH3</f>
        <v>0</v>
      </c>
      <c r="DA3">
        <f>AL3</f>
        <v>1</v>
      </c>
      <c r="DB3">
        <f t="shared" si="1"/>
        <v>0</v>
      </c>
      <c r="DC3">
        <f t="shared" si="2"/>
        <v>0</v>
      </c>
      <c r="DD3" t="s">
        <v>3</v>
      </c>
      <c r="DE3" t="s">
        <v>3</v>
      </c>
      <c r="DF3">
        <f t="shared" si="3"/>
        <v>0</v>
      </c>
      <c r="DG3">
        <f t="shared" si="4"/>
        <v>0</v>
      </c>
      <c r="DH3">
        <f t="shared" si="5"/>
        <v>0</v>
      </c>
      <c r="DI3">
        <f t="shared" si="6"/>
        <v>0</v>
      </c>
      <c r="DJ3">
        <f>DI3</f>
        <v>0</v>
      </c>
      <c r="DK3">
        <v>0</v>
      </c>
      <c r="DL3" t="s">
        <v>3</v>
      </c>
      <c r="DM3">
        <v>0</v>
      </c>
      <c r="DN3" t="s">
        <v>3</v>
      </c>
      <c r="DO3">
        <v>0</v>
      </c>
    </row>
    <row r="4" spans="1:119" x14ac:dyDescent="0.2">
      <c r="A4">
        <f>ROW(Source!A70)</f>
        <v>70</v>
      </c>
      <c r="B4">
        <v>76395835</v>
      </c>
      <c r="C4">
        <v>76396424</v>
      </c>
      <c r="D4">
        <v>75875459</v>
      </c>
      <c r="E4">
        <v>1</v>
      </c>
      <c r="F4">
        <v>1</v>
      </c>
      <c r="G4">
        <v>15872964</v>
      </c>
      <c r="H4">
        <v>2</v>
      </c>
      <c r="I4" t="s">
        <v>187</v>
      </c>
      <c r="J4" t="s">
        <v>188</v>
      </c>
      <c r="K4" t="s">
        <v>189</v>
      </c>
      <c r="L4">
        <v>1368</v>
      </c>
      <c r="N4">
        <v>1011</v>
      </c>
      <c r="O4" t="s">
        <v>190</v>
      </c>
      <c r="P4" t="s">
        <v>190</v>
      </c>
      <c r="Q4">
        <v>1</v>
      </c>
      <c r="W4">
        <v>0</v>
      </c>
      <c r="X4">
        <v>-1503072827</v>
      </c>
      <c r="Y4">
        <f t="shared" si="0"/>
        <v>0.14000000000000001</v>
      </c>
      <c r="AA4">
        <v>0</v>
      </c>
      <c r="AB4">
        <v>456.39</v>
      </c>
      <c r="AC4">
        <v>1.4</v>
      </c>
      <c r="AD4">
        <v>0</v>
      </c>
      <c r="AE4">
        <v>0</v>
      </c>
      <c r="AF4">
        <v>456.39</v>
      </c>
      <c r="AG4">
        <v>1.4</v>
      </c>
      <c r="AH4">
        <v>0</v>
      </c>
      <c r="AI4">
        <v>1</v>
      </c>
      <c r="AJ4">
        <v>1</v>
      </c>
      <c r="AK4">
        <v>1</v>
      </c>
      <c r="AL4">
        <v>1</v>
      </c>
      <c r="AM4">
        <v>-2</v>
      </c>
      <c r="AN4">
        <v>0</v>
      </c>
      <c r="AO4">
        <v>1</v>
      </c>
      <c r="AP4">
        <v>0</v>
      </c>
      <c r="AQ4">
        <v>0</v>
      </c>
      <c r="AR4">
        <v>0</v>
      </c>
      <c r="AS4" t="s">
        <v>3</v>
      </c>
      <c r="AT4">
        <v>0.14000000000000001</v>
      </c>
      <c r="AU4" t="s">
        <v>3</v>
      </c>
      <c r="AV4">
        <v>0</v>
      </c>
      <c r="AW4">
        <v>2</v>
      </c>
      <c r="AX4">
        <v>76396429</v>
      </c>
      <c r="AY4">
        <v>1</v>
      </c>
      <c r="AZ4">
        <v>0</v>
      </c>
      <c r="BA4">
        <v>4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CV4">
        <v>0</v>
      </c>
      <c r="CW4">
        <f>ROUND(Y4*Source!I70*DO4,9)</f>
        <v>0</v>
      </c>
      <c r="CX4">
        <f>ROUND(Y4*Source!I70,9)</f>
        <v>0.14000000000000001</v>
      </c>
      <c r="CY4">
        <f>AB4</f>
        <v>456.39</v>
      </c>
      <c r="CZ4">
        <f>AF4</f>
        <v>456.39</v>
      </c>
      <c r="DA4">
        <f>AJ4</f>
        <v>1</v>
      </c>
      <c r="DB4">
        <f t="shared" si="1"/>
        <v>63.89</v>
      </c>
      <c r="DC4">
        <f t="shared" si="2"/>
        <v>0.2</v>
      </c>
      <c r="DD4" t="s">
        <v>3</v>
      </c>
      <c r="DE4" t="s">
        <v>3</v>
      </c>
      <c r="DF4">
        <f t="shared" si="3"/>
        <v>0</v>
      </c>
      <c r="DG4">
        <f t="shared" si="4"/>
        <v>63.89</v>
      </c>
      <c r="DH4">
        <f t="shared" si="5"/>
        <v>0.2</v>
      </c>
      <c r="DI4">
        <f t="shared" si="6"/>
        <v>0</v>
      </c>
      <c r="DJ4">
        <f>DG4</f>
        <v>63.89</v>
      </c>
      <c r="DK4">
        <v>0</v>
      </c>
      <c r="DL4" t="s">
        <v>3</v>
      </c>
      <c r="DM4">
        <v>0</v>
      </c>
      <c r="DN4" t="s">
        <v>3</v>
      </c>
      <c r="DO4">
        <v>0</v>
      </c>
    </row>
    <row r="5" spans="1:119" x14ac:dyDescent="0.2">
      <c r="A5">
        <f>ROW(Source!A70)</f>
        <v>70</v>
      </c>
      <c r="B5">
        <v>76395835</v>
      </c>
      <c r="C5">
        <v>76396424</v>
      </c>
      <c r="D5">
        <v>75875897</v>
      </c>
      <c r="E5">
        <v>1</v>
      </c>
      <c r="F5">
        <v>1</v>
      </c>
      <c r="G5">
        <v>15872964</v>
      </c>
      <c r="H5">
        <v>2</v>
      </c>
      <c r="I5" t="s">
        <v>191</v>
      </c>
      <c r="J5" t="s">
        <v>192</v>
      </c>
      <c r="K5" t="s">
        <v>193</v>
      </c>
      <c r="L5">
        <v>1368</v>
      </c>
      <c r="N5">
        <v>1011</v>
      </c>
      <c r="O5" t="s">
        <v>190</v>
      </c>
      <c r="P5" t="s">
        <v>190</v>
      </c>
      <c r="Q5">
        <v>1</v>
      </c>
      <c r="W5">
        <v>0</v>
      </c>
      <c r="X5">
        <v>-1817365194</v>
      </c>
      <c r="Y5">
        <f t="shared" si="0"/>
        <v>0.04</v>
      </c>
      <c r="AA5">
        <v>0</v>
      </c>
      <c r="AB5">
        <v>4.72</v>
      </c>
      <c r="AC5">
        <v>0.1</v>
      </c>
      <c r="AD5">
        <v>0</v>
      </c>
      <c r="AE5">
        <v>0</v>
      </c>
      <c r="AF5">
        <v>4.72</v>
      </c>
      <c r="AG5">
        <v>0.1</v>
      </c>
      <c r="AH5">
        <v>0</v>
      </c>
      <c r="AI5">
        <v>1</v>
      </c>
      <c r="AJ5">
        <v>1</v>
      </c>
      <c r="AK5">
        <v>1</v>
      </c>
      <c r="AL5">
        <v>1</v>
      </c>
      <c r="AM5">
        <v>-2</v>
      </c>
      <c r="AN5">
        <v>0</v>
      </c>
      <c r="AO5">
        <v>1</v>
      </c>
      <c r="AP5">
        <v>0</v>
      </c>
      <c r="AQ5">
        <v>0</v>
      </c>
      <c r="AR5">
        <v>0</v>
      </c>
      <c r="AS5" t="s">
        <v>3</v>
      </c>
      <c r="AT5">
        <v>0.04</v>
      </c>
      <c r="AU5" t="s">
        <v>3</v>
      </c>
      <c r="AV5">
        <v>0</v>
      </c>
      <c r="AW5">
        <v>2</v>
      </c>
      <c r="AX5">
        <v>76396430</v>
      </c>
      <c r="AY5">
        <v>1</v>
      </c>
      <c r="AZ5">
        <v>0</v>
      </c>
      <c r="BA5">
        <v>5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CV5">
        <v>0</v>
      </c>
      <c r="CW5">
        <f>ROUND(Y5*Source!I70*DO5,9)</f>
        <v>0</v>
      </c>
      <c r="CX5">
        <f>ROUND(Y5*Source!I70,9)</f>
        <v>0.04</v>
      </c>
      <c r="CY5">
        <f>AB5</f>
        <v>4.72</v>
      </c>
      <c r="CZ5">
        <f>AF5</f>
        <v>4.72</v>
      </c>
      <c r="DA5">
        <f>AJ5</f>
        <v>1</v>
      </c>
      <c r="DB5">
        <f t="shared" si="1"/>
        <v>0.19</v>
      </c>
      <c r="DC5">
        <f t="shared" si="2"/>
        <v>0</v>
      </c>
      <c r="DD5" t="s">
        <v>3</v>
      </c>
      <c r="DE5" t="s">
        <v>3</v>
      </c>
      <c r="DF5">
        <f t="shared" si="3"/>
        <v>0</v>
      </c>
      <c r="DG5">
        <f t="shared" si="4"/>
        <v>0.19</v>
      </c>
      <c r="DH5">
        <f t="shared" si="5"/>
        <v>0</v>
      </c>
      <c r="DI5">
        <f t="shared" si="6"/>
        <v>0</v>
      </c>
      <c r="DJ5">
        <f>DG5</f>
        <v>0.19</v>
      </c>
      <c r="DK5">
        <v>0</v>
      </c>
      <c r="DL5" t="s">
        <v>3</v>
      </c>
      <c r="DM5">
        <v>0</v>
      </c>
      <c r="DN5" t="s">
        <v>3</v>
      </c>
      <c r="DO5">
        <v>0</v>
      </c>
    </row>
    <row r="6" spans="1:119" x14ac:dyDescent="0.2">
      <c r="A6">
        <f>ROW(Source!A71)</f>
        <v>71</v>
      </c>
      <c r="B6">
        <v>76395835</v>
      </c>
      <c r="C6">
        <v>76396431</v>
      </c>
      <c r="D6">
        <v>75874090</v>
      </c>
      <c r="E6">
        <v>15872964</v>
      </c>
      <c r="F6">
        <v>1</v>
      </c>
      <c r="G6">
        <v>15872964</v>
      </c>
      <c r="H6">
        <v>1</v>
      </c>
      <c r="I6" t="s">
        <v>184</v>
      </c>
      <c r="J6" t="s">
        <v>3</v>
      </c>
      <c r="K6" t="s">
        <v>185</v>
      </c>
      <c r="L6">
        <v>1191</v>
      </c>
      <c r="N6">
        <v>1013</v>
      </c>
      <c r="O6" t="s">
        <v>186</v>
      </c>
      <c r="P6" t="s">
        <v>186</v>
      </c>
      <c r="Q6">
        <v>1</v>
      </c>
      <c r="W6">
        <v>0</v>
      </c>
      <c r="X6">
        <v>476480486</v>
      </c>
      <c r="Y6">
        <f t="shared" si="0"/>
        <v>0.66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1</v>
      </c>
      <c r="AJ6">
        <v>1</v>
      </c>
      <c r="AK6">
        <v>1</v>
      </c>
      <c r="AL6">
        <v>1</v>
      </c>
      <c r="AM6">
        <v>-2</v>
      </c>
      <c r="AN6">
        <v>0</v>
      </c>
      <c r="AO6">
        <v>1</v>
      </c>
      <c r="AP6">
        <v>0</v>
      </c>
      <c r="AQ6">
        <v>0</v>
      </c>
      <c r="AR6">
        <v>0</v>
      </c>
      <c r="AS6" t="s">
        <v>3</v>
      </c>
      <c r="AT6">
        <v>0.66</v>
      </c>
      <c r="AU6" t="s">
        <v>3</v>
      </c>
      <c r="AV6">
        <v>1</v>
      </c>
      <c r="AW6">
        <v>2</v>
      </c>
      <c r="AX6">
        <v>76396437</v>
      </c>
      <c r="AY6">
        <v>1</v>
      </c>
      <c r="AZ6">
        <v>0</v>
      </c>
      <c r="BA6">
        <v>6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CU6">
        <f>ROUND(AT6*Source!I71*AH6*AL6,2)</f>
        <v>0</v>
      </c>
      <c r="CV6">
        <f>ROUND(Y6*Source!I71,9)</f>
        <v>1.32</v>
      </c>
      <c r="CW6">
        <v>0</v>
      </c>
      <c r="CX6">
        <f>ROUND(Y6*Source!I71,9)</f>
        <v>1.32</v>
      </c>
      <c r="CY6">
        <f>AD6</f>
        <v>0</v>
      </c>
      <c r="CZ6">
        <f>AH6</f>
        <v>0</v>
      </c>
      <c r="DA6">
        <f>AL6</f>
        <v>1</v>
      </c>
      <c r="DB6">
        <f t="shared" si="1"/>
        <v>0</v>
      </c>
      <c r="DC6">
        <f t="shared" si="2"/>
        <v>0</v>
      </c>
      <c r="DD6" t="s">
        <v>3</v>
      </c>
      <c r="DE6" t="s">
        <v>3</v>
      </c>
      <c r="DF6">
        <f t="shared" si="3"/>
        <v>0</v>
      </c>
      <c r="DG6">
        <f t="shared" si="4"/>
        <v>0</v>
      </c>
      <c r="DH6">
        <f t="shared" si="5"/>
        <v>0</v>
      </c>
      <c r="DI6">
        <f t="shared" si="6"/>
        <v>0</v>
      </c>
      <c r="DJ6">
        <f>DI6</f>
        <v>0</v>
      </c>
      <c r="DK6">
        <v>0</v>
      </c>
      <c r="DL6" t="s">
        <v>3</v>
      </c>
      <c r="DM6">
        <v>0</v>
      </c>
      <c r="DN6" t="s">
        <v>3</v>
      </c>
      <c r="DO6">
        <v>0</v>
      </c>
    </row>
    <row r="7" spans="1:119" x14ac:dyDescent="0.2">
      <c r="A7">
        <f>ROW(Source!A71)</f>
        <v>71</v>
      </c>
      <c r="B7">
        <v>76395835</v>
      </c>
      <c r="C7">
        <v>76396431</v>
      </c>
      <c r="D7">
        <v>75875824</v>
      </c>
      <c r="E7">
        <v>1</v>
      </c>
      <c r="F7">
        <v>1</v>
      </c>
      <c r="G7">
        <v>15872964</v>
      </c>
      <c r="H7">
        <v>2</v>
      </c>
      <c r="I7" t="s">
        <v>194</v>
      </c>
      <c r="J7" t="s">
        <v>195</v>
      </c>
      <c r="K7" t="s">
        <v>196</v>
      </c>
      <c r="L7">
        <v>1368</v>
      </c>
      <c r="N7">
        <v>1011</v>
      </c>
      <c r="O7" t="s">
        <v>190</v>
      </c>
      <c r="P7" t="s">
        <v>190</v>
      </c>
      <c r="Q7">
        <v>1</v>
      </c>
      <c r="W7">
        <v>0</v>
      </c>
      <c r="X7">
        <v>71529876</v>
      </c>
      <c r="Y7">
        <f t="shared" si="0"/>
        <v>0.03</v>
      </c>
      <c r="AA7">
        <v>0</v>
      </c>
      <c r="AB7">
        <v>5.13</v>
      </c>
      <c r="AC7">
        <v>7.0000000000000007E-2</v>
      </c>
      <c r="AD7">
        <v>0</v>
      </c>
      <c r="AE7">
        <v>0</v>
      </c>
      <c r="AF7">
        <v>5.13</v>
      </c>
      <c r="AG7">
        <v>7.0000000000000007E-2</v>
      </c>
      <c r="AH7">
        <v>0</v>
      </c>
      <c r="AI7">
        <v>1</v>
      </c>
      <c r="AJ7">
        <v>1</v>
      </c>
      <c r="AK7">
        <v>1</v>
      </c>
      <c r="AL7">
        <v>1</v>
      </c>
      <c r="AM7">
        <v>-2</v>
      </c>
      <c r="AN7">
        <v>0</v>
      </c>
      <c r="AO7">
        <v>1</v>
      </c>
      <c r="AP7">
        <v>0</v>
      </c>
      <c r="AQ7">
        <v>0</v>
      </c>
      <c r="AR7">
        <v>0</v>
      </c>
      <c r="AS7" t="s">
        <v>3</v>
      </c>
      <c r="AT7">
        <v>0.03</v>
      </c>
      <c r="AU7" t="s">
        <v>3</v>
      </c>
      <c r="AV7">
        <v>0</v>
      </c>
      <c r="AW7">
        <v>2</v>
      </c>
      <c r="AX7">
        <v>76396438</v>
      </c>
      <c r="AY7">
        <v>1</v>
      </c>
      <c r="AZ7">
        <v>0</v>
      </c>
      <c r="BA7">
        <v>7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CV7">
        <v>0</v>
      </c>
      <c r="CW7">
        <f>ROUND(Y7*Source!I71*DO7,9)</f>
        <v>0</v>
      </c>
      <c r="CX7">
        <f>ROUND(Y7*Source!I71,9)</f>
        <v>0.06</v>
      </c>
      <c r="CY7">
        <f>AB7</f>
        <v>5.13</v>
      </c>
      <c r="CZ7">
        <f>AF7</f>
        <v>5.13</v>
      </c>
      <c r="DA7">
        <f>AJ7</f>
        <v>1</v>
      </c>
      <c r="DB7">
        <f t="shared" si="1"/>
        <v>0.15</v>
      </c>
      <c r="DC7">
        <f t="shared" si="2"/>
        <v>0</v>
      </c>
      <c r="DD7" t="s">
        <v>3</v>
      </c>
      <c r="DE7" t="s">
        <v>3</v>
      </c>
      <c r="DF7">
        <f t="shared" si="3"/>
        <v>0</v>
      </c>
      <c r="DG7">
        <f t="shared" si="4"/>
        <v>0.31</v>
      </c>
      <c r="DH7">
        <f t="shared" si="5"/>
        <v>0</v>
      </c>
      <c r="DI7">
        <f t="shared" si="6"/>
        <v>0</v>
      </c>
      <c r="DJ7">
        <f>DG7</f>
        <v>0.31</v>
      </c>
      <c r="DK7">
        <v>0</v>
      </c>
      <c r="DL7" t="s">
        <v>3</v>
      </c>
      <c r="DM7">
        <v>0</v>
      </c>
      <c r="DN7" t="s">
        <v>3</v>
      </c>
      <c r="DO7">
        <v>0</v>
      </c>
    </row>
    <row r="8" spans="1:119" x14ac:dyDescent="0.2">
      <c r="A8">
        <f>ROW(Source!A71)</f>
        <v>71</v>
      </c>
      <c r="B8">
        <v>76395835</v>
      </c>
      <c r="C8">
        <v>76396431</v>
      </c>
      <c r="D8">
        <v>75875862</v>
      </c>
      <c r="E8">
        <v>1</v>
      </c>
      <c r="F8">
        <v>1</v>
      </c>
      <c r="G8">
        <v>15872964</v>
      </c>
      <c r="H8">
        <v>2</v>
      </c>
      <c r="I8" t="s">
        <v>197</v>
      </c>
      <c r="J8" t="s">
        <v>198</v>
      </c>
      <c r="K8" t="s">
        <v>199</v>
      </c>
      <c r="L8">
        <v>1368</v>
      </c>
      <c r="N8">
        <v>1011</v>
      </c>
      <c r="O8" t="s">
        <v>190</v>
      </c>
      <c r="P8" t="s">
        <v>190</v>
      </c>
      <c r="Q8">
        <v>1</v>
      </c>
      <c r="W8">
        <v>0</v>
      </c>
      <c r="X8">
        <v>1110016624</v>
      </c>
      <c r="Y8">
        <f t="shared" si="0"/>
        <v>0.01</v>
      </c>
      <c r="AA8">
        <v>0</v>
      </c>
      <c r="AB8">
        <v>10.76</v>
      </c>
      <c r="AC8">
        <v>0.12</v>
      </c>
      <c r="AD8">
        <v>0</v>
      </c>
      <c r="AE8">
        <v>0</v>
      </c>
      <c r="AF8">
        <v>10.76</v>
      </c>
      <c r="AG8">
        <v>0.12</v>
      </c>
      <c r="AH8">
        <v>0</v>
      </c>
      <c r="AI8">
        <v>1</v>
      </c>
      <c r="AJ8">
        <v>1</v>
      </c>
      <c r="AK8">
        <v>1</v>
      </c>
      <c r="AL8">
        <v>1</v>
      </c>
      <c r="AM8">
        <v>-2</v>
      </c>
      <c r="AN8">
        <v>0</v>
      </c>
      <c r="AO8">
        <v>1</v>
      </c>
      <c r="AP8">
        <v>0</v>
      </c>
      <c r="AQ8">
        <v>0</v>
      </c>
      <c r="AR8">
        <v>0</v>
      </c>
      <c r="AS8" t="s">
        <v>3</v>
      </c>
      <c r="AT8">
        <v>0.01</v>
      </c>
      <c r="AU8" t="s">
        <v>3</v>
      </c>
      <c r="AV8">
        <v>0</v>
      </c>
      <c r="AW8">
        <v>2</v>
      </c>
      <c r="AX8">
        <v>76396439</v>
      </c>
      <c r="AY8">
        <v>1</v>
      </c>
      <c r="AZ8">
        <v>0</v>
      </c>
      <c r="BA8">
        <v>8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CV8">
        <v>0</v>
      </c>
      <c r="CW8">
        <f>ROUND(Y8*Source!I71*DO8,9)</f>
        <v>0</v>
      </c>
      <c r="CX8">
        <f>ROUND(Y8*Source!I71,9)</f>
        <v>0.02</v>
      </c>
      <c r="CY8">
        <f>AB8</f>
        <v>10.76</v>
      </c>
      <c r="CZ8">
        <f>AF8</f>
        <v>10.76</v>
      </c>
      <c r="DA8">
        <f>AJ8</f>
        <v>1</v>
      </c>
      <c r="DB8">
        <f t="shared" si="1"/>
        <v>0.11</v>
      </c>
      <c r="DC8">
        <f t="shared" si="2"/>
        <v>0</v>
      </c>
      <c r="DD8" t="s">
        <v>3</v>
      </c>
      <c r="DE8" t="s">
        <v>3</v>
      </c>
      <c r="DF8">
        <f t="shared" si="3"/>
        <v>0</v>
      </c>
      <c r="DG8">
        <f t="shared" si="4"/>
        <v>0.22</v>
      </c>
      <c r="DH8">
        <f t="shared" si="5"/>
        <v>0</v>
      </c>
      <c r="DI8">
        <f t="shared" si="6"/>
        <v>0</v>
      </c>
      <c r="DJ8">
        <f>DG8</f>
        <v>0.22</v>
      </c>
      <c r="DK8">
        <v>0</v>
      </c>
      <c r="DL8" t="s">
        <v>3</v>
      </c>
      <c r="DM8">
        <v>0</v>
      </c>
      <c r="DN8" t="s">
        <v>3</v>
      </c>
      <c r="DO8">
        <v>0</v>
      </c>
    </row>
    <row r="9" spans="1:119" x14ac:dyDescent="0.2">
      <c r="A9">
        <f>ROW(Source!A71)</f>
        <v>71</v>
      </c>
      <c r="B9">
        <v>76395835</v>
      </c>
      <c r="C9">
        <v>76396431</v>
      </c>
      <c r="D9">
        <v>75874353</v>
      </c>
      <c r="E9">
        <v>15872964</v>
      </c>
      <c r="F9">
        <v>1</v>
      </c>
      <c r="G9">
        <v>15872964</v>
      </c>
      <c r="H9">
        <v>3</v>
      </c>
      <c r="I9" t="s">
        <v>200</v>
      </c>
      <c r="J9" t="s">
        <v>3</v>
      </c>
      <c r="K9" t="s">
        <v>201</v>
      </c>
      <c r="L9">
        <v>1346</v>
      </c>
      <c r="N9">
        <v>1009</v>
      </c>
      <c r="O9" t="s">
        <v>202</v>
      </c>
      <c r="P9" t="s">
        <v>202</v>
      </c>
      <c r="Q9">
        <v>1</v>
      </c>
      <c r="W9">
        <v>0</v>
      </c>
      <c r="X9">
        <v>2087173100</v>
      </c>
      <c r="Y9">
        <f t="shared" si="0"/>
        <v>3.8999999999999998E-3</v>
      </c>
      <c r="AA9">
        <v>190.54</v>
      </c>
      <c r="AB9">
        <v>0</v>
      </c>
      <c r="AC9">
        <v>0</v>
      </c>
      <c r="AD9">
        <v>0</v>
      </c>
      <c r="AE9">
        <v>190.54033999999999</v>
      </c>
      <c r="AF9">
        <v>0</v>
      </c>
      <c r="AG9">
        <v>0</v>
      </c>
      <c r="AH9">
        <v>0</v>
      </c>
      <c r="AI9">
        <v>1</v>
      </c>
      <c r="AJ9">
        <v>1</v>
      </c>
      <c r="AK9">
        <v>1</v>
      </c>
      <c r="AL9">
        <v>1</v>
      </c>
      <c r="AM9">
        <v>-2</v>
      </c>
      <c r="AN9">
        <v>0</v>
      </c>
      <c r="AO9">
        <v>1</v>
      </c>
      <c r="AP9">
        <v>0</v>
      </c>
      <c r="AQ9">
        <v>0</v>
      </c>
      <c r="AR9">
        <v>0</v>
      </c>
      <c r="AS9" t="s">
        <v>3</v>
      </c>
      <c r="AT9">
        <v>3.8999999999999998E-3</v>
      </c>
      <c r="AU9" t="s">
        <v>3</v>
      </c>
      <c r="AV9">
        <v>0</v>
      </c>
      <c r="AW9">
        <v>2</v>
      </c>
      <c r="AX9">
        <v>76396440</v>
      </c>
      <c r="AY9">
        <v>1</v>
      </c>
      <c r="AZ9">
        <v>0</v>
      </c>
      <c r="BA9">
        <v>9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CV9">
        <v>0</v>
      </c>
      <c r="CW9">
        <v>0</v>
      </c>
      <c r="CX9">
        <f>ROUND(Y9*Source!I71,9)</f>
        <v>7.7999999999999996E-3</v>
      </c>
      <c r="CY9">
        <f>AA9</f>
        <v>190.54</v>
      </c>
      <c r="CZ9">
        <f>AE9</f>
        <v>190.54033999999999</v>
      </c>
      <c r="DA9">
        <f>AI9</f>
        <v>1</v>
      </c>
      <c r="DB9">
        <f t="shared" si="1"/>
        <v>0.74</v>
      </c>
      <c r="DC9">
        <f t="shared" si="2"/>
        <v>0</v>
      </c>
      <c r="DD9" t="s">
        <v>3</v>
      </c>
      <c r="DE9" t="s">
        <v>3</v>
      </c>
      <c r="DF9">
        <f t="shared" si="3"/>
        <v>1.49</v>
      </c>
      <c r="DG9">
        <f t="shared" si="4"/>
        <v>0</v>
      </c>
      <c r="DH9">
        <f t="shared" si="5"/>
        <v>0</v>
      </c>
      <c r="DI9">
        <f t="shared" si="6"/>
        <v>0</v>
      </c>
      <c r="DJ9">
        <f>DF9</f>
        <v>1.49</v>
      </c>
      <c r="DK9">
        <v>0</v>
      </c>
      <c r="DL9" t="s">
        <v>3</v>
      </c>
      <c r="DM9">
        <v>0</v>
      </c>
      <c r="DN9" t="s">
        <v>3</v>
      </c>
      <c r="DO9">
        <v>0</v>
      </c>
    </row>
    <row r="10" spans="1:119" x14ac:dyDescent="0.2">
      <c r="A10">
        <f>ROW(Source!A71)</f>
        <v>71</v>
      </c>
      <c r="B10">
        <v>76395835</v>
      </c>
      <c r="C10">
        <v>76396431</v>
      </c>
      <c r="D10">
        <v>75877140</v>
      </c>
      <c r="E10">
        <v>1</v>
      </c>
      <c r="F10">
        <v>1</v>
      </c>
      <c r="G10">
        <v>15872964</v>
      </c>
      <c r="H10">
        <v>3</v>
      </c>
      <c r="I10" t="s">
        <v>203</v>
      </c>
      <c r="J10" t="s">
        <v>204</v>
      </c>
      <c r="K10" t="s">
        <v>205</v>
      </c>
      <c r="L10">
        <v>1354</v>
      </c>
      <c r="N10">
        <v>1010</v>
      </c>
      <c r="O10" t="s">
        <v>18</v>
      </c>
      <c r="P10" t="s">
        <v>18</v>
      </c>
      <c r="Q10">
        <v>1</v>
      </c>
      <c r="W10">
        <v>0</v>
      </c>
      <c r="X10">
        <v>136717287</v>
      </c>
      <c r="Y10">
        <f t="shared" si="0"/>
        <v>2</v>
      </c>
      <c r="AA10">
        <v>1.23</v>
      </c>
      <c r="AB10">
        <v>0</v>
      </c>
      <c r="AC10">
        <v>0</v>
      </c>
      <c r="AD10">
        <v>0</v>
      </c>
      <c r="AE10">
        <v>1.23</v>
      </c>
      <c r="AF10">
        <v>0</v>
      </c>
      <c r="AG10">
        <v>0</v>
      </c>
      <c r="AH10">
        <v>0</v>
      </c>
      <c r="AI10">
        <v>1</v>
      </c>
      <c r="AJ10">
        <v>1</v>
      </c>
      <c r="AK10">
        <v>1</v>
      </c>
      <c r="AL10">
        <v>1</v>
      </c>
      <c r="AM10">
        <v>-2</v>
      </c>
      <c r="AN10">
        <v>0</v>
      </c>
      <c r="AO10">
        <v>1</v>
      </c>
      <c r="AP10">
        <v>0</v>
      </c>
      <c r="AQ10">
        <v>0</v>
      </c>
      <c r="AR10">
        <v>0</v>
      </c>
      <c r="AS10" t="s">
        <v>3</v>
      </c>
      <c r="AT10">
        <v>2</v>
      </c>
      <c r="AU10" t="s">
        <v>3</v>
      </c>
      <c r="AV10">
        <v>0</v>
      </c>
      <c r="AW10">
        <v>2</v>
      </c>
      <c r="AX10">
        <v>76396441</v>
      </c>
      <c r="AY10">
        <v>1</v>
      </c>
      <c r="AZ10">
        <v>0</v>
      </c>
      <c r="BA10">
        <v>10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CV10">
        <v>0</v>
      </c>
      <c r="CW10">
        <v>0</v>
      </c>
      <c r="CX10">
        <f>ROUND(Y10*Source!I71,9)</f>
        <v>4</v>
      </c>
      <c r="CY10">
        <f>AA10</f>
        <v>1.23</v>
      </c>
      <c r="CZ10">
        <f>AE10</f>
        <v>1.23</v>
      </c>
      <c r="DA10">
        <f>AI10</f>
        <v>1</v>
      </c>
      <c r="DB10">
        <f t="shared" si="1"/>
        <v>2.46</v>
      </c>
      <c r="DC10">
        <f t="shared" si="2"/>
        <v>0</v>
      </c>
      <c r="DD10" t="s">
        <v>3</v>
      </c>
      <c r="DE10" t="s">
        <v>3</v>
      </c>
      <c r="DF10">
        <f t="shared" si="3"/>
        <v>4.92</v>
      </c>
      <c r="DG10">
        <f t="shared" si="4"/>
        <v>0</v>
      </c>
      <c r="DH10">
        <f t="shared" si="5"/>
        <v>0</v>
      </c>
      <c r="DI10">
        <f t="shared" si="6"/>
        <v>0</v>
      </c>
      <c r="DJ10">
        <f>DF10</f>
        <v>4.92</v>
      </c>
      <c r="DK10">
        <v>0</v>
      </c>
      <c r="DL10" t="s">
        <v>3</v>
      </c>
      <c r="DM10">
        <v>0</v>
      </c>
      <c r="DN10" t="s">
        <v>3</v>
      </c>
      <c r="DO10">
        <v>0</v>
      </c>
    </row>
    <row r="11" spans="1:119" x14ac:dyDescent="0.2">
      <c r="A11">
        <f>ROW(Source!A72)</f>
        <v>72</v>
      </c>
      <c r="B11">
        <v>76395835</v>
      </c>
      <c r="C11">
        <v>76396442</v>
      </c>
      <c r="D11">
        <v>75874090</v>
      </c>
      <c r="E11">
        <v>15872964</v>
      </c>
      <c r="F11">
        <v>1</v>
      </c>
      <c r="G11">
        <v>15872964</v>
      </c>
      <c r="H11">
        <v>1</v>
      </c>
      <c r="I11" t="s">
        <v>184</v>
      </c>
      <c r="J11" t="s">
        <v>3</v>
      </c>
      <c r="K11" t="s">
        <v>185</v>
      </c>
      <c r="L11">
        <v>1191</v>
      </c>
      <c r="N11">
        <v>1013</v>
      </c>
      <c r="O11" t="s">
        <v>186</v>
      </c>
      <c r="P11" t="s">
        <v>186</v>
      </c>
      <c r="Q11">
        <v>1</v>
      </c>
      <c r="W11">
        <v>0</v>
      </c>
      <c r="X11">
        <v>476480486</v>
      </c>
      <c r="Y11">
        <f t="shared" si="0"/>
        <v>10.7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1</v>
      </c>
      <c r="AJ11">
        <v>1</v>
      </c>
      <c r="AK11">
        <v>1</v>
      </c>
      <c r="AL11">
        <v>1</v>
      </c>
      <c r="AM11">
        <v>-2</v>
      </c>
      <c r="AN11">
        <v>0</v>
      </c>
      <c r="AO11">
        <v>1</v>
      </c>
      <c r="AP11">
        <v>0</v>
      </c>
      <c r="AQ11">
        <v>0</v>
      </c>
      <c r="AR11">
        <v>0</v>
      </c>
      <c r="AS11" t="s">
        <v>3</v>
      </c>
      <c r="AT11">
        <v>10.7</v>
      </c>
      <c r="AU11" t="s">
        <v>3</v>
      </c>
      <c r="AV11">
        <v>1</v>
      </c>
      <c r="AW11">
        <v>2</v>
      </c>
      <c r="AX11">
        <v>76396446</v>
      </c>
      <c r="AY11">
        <v>1</v>
      </c>
      <c r="AZ11">
        <v>0</v>
      </c>
      <c r="BA11">
        <v>11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CU11">
        <f>ROUND(AT11*Source!I72*AH11*AL11,2)</f>
        <v>0</v>
      </c>
      <c r="CV11">
        <f>ROUND(Y11*Source!I72,9)</f>
        <v>10.7</v>
      </c>
      <c r="CW11">
        <v>0</v>
      </c>
      <c r="CX11">
        <f>ROUND(Y11*Source!I72,9)</f>
        <v>10.7</v>
      </c>
      <c r="CY11">
        <f>AD11</f>
        <v>0</v>
      </c>
      <c r="CZ11">
        <f>AH11</f>
        <v>0</v>
      </c>
      <c r="DA11">
        <f>AL11</f>
        <v>1</v>
      </c>
      <c r="DB11">
        <f t="shared" si="1"/>
        <v>0</v>
      </c>
      <c r="DC11">
        <f t="shared" si="2"/>
        <v>0</v>
      </c>
      <c r="DD11" t="s">
        <v>3</v>
      </c>
      <c r="DE11" t="s">
        <v>3</v>
      </c>
      <c r="DF11">
        <f t="shared" si="3"/>
        <v>0</v>
      </c>
      <c r="DG11">
        <f t="shared" si="4"/>
        <v>0</v>
      </c>
      <c r="DH11">
        <f t="shared" si="5"/>
        <v>0</v>
      </c>
      <c r="DI11">
        <f t="shared" si="6"/>
        <v>0</v>
      </c>
      <c r="DJ11">
        <f>DI11</f>
        <v>0</v>
      </c>
      <c r="DK11">
        <v>0</v>
      </c>
      <c r="DL11" t="s">
        <v>3</v>
      </c>
      <c r="DM11">
        <v>0</v>
      </c>
      <c r="DN11" t="s">
        <v>3</v>
      </c>
      <c r="DO11">
        <v>0</v>
      </c>
    </row>
    <row r="12" spans="1:119" x14ac:dyDescent="0.2">
      <c r="A12">
        <f>ROW(Source!A72)</f>
        <v>72</v>
      </c>
      <c r="B12">
        <v>76395835</v>
      </c>
      <c r="C12">
        <v>76396442</v>
      </c>
      <c r="D12">
        <v>75875171</v>
      </c>
      <c r="E12">
        <v>1</v>
      </c>
      <c r="F12">
        <v>1</v>
      </c>
      <c r="G12">
        <v>15872964</v>
      </c>
      <c r="H12">
        <v>2</v>
      </c>
      <c r="I12" t="s">
        <v>206</v>
      </c>
      <c r="J12" t="s">
        <v>207</v>
      </c>
      <c r="K12" t="s">
        <v>208</v>
      </c>
      <c r="L12">
        <v>1368</v>
      </c>
      <c r="N12">
        <v>1011</v>
      </c>
      <c r="O12" t="s">
        <v>190</v>
      </c>
      <c r="P12" t="s">
        <v>190</v>
      </c>
      <c r="Q12">
        <v>1</v>
      </c>
      <c r="W12">
        <v>0</v>
      </c>
      <c r="X12">
        <v>-776807079</v>
      </c>
      <c r="Y12">
        <f t="shared" si="0"/>
        <v>0.5</v>
      </c>
      <c r="AA12">
        <v>0</v>
      </c>
      <c r="AB12">
        <v>1509.66</v>
      </c>
      <c r="AC12">
        <v>837.61</v>
      </c>
      <c r="AD12">
        <v>0</v>
      </c>
      <c r="AE12">
        <v>0</v>
      </c>
      <c r="AF12">
        <v>1509.66</v>
      </c>
      <c r="AG12">
        <v>837.61</v>
      </c>
      <c r="AH12">
        <v>0</v>
      </c>
      <c r="AI12">
        <v>1</v>
      </c>
      <c r="AJ12">
        <v>1</v>
      </c>
      <c r="AK12">
        <v>1</v>
      </c>
      <c r="AL12">
        <v>1</v>
      </c>
      <c r="AM12">
        <v>-2</v>
      </c>
      <c r="AN12">
        <v>0</v>
      </c>
      <c r="AO12">
        <v>1</v>
      </c>
      <c r="AP12">
        <v>0</v>
      </c>
      <c r="AQ12">
        <v>0</v>
      </c>
      <c r="AR12">
        <v>0</v>
      </c>
      <c r="AS12" t="s">
        <v>3</v>
      </c>
      <c r="AT12">
        <v>0.5</v>
      </c>
      <c r="AU12" t="s">
        <v>3</v>
      </c>
      <c r="AV12">
        <v>0</v>
      </c>
      <c r="AW12">
        <v>2</v>
      </c>
      <c r="AX12">
        <v>76396447</v>
      </c>
      <c r="AY12">
        <v>1</v>
      </c>
      <c r="AZ12">
        <v>0</v>
      </c>
      <c r="BA12">
        <v>12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CV12">
        <v>0</v>
      </c>
      <c r="CW12">
        <f>ROUND(Y12*Source!I72*DO12,9)</f>
        <v>0</v>
      </c>
      <c r="CX12">
        <f>ROUND(Y12*Source!I72,9)</f>
        <v>0.5</v>
      </c>
      <c r="CY12">
        <f>AB12</f>
        <v>1509.66</v>
      </c>
      <c r="CZ12">
        <f>AF12</f>
        <v>1509.66</v>
      </c>
      <c r="DA12">
        <f>AJ12</f>
        <v>1</v>
      </c>
      <c r="DB12">
        <f t="shared" si="1"/>
        <v>754.83</v>
      </c>
      <c r="DC12">
        <f t="shared" si="2"/>
        <v>418.81</v>
      </c>
      <c r="DD12" t="s">
        <v>3</v>
      </c>
      <c r="DE12" t="s">
        <v>3</v>
      </c>
      <c r="DF12">
        <f t="shared" si="3"/>
        <v>0</v>
      </c>
      <c r="DG12">
        <f t="shared" si="4"/>
        <v>754.83</v>
      </c>
      <c r="DH12">
        <f t="shared" si="5"/>
        <v>418.81</v>
      </c>
      <c r="DI12">
        <f t="shared" si="6"/>
        <v>0</v>
      </c>
      <c r="DJ12">
        <f>DG12</f>
        <v>754.83</v>
      </c>
      <c r="DK12">
        <v>0</v>
      </c>
      <c r="DL12" t="s">
        <v>3</v>
      </c>
      <c r="DM12">
        <v>0</v>
      </c>
      <c r="DN12" t="s">
        <v>3</v>
      </c>
      <c r="DO12">
        <v>0</v>
      </c>
    </row>
    <row r="13" spans="1:119" x14ac:dyDescent="0.2">
      <c r="A13">
        <f>ROW(Source!A72)</f>
        <v>72</v>
      </c>
      <c r="B13">
        <v>76395835</v>
      </c>
      <c r="C13">
        <v>76396442</v>
      </c>
      <c r="D13">
        <v>75874486</v>
      </c>
      <c r="E13">
        <v>15872964</v>
      </c>
      <c r="F13">
        <v>1</v>
      </c>
      <c r="G13">
        <v>15872964</v>
      </c>
      <c r="H13">
        <v>3</v>
      </c>
      <c r="I13" t="s">
        <v>209</v>
      </c>
      <c r="J13" t="s">
        <v>3</v>
      </c>
      <c r="K13" t="s">
        <v>210</v>
      </c>
      <c r="L13">
        <v>1348</v>
      </c>
      <c r="N13">
        <v>1009</v>
      </c>
      <c r="O13" t="s">
        <v>211</v>
      </c>
      <c r="P13" t="s">
        <v>211</v>
      </c>
      <c r="Q13">
        <v>1000</v>
      </c>
      <c r="W13">
        <v>0</v>
      </c>
      <c r="X13">
        <v>-783086922</v>
      </c>
      <c r="Y13">
        <f t="shared" si="0"/>
        <v>1E-3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1</v>
      </c>
      <c r="AJ13">
        <v>1</v>
      </c>
      <c r="AK13">
        <v>1</v>
      </c>
      <c r="AL13">
        <v>1</v>
      </c>
      <c r="AM13">
        <v>-2</v>
      </c>
      <c r="AN13">
        <v>0</v>
      </c>
      <c r="AO13">
        <v>1</v>
      </c>
      <c r="AP13">
        <v>0</v>
      </c>
      <c r="AQ13">
        <v>0</v>
      </c>
      <c r="AR13">
        <v>0</v>
      </c>
      <c r="AS13" t="s">
        <v>3</v>
      </c>
      <c r="AT13">
        <v>1E-3</v>
      </c>
      <c r="AU13" t="s">
        <v>3</v>
      </c>
      <c r="AV13">
        <v>0</v>
      </c>
      <c r="AW13">
        <v>2</v>
      </c>
      <c r="AX13">
        <v>76396448</v>
      </c>
      <c r="AY13">
        <v>1</v>
      </c>
      <c r="AZ13">
        <v>0</v>
      </c>
      <c r="BA13">
        <v>13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CV13">
        <v>0</v>
      </c>
      <c r="CW13">
        <v>0</v>
      </c>
      <c r="CX13">
        <f>ROUND(Y13*Source!I72,9)</f>
        <v>1E-3</v>
      </c>
      <c r="CY13">
        <f>AA13</f>
        <v>0</v>
      </c>
      <c r="CZ13">
        <f>AE13</f>
        <v>0</v>
      </c>
      <c r="DA13">
        <f>AI13</f>
        <v>1</v>
      </c>
      <c r="DB13">
        <f t="shared" si="1"/>
        <v>0</v>
      </c>
      <c r="DC13">
        <f t="shared" si="2"/>
        <v>0</v>
      </c>
      <c r="DD13" t="s">
        <v>3</v>
      </c>
      <c r="DE13" t="s">
        <v>3</v>
      </c>
      <c r="DF13">
        <f t="shared" si="3"/>
        <v>0</v>
      </c>
      <c r="DG13">
        <f t="shared" si="4"/>
        <v>0</v>
      </c>
      <c r="DH13">
        <f t="shared" si="5"/>
        <v>0</v>
      </c>
      <c r="DI13">
        <f t="shared" si="6"/>
        <v>0</v>
      </c>
      <c r="DJ13">
        <f>DF13</f>
        <v>0</v>
      </c>
      <c r="DK13">
        <v>0</v>
      </c>
      <c r="DL13" t="s">
        <v>3</v>
      </c>
      <c r="DM13">
        <v>0</v>
      </c>
      <c r="DN13" t="s">
        <v>3</v>
      </c>
      <c r="DO13">
        <v>0</v>
      </c>
    </row>
    <row r="14" spans="1:119" x14ac:dyDescent="0.2">
      <c r="A14">
        <f>ROW(Source!A73)</f>
        <v>73</v>
      </c>
      <c r="B14">
        <v>76395835</v>
      </c>
      <c r="C14">
        <v>76396449</v>
      </c>
      <c r="D14">
        <v>75874090</v>
      </c>
      <c r="E14">
        <v>15872964</v>
      </c>
      <c r="F14">
        <v>1</v>
      </c>
      <c r="G14">
        <v>15872964</v>
      </c>
      <c r="H14">
        <v>1</v>
      </c>
      <c r="I14" t="s">
        <v>184</v>
      </c>
      <c r="J14" t="s">
        <v>3</v>
      </c>
      <c r="K14" t="s">
        <v>185</v>
      </c>
      <c r="L14">
        <v>1191</v>
      </c>
      <c r="N14">
        <v>1013</v>
      </c>
      <c r="O14" t="s">
        <v>186</v>
      </c>
      <c r="P14" t="s">
        <v>186</v>
      </c>
      <c r="Q14">
        <v>1</v>
      </c>
      <c r="W14">
        <v>0</v>
      </c>
      <c r="X14">
        <v>476480486</v>
      </c>
      <c r="Y14">
        <f t="shared" si="0"/>
        <v>2.37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1</v>
      </c>
      <c r="AJ14">
        <v>1</v>
      </c>
      <c r="AK14">
        <v>1</v>
      </c>
      <c r="AL14">
        <v>1</v>
      </c>
      <c r="AM14">
        <v>-2</v>
      </c>
      <c r="AN14">
        <v>0</v>
      </c>
      <c r="AO14">
        <v>1</v>
      </c>
      <c r="AP14">
        <v>0</v>
      </c>
      <c r="AQ14">
        <v>0</v>
      </c>
      <c r="AR14">
        <v>0</v>
      </c>
      <c r="AS14" t="s">
        <v>3</v>
      </c>
      <c r="AT14">
        <v>2.37</v>
      </c>
      <c r="AU14" t="s">
        <v>3</v>
      </c>
      <c r="AV14">
        <v>1</v>
      </c>
      <c r="AW14">
        <v>2</v>
      </c>
      <c r="AX14">
        <v>76396454</v>
      </c>
      <c r="AY14">
        <v>1</v>
      </c>
      <c r="AZ14">
        <v>0</v>
      </c>
      <c r="BA14">
        <v>14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CU14">
        <f>ROUND(AT14*Source!I73*AH14*AL14,2)</f>
        <v>0</v>
      </c>
      <c r="CV14">
        <f>ROUND(Y14*Source!I73,9)</f>
        <v>4.74</v>
      </c>
      <c r="CW14">
        <v>0</v>
      </c>
      <c r="CX14">
        <f>ROUND(Y14*Source!I73,9)</f>
        <v>4.74</v>
      </c>
      <c r="CY14">
        <f>AD14</f>
        <v>0</v>
      </c>
      <c r="CZ14">
        <f>AH14</f>
        <v>0</v>
      </c>
      <c r="DA14">
        <f>AL14</f>
        <v>1</v>
      </c>
      <c r="DB14">
        <f t="shared" si="1"/>
        <v>0</v>
      </c>
      <c r="DC14">
        <f t="shared" si="2"/>
        <v>0</v>
      </c>
      <c r="DD14" t="s">
        <v>3</v>
      </c>
      <c r="DE14" t="s">
        <v>3</v>
      </c>
      <c r="DF14">
        <f t="shared" si="3"/>
        <v>0</v>
      </c>
      <c r="DG14">
        <f t="shared" si="4"/>
        <v>0</v>
      </c>
      <c r="DH14">
        <f t="shared" si="5"/>
        <v>0</v>
      </c>
      <c r="DI14">
        <f t="shared" si="6"/>
        <v>0</v>
      </c>
      <c r="DJ14">
        <f>DI14</f>
        <v>0</v>
      </c>
      <c r="DK14">
        <v>0</v>
      </c>
      <c r="DL14" t="s">
        <v>3</v>
      </c>
      <c r="DM14">
        <v>0</v>
      </c>
      <c r="DN14" t="s">
        <v>3</v>
      </c>
      <c r="DO14">
        <v>0</v>
      </c>
    </row>
    <row r="15" spans="1:119" x14ac:dyDescent="0.2">
      <c r="A15">
        <f>ROW(Source!A73)</f>
        <v>73</v>
      </c>
      <c r="B15">
        <v>76395835</v>
      </c>
      <c r="C15">
        <v>76396449</v>
      </c>
      <c r="D15">
        <v>75877624</v>
      </c>
      <c r="E15">
        <v>1</v>
      </c>
      <c r="F15">
        <v>1</v>
      </c>
      <c r="G15">
        <v>15872964</v>
      </c>
      <c r="H15">
        <v>3</v>
      </c>
      <c r="I15" t="s">
        <v>212</v>
      </c>
      <c r="J15" t="s">
        <v>213</v>
      </c>
      <c r="K15" t="s">
        <v>214</v>
      </c>
      <c r="L15">
        <v>1348</v>
      </c>
      <c r="N15">
        <v>1009</v>
      </c>
      <c r="O15" t="s">
        <v>211</v>
      </c>
      <c r="P15" t="s">
        <v>211</v>
      </c>
      <c r="Q15">
        <v>1000</v>
      </c>
      <c r="W15">
        <v>0</v>
      </c>
      <c r="X15">
        <v>-676281798</v>
      </c>
      <c r="Y15">
        <f t="shared" si="0"/>
        <v>1E-3</v>
      </c>
      <c r="AA15">
        <v>32121.53</v>
      </c>
      <c r="AB15">
        <v>0</v>
      </c>
      <c r="AC15">
        <v>0</v>
      </c>
      <c r="AD15">
        <v>0</v>
      </c>
      <c r="AE15">
        <v>32121.53</v>
      </c>
      <c r="AF15">
        <v>0</v>
      </c>
      <c r="AG15">
        <v>0</v>
      </c>
      <c r="AH15">
        <v>0</v>
      </c>
      <c r="AI15">
        <v>1</v>
      </c>
      <c r="AJ15">
        <v>1</v>
      </c>
      <c r="AK15">
        <v>1</v>
      </c>
      <c r="AL15">
        <v>1</v>
      </c>
      <c r="AM15">
        <v>-2</v>
      </c>
      <c r="AN15">
        <v>0</v>
      </c>
      <c r="AO15">
        <v>1</v>
      </c>
      <c r="AP15">
        <v>0</v>
      </c>
      <c r="AQ15">
        <v>0</v>
      </c>
      <c r="AR15">
        <v>0</v>
      </c>
      <c r="AS15" t="s">
        <v>3</v>
      </c>
      <c r="AT15">
        <v>1E-3</v>
      </c>
      <c r="AU15" t="s">
        <v>3</v>
      </c>
      <c r="AV15">
        <v>0</v>
      </c>
      <c r="AW15">
        <v>2</v>
      </c>
      <c r="AX15">
        <v>76396455</v>
      </c>
      <c r="AY15">
        <v>1</v>
      </c>
      <c r="AZ15">
        <v>0</v>
      </c>
      <c r="BA15">
        <v>15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CV15">
        <v>0</v>
      </c>
      <c r="CW15">
        <v>0</v>
      </c>
      <c r="CX15">
        <f>ROUND(Y15*Source!I73,9)</f>
        <v>2E-3</v>
      </c>
      <c r="CY15">
        <f>AA15</f>
        <v>32121.53</v>
      </c>
      <c r="CZ15">
        <f>AE15</f>
        <v>32121.53</v>
      </c>
      <c r="DA15">
        <f>AI15</f>
        <v>1</v>
      </c>
      <c r="DB15">
        <f t="shared" si="1"/>
        <v>32.119999999999997</v>
      </c>
      <c r="DC15">
        <f t="shared" si="2"/>
        <v>0</v>
      </c>
      <c r="DD15" t="s">
        <v>3</v>
      </c>
      <c r="DE15" t="s">
        <v>3</v>
      </c>
      <c r="DF15">
        <f t="shared" si="3"/>
        <v>64.239999999999995</v>
      </c>
      <c r="DG15">
        <f t="shared" si="4"/>
        <v>0</v>
      </c>
      <c r="DH15">
        <f t="shared" si="5"/>
        <v>0</v>
      </c>
      <c r="DI15">
        <f t="shared" si="6"/>
        <v>0</v>
      </c>
      <c r="DJ15">
        <f>DF15</f>
        <v>64.239999999999995</v>
      </c>
      <c r="DK15">
        <v>0</v>
      </c>
      <c r="DL15" t="s">
        <v>3</v>
      </c>
      <c r="DM15">
        <v>0</v>
      </c>
      <c r="DN15" t="s">
        <v>3</v>
      </c>
      <c r="DO15">
        <v>0</v>
      </c>
    </row>
    <row r="16" spans="1:119" x14ac:dyDescent="0.2">
      <c r="A16">
        <f>ROW(Source!A73)</f>
        <v>73</v>
      </c>
      <c r="B16">
        <v>76395835</v>
      </c>
      <c r="C16">
        <v>76396449</v>
      </c>
      <c r="D16">
        <v>75877638</v>
      </c>
      <c r="E16">
        <v>1</v>
      </c>
      <c r="F16">
        <v>1</v>
      </c>
      <c r="G16">
        <v>15872964</v>
      </c>
      <c r="H16">
        <v>3</v>
      </c>
      <c r="I16" t="s">
        <v>215</v>
      </c>
      <c r="J16" t="s">
        <v>216</v>
      </c>
      <c r="K16" t="s">
        <v>217</v>
      </c>
      <c r="L16">
        <v>1346</v>
      </c>
      <c r="N16">
        <v>1009</v>
      </c>
      <c r="O16" t="s">
        <v>202</v>
      </c>
      <c r="P16" t="s">
        <v>202</v>
      </c>
      <c r="Q16">
        <v>1</v>
      </c>
      <c r="W16">
        <v>0</v>
      </c>
      <c r="X16">
        <v>-1122085600</v>
      </c>
      <c r="Y16">
        <f t="shared" si="0"/>
        <v>0.11</v>
      </c>
      <c r="AA16">
        <v>43.58</v>
      </c>
      <c r="AB16">
        <v>0</v>
      </c>
      <c r="AC16">
        <v>0</v>
      </c>
      <c r="AD16">
        <v>0</v>
      </c>
      <c r="AE16">
        <v>43.58</v>
      </c>
      <c r="AF16">
        <v>0</v>
      </c>
      <c r="AG16">
        <v>0</v>
      </c>
      <c r="AH16">
        <v>0</v>
      </c>
      <c r="AI16">
        <v>1</v>
      </c>
      <c r="AJ16">
        <v>1</v>
      </c>
      <c r="AK16">
        <v>1</v>
      </c>
      <c r="AL16">
        <v>1</v>
      </c>
      <c r="AM16">
        <v>-2</v>
      </c>
      <c r="AN16">
        <v>0</v>
      </c>
      <c r="AO16">
        <v>1</v>
      </c>
      <c r="AP16">
        <v>0</v>
      </c>
      <c r="AQ16">
        <v>0</v>
      </c>
      <c r="AR16">
        <v>0</v>
      </c>
      <c r="AS16" t="s">
        <v>3</v>
      </c>
      <c r="AT16">
        <v>0.11</v>
      </c>
      <c r="AU16" t="s">
        <v>3</v>
      </c>
      <c r="AV16">
        <v>0</v>
      </c>
      <c r="AW16">
        <v>2</v>
      </c>
      <c r="AX16">
        <v>76396456</v>
      </c>
      <c r="AY16">
        <v>1</v>
      </c>
      <c r="AZ16">
        <v>0</v>
      </c>
      <c r="BA16">
        <v>16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CV16">
        <v>0</v>
      </c>
      <c r="CW16">
        <v>0</v>
      </c>
      <c r="CX16">
        <f>ROUND(Y16*Source!I73,9)</f>
        <v>0.22</v>
      </c>
      <c r="CY16">
        <f>AA16</f>
        <v>43.58</v>
      </c>
      <c r="CZ16">
        <f>AE16</f>
        <v>43.58</v>
      </c>
      <c r="DA16">
        <f>AI16</f>
        <v>1</v>
      </c>
      <c r="DB16">
        <f t="shared" si="1"/>
        <v>4.79</v>
      </c>
      <c r="DC16">
        <f t="shared" si="2"/>
        <v>0</v>
      </c>
      <c r="DD16" t="s">
        <v>3</v>
      </c>
      <c r="DE16" t="s">
        <v>3</v>
      </c>
      <c r="DF16">
        <f t="shared" si="3"/>
        <v>9.59</v>
      </c>
      <c r="DG16">
        <f t="shared" si="4"/>
        <v>0</v>
      </c>
      <c r="DH16">
        <f t="shared" si="5"/>
        <v>0</v>
      </c>
      <c r="DI16">
        <f t="shared" si="6"/>
        <v>0</v>
      </c>
      <c r="DJ16">
        <f>DF16</f>
        <v>9.59</v>
      </c>
      <c r="DK16">
        <v>0</v>
      </c>
      <c r="DL16" t="s">
        <v>3</v>
      </c>
      <c r="DM16">
        <v>0</v>
      </c>
      <c r="DN16" t="s">
        <v>3</v>
      </c>
      <c r="DO16">
        <v>0</v>
      </c>
    </row>
    <row r="17" spans="1:119" x14ac:dyDescent="0.2">
      <c r="A17">
        <f>ROW(Source!A73)</f>
        <v>73</v>
      </c>
      <c r="B17">
        <v>76395835</v>
      </c>
      <c r="C17">
        <v>76396449</v>
      </c>
      <c r="D17">
        <v>75877925</v>
      </c>
      <c r="E17">
        <v>1</v>
      </c>
      <c r="F17">
        <v>1</v>
      </c>
      <c r="G17">
        <v>15872964</v>
      </c>
      <c r="H17">
        <v>3</v>
      </c>
      <c r="I17" t="s">
        <v>218</v>
      </c>
      <c r="J17" t="s">
        <v>219</v>
      </c>
      <c r="K17" t="s">
        <v>220</v>
      </c>
      <c r="L17">
        <v>1296</v>
      </c>
      <c r="N17">
        <v>1002</v>
      </c>
      <c r="O17" t="s">
        <v>221</v>
      </c>
      <c r="P17" t="s">
        <v>221</v>
      </c>
      <c r="Q17">
        <v>1</v>
      </c>
      <c r="W17">
        <v>0</v>
      </c>
      <c r="X17">
        <v>649513730</v>
      </c>
      <c r="Y17">
        <f t="shared" si="0"/>
        <v>2.8</v>
      </c>
      <c r="AA17">
        <v>25.47</v>
      </c>
      <c r="AB17">
        <v>0</v>
      </c>
      <c r="AC17">
        <v>0</v>
      </c>
      <c r="AD17">
        <v>0</v>
      </c>
      <c r="AE17">
        <v>25.47</v>
      </c>
      <c r="AF17">
        <v>0</v>
      </c>
      <c r="AG17">
        <v>0</v>
      </c>
      <c r="AH17">
        <v>0</v>
      </c>
      <c r="AI17">
        <v>1</v>
      </c>
      <c r="AJ17">
        <v>1</v>
      </c>
      <c r="AK17">
        <v>1</v>
      </c>
      <c r="AL17">
        <v>1</v>
      </c>
      <c r="AM17">
        <v>-2</v>
      </c>
      <c r="AN17">
        <v>0</v>
      </c>
      <c r="AO17">
        <v>1</v>
      </c>
      <c r="AP17">
        <v>0</v>
      </c>
      <c r="AQ17">
        <v>0</v>
      </c>
      <c r="AR17">
        <v>0</v>
      </c>
      <c r="AS17" t="s">
        <v>3</v>
      </c>
      <c r="AT17">
        <v>2.8</v>
      </c>
      <c r="AU17" t="s">
        <v>3</v>
      </c>
      <c r="AV17">
        <v>0</v>
      </c>
      <c r="AW17">
        <v>2</v>
      </c>
      <c r="AX17">
        <v>76396457</v>
      </c>
      <c r="AY17">
        <v>1</v>
      </c>
      <c r="AZ17">
        <v>0</v>
      </c>
      <c r="BA17">
        <v>17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CV17">
        <v>0</v>
      </c>
      <c r="CW17">
        <v>0</v>
      </c>
      <c r="CX17">
        <f>ROUND(Y17*Source!I73,9)</f>
        <v>5.6</v>
      </c>
      <c r="CY17">
        <f>AA17</f>
        <v>25.47</v>
      </c>
      <c r="CZ17">
        <f>AE17</f>
        <v>25.47</v>
      </c>
      <c r="DA17">
        <f>AI17</f>
        <v>1</v>
      </c>
      <c r="DB17">
        <f t="shared" si="1"/>
        <v>71.319999999999993</v>
      </c>
      <c r="DC17">
        <f t="shared" si="2"/>
        <v>0</v>
      </c>
      <c r="DD17" t="s">
        <v>3</v>
      </c>
      <c r="DE17" t="s">
        <v>3</v>
      </c>
      <c r="DF17">
        <f t="shared" si="3"/>
        <v>142.63</v>
      </c>
      <c r="DG17">
        <f t="shared" si="4"/>
        <v>0</v>
      </c>
      <c r="DH17">
        <f t="shared" si="5"/>
        <v>0</v>
      </c>
      <c r="DI17">
        <f t="shared" si="6"/>
        <v>0</v>
      </c>
      <c r="DJ17">
        <f>DF17</f>
        <v>142.63</v>
      </c>
      <c r="DK17">
        <v>0</v>
      </c>
      <c r="DL17" t="s">
        <v>3</v>
      </c>
      <c r="DM17">
        <v>0</v>
      </c>
      <c r="DN17" t="s">
        <v>3</v>
      </c>
      <c r="DO17">
        <v>0</v>
      </c>
    </row>
    <row r="18" spans="1:119" x14ac:dyDescent="0.2">
      <c r="A18">
        <f>ROW(Source!A74)</f>
        <v>74</v>
      </c>
      <c r="B18">
        <v>76395835</v>
      </c>
      <c r="C18">
        <v>76396458</v>
      </c>
      <c r="D18">
        <v>75874090</v>
      </c>
      <c r="E18">
        <v>15872964</v>
      </c>
      <c r="F18">
        <v>1</v>
      </c>
      <c r="G18">
        <v>15872964</v>
      </c>
      <c r="H18">
        <v>1</v>
      </c>
      <c r="I18" t="s">
        <v>184</v>
      </c>
      <c r="J18" t="s">
        <v>3</v>
      </c>
      <c r="K18" t="s">
        <v>185</v>
      </c>
      <c r="L18">
        <v>1191</v>
      </c>
      <c r="N18">
        <v>1013</v>
      </c>
      <c r="O18" t="s">
        <v>186</v>
      </c>
      <c r="P18" t="s">
        <v>186</v>
      </c>
      <c r="Q18">
        <v>1</v>
      </c>
      <c r="W18">
        <v>0</v>
      </c>
      <c r="X18">
        <v>476480486</v>
      </c>
      <c r="Y18">
        <f t="shared" si="0"/>
        <v>2.2999999999999998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1</v>
      </c>
      <c r="AJ18">
        <v>1</v>
      </c>
      <c r="AK18">
        <v>1</v>
      </c>
      <c r="AL18">
        <v>1</v>
      </c>
      <c r="AM18">
        <v>-2</v>
      </c>
      <c r="AN18">
        <v>0</v>
      </c>
      <c r="AO18">
        <v>1</v>
      </c>
      <c r="AP18">
        <v>0</v>
      </c>
      <c r="AQ18">
        <v>0</v>
      </c>
      <c r="AR18">
        <v>0</v>
      </c>
      <c r="AS18" t="s">
        <v>3</v>
      </c>
      <c r="AT18">
        <v>2.2999999999999998</v>
      </c>
      <c r="AU18" t="s">
        <v>3</v>
      </c>
      <c r="AV18">
        <v>1</v>
      </c>
      <c r="AW18">
        <v>2</v>
      </c>
      <c r="AX18">
        <v>76396460</v>
      </c>
      <c r="AY18">
        <v>1</v>
      </c>
      <c r="AZ18">
        <v>0</v>
      </c>
      <c r="BA18">
        <v>18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CU18">
        <f>ROUND(AT18*Source!I74*AH18*AL18,2)</f>
        <v>0</v>
      </c>
      <c r="CV18">
        <f>ROUND(Y18*Source!I74,9)</f>
        <v>4.5999999999999996</v>
      </c>
      <c r="CW18">
        <v>0</v>
      </c>
      <c r="CX18">
        <f>ROUND(Y18*Source!I74,9)</f>
        <v>4.5999999999999996</v>
      </c>
      <c r="CY18">
        <f>AD18</f>
        <v>0</v>
      </c>
      <c r="CZ18">
        <f>AH18</f>
        <v>0</v>
      </c>
      <c r="DA18">
        <f>AL18</f>
        <v>1</v>
      </c>
      <c r="DB18">
        <f t="shared" si="1"/>
        <v>0</v>
      </c>
      <c r="DC18">
        <f t="shared" si="2"/>
        <v>0</v>
      </c>
      <c r="DD18" t="s">
        <v>3</v>
      </c>
      <c r="DE18" t="s">
        <v>3</v>
      </c>
      <c r="DF18">
        <f t="shared" si="3"/>
        <v>0</v>
      </c>
      <c r="DG18">
        <f t="shared" si="4"/>
        <v>0</v>
      </c>
      <c r="DH18">
        <f t="shared" si="5"/>
        <v>0</v>
      </c>
      <c r="DI18">
        <f t="shared" si="6"/>
        <v>0</v>
      </c>
      <c r="DJ18">
        <f>DI18</f>
        <v>0</v>
      </c>
      <c r="DK18">
        <v>0</v>
      </c>
      <c r="DL18" t="s">
        <v>3</v>
      </c>
      <c r="DM18">
        <v>0</v>
      </c>
      <c r="DN18" t="s">
        <v>3</v>
      </c>
      <c r="DO18">
        <v>0</v>
      </c>
    </row>
    <row r="19" spans="1:119" x14ac:dyDescent="0.2">
      <c r="A19">
        <f>ROW(Source!A75)</f>
        <v>75</v>
      </c>
      <c r="B19">
        <v>76395835</v>
      </c>
      <c r="C19">
        <v>76396461</v>
      </c>
      <c r="D19">
        <v>75874090</v>
      </c>
      <c r="E19">
        <v>15872964</v>
      </c>
      <c r="F19">
        <v>1</v>
      </c>
      <c r="G19">
        <v>15872964</v>
      </c>
      <c r="H19">
        <v>1</v>
      </c>
      <c r="I19" t="s">
        <v>184</v>
      </c>
      <c r="J19" t="s">
        <v>3</v>
      </c>
      <c r="K19" t="s">
        <v>185</v>
      </c>
      <c r="L19">
        <v>1191</v>
      </c>
      <c r="N19">
        <v>1013</v>
      </c>
      <c r="O19" t="s">
        <v>186</v>
      </c>
      <c r="P19" t="s">
        <v>186</v>
      </c>
      <c r="Q19">
        <v>1</v>
      </c>
      <c r="W19">
        <v>0</v>
      </c>
      <c r="X19">
        <v>476480486</v>
      </c>
      <c r="Y19">
        <f t="shared" si="0"/>
        <v>46.78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1</v>
      </c>
      <c r="AJ19">
        <v>1</v>
      </c>
      <c r="AK19">
        <v>1</v>
      </c>
      <c r="AL19">
        <v>1</v>
      </c>
      <c r="AM19">
        <v>-2</v>
      </c>
      <c r="AN19">
        <v>0</v>
      </c>
      <c r="AO19">
        <v>1</v>
      </c>
      <c r="AP19">
        <v>0</v>
      </c>
      <c r="AQ19">
        <v>0</v>
      </c>
      <c r="AR19">
        <v>0</v>
      </c>
      <c r="AS19" t="s">
        <v>3</v>
      </c>
      <c r="AT19">
        <v>46.78</v>
      </c>
      <c r="AU19" t="s">
        <v>3</v>
      </c>
      <c r="AV19">
        <v>1</v>
      </c>
      <c r="AW19">
        <v>2</v>
      </c>
      <c r="AX19">
        <v>76396482</v>
      </c>
      <c r="AY19">
        <v>1</v>
      </c>
      <c r="AZ19">
        <v>0</v>
      </c>
      <c r="BA19">
        <v>19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CU19">
        <f>ROUND(AT19*Source!I75*AH19*AL19,2)</f>
        <v>0</v>
      </c>
      <c r="CV19">
        <f>ROUND(Y19*Source!I75,9)</f>
        <v>4.6779999999999999</v>
      </c>
      <c r="CW19">
        <v>0</v>
      </c>
      <c r="CX19">
        <f>ROUND(Y19*Source!I75,9)</f>
        <v>4.6779999999999999</v>
      </c>
      <c r="CY19">
        <f>AD19</f>
        <v>0</v>
      </c>
      <c r="CZ19">
        <f>AH19</f>
        <v>0</v>
      </c>
      <c r="DA19">
        <f>AL19</f>
        <v>1</v>
      </c>
      <c r="DB19">
        <f t="shared" si="1"/>
        <v>0</v>
      </c>
      <c r="DC19">
        <f t="shared" si="2"/>
        <v>0</v>
      </c>
      <c r="DD19" t="s">
        <v>3</v>
      </c>
      <c r="DE19" t="s">
        <v>3</v>
      </c>
      <c r="DF19">
        <f t="shared" si="3"/>
        <v>0</v>
      </c>
      <c r="DG19">
        <f t="shared" si="4"/>
        <v>0</v>
      </c>
      <c r="DH19">
        <f t="shared" si="5"/>
        <v>0</v>
      </c>
      <c r="DI19">
        <f t="shared" si="6"/>
        <v>0</v>
      </c>
      <c r="DJ19">
        <f>DI19</f>
        <v>0</v>
      </c>
      <c r="DK19">
        <v>0</v>
      </c>
      <c r="DL19" t="s">
        <v>3</v>
      </c>
      <c r="DM19">
        <v>0</v>
      </c>
      <c r="DN19" t="s">
        <v>3</v>
      </c>
      <c r="DO19">
        <v>0</v>
      </c>
    </row>
    <row r="20" spans="1:119" x14ac:dyDescent="0.2">
      <c r="A20">
        <f>ROW(Source!A75)</f>
        <v>75</v>
      </c>
      <c r="B20">
        <v>76395835</v>
      </c>
      <c r="C20">
        <v>76396461</v>
      </c>
      <c r="D20">
        <v>75875824</v>
      </c>
      <c r="E20">
        <v>1</v>
      </c>
      <c r="F20">
        <v>1</v>
      </c>
      <c r="G20">
        <v>15872964</v>
      </c>
      <c r="H20">
        <v>2</v>
      </c>
      <c r="I20" t="s">
        <v>194</v>
      </c>
      <c r="J20" t="s">
        <v>195</v>
      </c>
      <c r="K20" t="s">
        <v>196</v>
      </c>
      <c r="L20">
        <v>1368</v>
      </c>
      <c r="N20">
        <v>1011</v>
      </c>
      <c r="O20" t="s">
        <v>190</v>
      </c>
      <c r="P20" t="s">
        <v>190</v>
      </c>
      <c r="Q20">
        <v>1</v>
      </c>
      <c r="W20">
        <v>0</v>
      </c>
      <c r="X20">
        <v>71529876</v>
      </c>
      <c r="Y20">
        <f t="shared" si="0"/>
        <v>13</v>
      </c>
      <c r="AA20">
        <v>0</v>
      </c>
      <c r="AB20">
        <v>5.13</v>
      </c>
      <c r="AC20">
        <v>7.0000000000000007E-2</v>
      </c>
      <c r="AD20">
        <v>0</v>
      </c>
      <c r="AE20">
        <v>0</v>
      </c>
      <c r="AF20">
        <v>5.13</v>
      </c>
      <c r="AG20">
        <v>7.0000000000000007E-2</v>
      </c>
      <c r="AH20">
        <v>0</v>
      </c>
      <c r="AI20">
        <v>1</v>
      </c>
      <c r="AJ20">
        <v>1</v>
      </c>
      <c r="AK20">
        <v>1</v>
      </c>
      <c r="AL20">
        <v>1</v>
      </c>
      <c r="AM20">
        <v>-2</v>
      </c>
      <c r="AN20">
        <v>0</v>
      </c>
      <c r="AO20">
        <v>1</v>
      </c>
      <c r="AP20">
        <v>0</v>
      </c>
      <c r="AQ20">
        <v>0</v>
      </c>
      <c r="AR20">
        <v>0</v>
      </c>
      <c r="AS20" t="s">
        <v>3</v>
      </c>
      <c r="AT20">
        <v>13</v>
      </c>
      <c r="AU20" t="s">
        <v>3</v>
      </c>
      <c r="AV20">
        <v>0</v>
      </c>
      <c r="AW20">
        <v>2</v>
      </c>
      <c r="AX20">
        <v>76396483</v>
      </c>
      <c r="AY20">
        <v>1</v>
      </c>
      <c r="AZ20">
        <v>0</v>
      </c>
      <c r="BA20">
        <v>20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CV20">
        <v>0</v>
      </c>
      <c r="CW20">
        <f>ROUND(Y20*Source!I75*DO20,9)</f>
        <v>0</v>
      </c>
      <c r="CX20">
        <f>ROUND(Y20*Source!I75,9)</f>
        <v>1.3</v>
      </c>
      <c r="CY20">
        <f>AB20</f>
        <v>5.13</v>
      </c>
      <c r="CZ20">
        <f>AF20</f>
        <v>5.13</v>
      </c>
      <c r="DA20">
        <f>AJ20</f>
        <v>1</v>
      </c>
      <c r="DB20">
        <f t="shared" si="1"/>
        <v>66.69</v>
      </c>
      <c r="DC20">
        <f t="shared" si="2"/>
        <v>0.91</v>
      </c>
      <c r="DD20" t="s">
        <v>3</v>
      </c>
      <c r="DE20" t="s">
        <v>3</v>
      </c>
      <c r="DF20">
        <f t="shared" si="3"/>
        <v>0</v>
      </c>
      <c r="DG20">
        <f t="shared" si="4"/>
        <v>6.67</v>
      </c>
      <c r="DH20">
        <f t="shared" si="5"/>
        <v>0.09</v>
      </c>
      <c r="DI20">
        <f t="shared" si="6"/>
        <v>0</v>
      </c>
      <c r="DJ20">
        <f>DG20</f>
        <v>6.67</v>
      </c>
      <c r="DK20">
        <v>0</v>
      </c>
      <c r="DL20" t="s">
        <v>3</v>
      </c>
      <c r="DM20">
        <v>0</v>
      </c>
      <c r="DN20" t="s">
        <v>3</v>
      </c>
      <c r="DO20">
        <v>0</v>
      </c>
    </row>
    <row r="21" spans="1:119" x14ac:dyDescent="0.2">
      <c r="A21">
        <f>ROW(Source!A75)</f>
        <v>75</v>
      </c>
      <c r="B21">
        <v>76395835</v>
      </c>
      <c r="C21">
        <v>76396461</v>
      </c>
      <c r="D21">
        <v>75875897</v>
      </c>
      <c r="E21">
        <v>1</v>
      </c>
      <c r="F21">
        <v>1</v>
      </c>
      <c r="G21">
        <v>15872964</v>
      </c>
      <c r="H21">
        <v>2</v>
      </c>
      <c r="I21" t="s">
        <v>191</v>
      </c>
      <c r="J21" t="s">
        <v>192</v>
      </c>
      <c r="K21" t="s">
        <v>193</v>
      </c>
      <c r="L21">
        <v>1368</v>
      </c>
      <c r="N21">
        <v>1011</v>
      </c>
      <c r="O21" t="s">
        <v>190</v>
      </c>
      <c r="P21" t="s">
        <v>190</v>
      </c>
      <c r="Q21">
        <v>1</v>
      </c>
      <c r="W21">
        <v>0</v>
      </c>
      <c r="X21">
        <v>-1817365194</v>
      </c>
      <c r="Y21">
        <f t="shared" si="0"/>
        <v>0.15</v>
      </c>
      <c r="AA21">
        <v>0</v>
      </c>
      <c r="AB21">
        <v>4.72</v>
      </c>
      <c r="AC21">
        <v>0.1</v>
      </c>
      <c r="AD21">
        <v>0</v>
      </c>
      <c r="AE21">
        <v>0</v>
      </c>
      <c r="AF21">
        <v>4.72</v>
      </c>
      <c r="AG21">
        <v>0.1</v>
      </c>
      <c r="AH21">
        <v>0</v>
      </c>
      <c r="AI21">
        <v>1</v>
      </c>
      <c r="AJ21">
        <v>1</v>
      </c>
      <c r="AK21">
        <v>1</v>
      </c>
      <c r="AL21">
        <v>1</v>
      </c>
      <c r="AM21">
        <v>-2</v>
      </c>
      <c r="AN21">
        <v>0</v>
      </c>
      <c r="AO21">
        <v>1</v>
      </c>
      <c r="AP21">
        <v>0</v>
      </c>
      <c r="AQ21">
        <v>0</v>
      </c>
      <c r="AR21">
        <v>0</v>
      </c>
      <c r="AS21" t="s">
        <v>3</v>
      </c>
      <c r="AT21">
        <v>0.15</v>
      </c>
      <c r="AU21" t="s">
        <v>3</v>
      </c>
      <c r="AV21">
        <v>0</v>
      </c>
      <c r="AW21">
        <v>2</v>
      </c>
      <c r="AX21">
        <v>76396484</v>
      </c>
      <c r="AY21">
        <v>1</v>
      </c>
      <c r="AZ21">
        <v>0</v>
      </c>
      <c r="BA21">
        <v>21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CV21">
        <v>0</v>
      </c>
      <c r="CW21">
        <f>ROUND(Y21*Source!I75*DO21,9)</f>
        <v>0</v>
      </c>
      <c r="CX21">
        <f>ROUND(Y21*Source!I75,9)</f>
        <v>1.4999999999999999E-2</v>
      </c>
      <c r="CY21">
        <f>AB21</f>
        <v>4.72</v>
      </c>
      <c r="CZ21">
        <f>AF21</f>
        <v>4.72</v>
      </c>
      <c r="DA21">
        <f>AJ21</f>
        <v>1</v>
      </c>
      <c r="DB21">
        <f t="shared" si="1"/>
        <v>0.71</v>
      </c>
      <c r="DC21">
        <f t="shared" si="2"/>
        <v>0.02</v>
      </c>
      <c r="DD21" t="s">
        <v>3</v>
      </c>
      <c r="DE21" t="s">
        <v>3</v>
      </c>
      <c r="DF21">
        <f t="shared" si="3"/>
        <v>0</v>
      </c>
      <c r="DG21">
        <f t="shared" si="4"/>
        <v>7.0000000000000007E-2</v>
      </c>
      <c r="DH21">
        <f t="shared" si="5"/>
        <v>0</v>
      </c>
      <c r="DI21">
        <f t="shared" si="6"/>
        <v>0</v>
      </c>
      <c r="DJ21">
        <f>DG21</f>
        <v>7.0000000000000007E-2</v>
      </c>
      <c r="DK21">
        <v>0</v>
      </c>
      <c r="DL21" t="s">
        <v>3</v>
      </c>
      <c r="DM21">
        <v>0</v>
      </c>
      <c r="DN21" t="s">
        <v>3</v>
      </c>
      <c r="DO21">
        <v>0</v>
      </c>
    </row>
    <row r="22" spans="1:119" x14ac:dyDescent="0.2">
      <c r="A22">
        <f>ROW(Source!A75)</f>
        <v>75</v>
      </c>
      <c r="B22">
        <v>76395835</v>
      </c>
      <c r="C22">
        <v>76396461</v>
      </c>
      <c r="D22">
        <v>75877050</v>
      </c>
      <c r="E22">
        <v>1</v>
      </c>
      <c r="F22">
        <v>1</v>
      </c>
      <c r="G22">
        <v>15872964</v>
      </c>
      <c r="H22">
        <v>3</v>
      </c>
      <c r="I22" t="s">
        <v>200</v>
      </c>
      <c r="J22" t="s">
        <v>222</v>
      </c>
      <c r="K22" t="s">
        <v>201</v>
      </c>
      <c r="L22">
        <v>1348</v>
      </c>
      <c r="N22">
        <v>1009</v>
      </c>
      <c r="O22" t="s">
        <v>211</v>
      </c>
      <c r="P22" t="s">
        <v>211</v>
      </c>
      <c r="Q22">
        <v>1000</v>
      </c>
      <c r="W22">
        <v>0</v>
      </c>
      <c r="X22">
        <v>-181271767</v>
      </c>
      <c r="Y22">
        <f t="shared" si="0"/>
        <v>7.3999999999999999E-4</v>
      </c>
      <c r="AA22">
        <v>190540.34</v>
      </c>
      <c r="AB22">
        <v>0</v>
      </c>
      <c r="AC22">
        <v>0</v>
      </c>
      <c r="AD22">
        <v>0</v>
      </c>
      <c r="AE22">
        <v>190540.34</v>
      </c>
      <c r="AF22">
        <v>0</v>
      </c>
      <c r="AG22">
        <v>0</v>
      </c>
      <c r="AH22">
        <v>0</v>
      </c>
      <c r="AI22">
        <v>1</v>
      </c>
      <c r="AJ22">
        <v>1</v>
      </c>
      <c r="AK22">
        <v>1</v>
      </c>
      <c r="AL22">
        <v>1</v>
      </c>
      <c r="AM22">
        <v>-2</v>
      </c>
      <c r="AN22">
        <v>0</v>
      </c>
      <c r="AO22">
        <v>1</v>
      </c>
      <c r="AP22">
        <v>0</v>
      </c>
      <c r="AQ22">
        <v>0</v>
      </c>
      <c r="AR22">
        <v>0</v>
      </c>
      <c r="AS22" t="s">
        <v>3</v>
      </c>
      <c r="AT22">
        <v>7.3999999999999999E-4</v>
      </c>
      <c r="AU22" t="s">
        <v>3</v>
      </c>
      <c r="AV22">
        <v>0</v>
      </c>
      <c r="AW22">
        <v>2</v>
      </c>
      <c r="AX22">
        <v>76396485</v>
      </c>
      <c r="AY22">
        <v>1</v>
      </c>
      <c r="AZ22">
        <v>0</v>
      </c>
      <c r="BA22">
        <v>22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CV22">
        <v>0</v>
      </c>
      <c r="CW22">
        <v>0</v>
      </c>
      <c r="CX22">
        <f>ROUND(Y22*Source!I75,9)</f>
        <v>7.3999999999999996E-5</v>
      </c>
      <c r="CY22">
        <f t="shared" ref="CY22:CY38" si="7">AA22</f>
        <v>190540.34</v>
      </c>
      <c r="CZ22">
        <f t="shared" ref="CZ22:CZ38" si="8">AE22</f>
        <v>190540.34</v>
      </c>
      <c r="DA22">
        <f t="shared" ref="DA22:DA38" si="9">AI22</f>
        <v>1</v>
      </c>
      <c r="DB22">
        <f t="shared" si="1"/>
        <v>141</v>
      </c>
      <c r="DC22">
        <f t="shared" si="2"/>
        <v>0</v>
      </c>
      <c r="DD22" t="s">
        <v>3</v>
      </c>
      <c r="DE22" t="s">
        <v>3</v>
      </c>
      <c r="DF22">
        <f t="shared" si="3"/>
        <v>14.1</v>
      </c>
      <c r="DG22">
        <f t="shared" si="4"/>
        <v>0</v>
      </c>
      <c r="DH22">
        <f t="shared" si="5"/>
        <v>0</v>
      </c>
      <c r="DI22">
        <f t="shared" si="6"/>
        <v>0</v>
      </c>
      <c r="DJ22">
        <f t="shared" ref="DJ22:DJ38" si="10">DF22</f>
        <v>14.1</v>
      </c>
      <c r="DK22">
        <v>0</v>
      </c>
      <c r="DL22" t="s">
        <v>3</v>
      </c>
      <c r="DM22">
        <v>0</v>
      </c>
      <c r="DN22" t="s">
        <v>3</v>
      </c>
      <c r="DO22">
        <v>0</v>
      </c>
    </row>
    <row r="23" spans="1:119" x14ac:dyDescent="0.2">
      <c r="A23">
        <f>ROW(Source!A75)</f>
        <v>75</v>
      </c>
      <c r="B23">
        <v>76395835</v>
      </c>
      <c r="C23">
        <v>76396461</v>
      </c>
      <c r="D23">
        <v>75877023</v>
      </c>
      <c r="E23">
        <v>1</v>
      </c>
      <c r="F23">
        <v>1</v>
      </c>
      <c r="G23">
        <v>15872964</v>
      </c>
      <c r="H23">
        <v>3</v>
      </c>
      <c r="I23" t="s">
        <v>223</v>
      </c>
      <c r="J23" t="s">
        <v>224</v>
      </c>
      <c r="K23" t="s">
        <v>225</v>
      </c>
      <c r="L23">
        <v>1355</v>
      </c>
      <c r="N23">
        <v>1010</v>
      </c>
      <c r="O23" t="s">
        <v>226</v>
      </c>
      <c r="P23" t="s">
        <v>226</v>
      </c>
      <c r="Q23">
        <v>100</v>
      </c>
      <c r="W23">
        <v>0</v>
      </c>
      <c r="X23">
        <v>1583670906</v>
      </c>
      <c r="Y23">
        <f t="shared" si="0"/>
        <v>4</v>
      </c>
      <c r="AA23">
        <v>997.35</v>
      </c>
      <c r="AB23">
        <v>0</v>
      </c>
      <c r="AC23">
        <v>0</v>
      </c>
      <c r="AD23">
        <v>0</v>
      </c>
      <c r="AE23">
        <v>997.35</v>
      </c>
      <c r="AF23">
        <v>0</v>
      </c>
      <c r="AG23">
        <v>0</v>
      </c>
      <c r="AH23">
        <v>0</v>
      </c>
      <c r="AI23">
        <v>1</v>
      </c>
      <c r="AJ23">
        <v>1</v>
      </c>
      <c r="AK23">
        <v>1</v>
      </c>
      <c r="AL23">
        <v>1</v>
      </c>
      <c r="AM23">
        <v>-2</v>
      </c>
      <c r="AN23">
        <v>0</v>
      </c>
      <c r="AO23">
        <v>1</v>
      </c>
      <c r="AP23">
        <v>0</v>
      </c>
      <c r="AQ23">
        <v>0</v>
      </c>
      <c r="AR23">
        <v>0</v>
      </c>
      <c r="AS23" t="s">
        <v>3</v>
      </c>
      <c r="AT23">
        <v>4</v>
      </c>
      <c r="AU23" t="s">
        <v>3</v>
      </c>
      <c r="AV23">
        <v>0</v>
      </c>
      <c r="AW23">
        <v>2</v>
      </c>
      <c r="AX23">
        <v>76396486</v>
      </c>
      <c r="AY23">
        <v>1</v>
      </c>
      <c r="AZ23">
        <v>0</v>
      </c>
      <c r="BA23">
        <v>23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CV23">
        <v>0</v>
      </c>
      <c r="CW23">
        <v>0</v>
      </c>
      <c r="CX23">
        <f>ROUND(Y23*Source!I75,9)</f>
        <v>0.4</v>
      </c>
      <c r="CY23">
        <f t="shared" si="7"/>
        <v>997.35</v>
      </c>
      <c r="CZ23">
        <f t="shared" si="8"/>
        <v>997.35</v>
      </c>
      <c r="DA23">
        <f t="shared" si="9"/>
        <v>1</v>
      </c>
      <c r="DB23">
        <f t="shared" si="1"/>
        <v>3989.4</v>
      </c>
      <c r="DC23">
        <f t="shared" si="2"/>
        <v>0</v>
      </c>
      <c r="DD23" t="s">
        <v>3</v>
      </c>
      <c r="DE23" t="s">
        <v>3</v>
      </c>
      <c r="DF23">
        <f t="shared" si="3"/>
        <v>398.94</v>
      </c>
      <c r="DG23">
        <f t="shared" si="4"/>
        <v>0</v>
      </c>
      <c r="DH23">
        <f t="shared" si="5"/>
        <v>0</v>
      </c>
      <c r="DI23">
        <f t="shared" si="6"/>
        <v>0</v>
      </c>
      <c r="DJ23">
        <f t="shared" si="10"/>
        <v>398.94</v>
      </c>
      <c r="DK23">
        <v>0</v>
      </c>
      <c r="DL23" t="s">
        <v>3</v>
      </c>
      <c r="DM23">
        <v>0</v>
      </c>
      <c r="DN23" t="s">
        <v>3</v>
      </c>
      <c r="DO23">
        <v>0</v>
      </c>
    </row>
    <row r="24" spans="1:119" x14ac:dyDescent="0.2">
      <c r="A24">
        <f>ROW(Source!A75)</f>
        <v>75</v>
      </c>
      <c r="B24">
        <v>76395835</v>
      </c>
      <c r="C24">
        <v>76396461</v>
      </c>
      <c r="D24">
        <v>75878431</v>
      </c>
      <c r="E24">
        <v>1</v>
      </c>
      <c r="F24">
        <v>1</v>
      </c>
      <c r="G24">
        <v>15872964</v>
      </c>
      <c r="H24">
        <v>3</v>
      </c>
      <c r="I24" t="s">
        <v>113</v>
      </c>
      <c r="J24" t="s">
        <v>116</v>
      </c>
      <c r="K24" t="s">
        <v>114</v>
      </c>
      <c r="L24">
        <v>1301</v>
      </c>
      <c r="N24">
        <v>1003</v>
      </c>
      <c r="O24" t="s">
        <v>115</v>
      </c>
      <c r="P24" t="s">
        <v>115</v>
      </c>
      <c r="Q24">
        <v>1</v>
      </c>
      <c r="W24">
        <v>0</v>
      </c>
      <c r="X24">
        <v>346125033</v>
      </c>
      <c r="Y24">
        <f t="shared" si="0"/>
        <v>100</v>
      </c>
      <c r="AA24">
        <v>45.22</v>
      </c>
      <c r="AB24">
        <v>0</v>
      </c>
      <c r="AC24">
        <v>0</v>
      </c>
      <c r="AD24">
        <v>0</v>
      </c>
      <c r="AE24">
        <v>45.22</v>
      </c>
      <c r="AF24">
        <v>0</v>
      </c>
      <c r="AG24">
        <v>0</v>
      </c>
      <c r="AH24">
        <v>0</v>
      </c>
      <c r="AI24">
        <v>1</v>
      </c>
      <c r="AJ24">
        <v>1</v>
      </c>
      <c r="AK24">
        <v>1</v>
      </c>
      <c r="AL24">
        <v>1</v>
      </c>
      <c r="AM24">
        <v>-2</v>
      </c>
      <c r="AN24">
        <v>0</v>
      </c>
      <c r="AO24">
        <v>1</v>
      </c>
      <c r="AP24">
        <v>0</v>
      </c>
      <c r="AQ24">
        <v>0</v>
      </c>
      <c r="AR24">
        <v>0</v>
      </c>
      <c r="AS24" t="s">
        <v>3</v>
      </c>
      <c r="AT24">
        <v>100</v>
      </c>
      <c r="AU24" t="s">
        <v>3</v>
      </c>
      <c r="AV24">
        <v>0</v>
      </c>
      <c r="AW24">
        <v>2</v>
      </c>
      <c r="AX24">
        <v>76396487</v>
      </c>
      <c r="AY24">
        <v>1</v>
      </c>
      <c r="AZ24">
        <v>0</v>
      </c>
      <c r="BA24">
        <v>24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CV24">
        <v>0</v>
      </c>
      <c r="CW24">
        <v>0</v>
      </c>
      <c r="CX24">
        <f>ROUND(Y24*Source!I75,9)</f>
        <v>10</v>
      </c>
      <c r="CY24">
        <f t="shared" si="7"/>
        <v>45.22</v>
      </c>
      <c r="CZ24">
        <f t="shared" si="8"/>
        <v>45.22</v>
      </c>
      <c r="DA24">
        <f t="shared" si="9"/>
        <v>1</v>
      </c>
      <c r="DB24">
        <f t="shared" si="1"/>
        <v>4522</v>
      </c>
      <c r="DC24">
        <f t="shared" si="2"/>
        <v>0</v>
      </c>
      <c r="DD24" t="s">
        <v>3</v>
      </c>
      <c r="DE24" t="s">
        <v>3</v>
      </c>
      <c r="DF24">
        <f t="shared" si="3"/>
        <v>452.2</v>
      </c>
      <c r="DG24">
        <f t="shared" si="4"/>
        <v>0</v>
      </c>
      <c r="DH24">
        <f t="shared" si="5"/>
        <v>0</v>
      </c>
      <c r="DI24">
        <f t="shared" si="6"/>
        <v>0</v>
      </c>
      <c r="DJ24">
        <f t="shared" si="10"/>
        <v>452.2</v>
      </c>
      <c r="DK24">
        <v>0</v>
      </c>
      <c r="DL24" t="s">
        <v>3</v>
      </c>
      <c r="DM24">
        <v>0</v>
      </c>
      <c r="DN24" t="s">
        <v>3</v>
      </c>
      <c r="DO24">
        <v>0</v>
      </c>
    </row>
    <row r="25" spans="1:119" x14ac:dyDescent="0.2">
      <c r="A25">
        <f>ROW(Source!A75)</f>
        <v>75</v>
      </c>
      <c r="B25">
        <v>76395835</v>
      </c>
      <c r="C25">
        <v>76396461</v>
      </c>
      <c r="D25">
        <v>75878431</v>
      </c>
      <c r="E25">
        <v>1</v>
      </c>
      <c r="F25">
        <v>1</v>
      </c>
      <c r="G25">
        <v>15872964</v>
      </c>
      <c r="H25">
        <v>3</v>
      </c>
      <c r="I25" t="s">
        <v>113</v>
      </c>
      <c r="J25" t="s">
        <v>116</v>
      </c>
      <c r="K25" t="s">
        <v>114</v>
      </c>
      <c r="L25">
        <v>1301</v>
      </c>
      <c r="N25">
        <v>1003</v>
      </c>
      <c r="O25" t="s">
        <v>115</v>
      </c>
      <c r="P25" t="s">
        <v>115</v>
      </c>
      <c r="Q25">
        <v>1</v>
      </c>
      <c r="W25">
        <v>0</v>
      </c>
      <c r="X25">
        <v>346125033</v>
      </c>
      <c r="Y25">
        <f t="shared" si="0"/>
        <v>-100</v>
      </c>
      <c r="AA25">
        <v>45.22</v>
      </c>
      <c r="AB25">
        <v>0</v>
      </c>
      <c r="AC25">
        <v>0</v>
      </c>
      <c r="AD25">
        <v>0</v>
      </c>
      <c r="AE25">
        <v>45.22</v>
      </c>
      <c r="AF25">
        <v>0</v>
      </c>
      <c r="AG25">
        <v>0</v>
      </c>
      <c r="AH25">
        <v>0</v>
      </c>
      <c r="AI25">
        <v>1</v>
      </c>
      <c r="AJ25">
        <v>1</v>
      </c>
      <c r="AK25">
        <v>1</v>
      </c>
      <c r="AL25">
        <v>1</v>
      </c>
      <c r="AM25">
        <v>0</v>
      </c>
      <c r="AN25">
        <v>0</v>
      </c>
      <c r="AO25">
        <v>0</v>
      </c>
      <c r="AP25">
        <v>1</v>
      </c>
      <c r="AQ25">
        <v>0</v>
      </c>
      <c r="AR25">
        <v>0</v>
      </c>
      <c r="AS25" t="s">
        <v>3</v>
      </c>
      <c r="AT25">
        <v>-100</v>
      </c>
      <c r="AU25" t="s">
        <v>3</v>
      </c>
      <c r="AV25">
        <v>0</v>
      </c>
      <c r="AW25">
        <v>1</v>
      </c>
      <c r="AX25">
        <v>-1</v>
      </c>
      <c r="AY25">
        <v>0</v>
      </c>
      <c r="AZ25">
        <v>0</v>
      </c>
      <c r="BA25" t="s">
        <v>3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CV25">
        <v>0</v>
      </c>
      <c r="CW25">
        <v>0</v>
      </c>
      <c r="CX25">
        <f>ROUND(Y25*Source!I75,9)</f>
        <v>-10</v>
      </c>
      <c r="CY25">
        <f t="shared" si="7"/>
        <v>45.22</v>
      </c>
      <c r="CZ25">
        <f t="shared" si="8"/>
        <v>45.22</v>
      </c>
      <c r="DA25">
        <f t="shared" si="9"/>
        <v>1</v>
      </c>
      <c r="DB25">
        <f t="shared" si="1"/>
        <v>-4522</v>
      </c>
      <c r="DC25">
        <f t="shared" si="2"/>
        <v>0</v>
      </c>
      <c r="DD25" t="s">
        <v>3</v>
      </c>
      <c r="DE25" t="s">
        <v>3</v>
      </c>
      <c r="DF25">
        <f t="shared" si="3"/>
        <v>-452.2</v>
      </c>
      <c r="DG25">
        <f t="shared" si="4"/>
        <v>0</v>
      </c>
      <c r="DH25">
        <f t="shared" si="5"/>
        <v>0</v>
      </c>
      <c r="DI25">
        <f t="shared" si="6"/>
        <v>0</v>
      </c>
      <c r="DJ25">
        <f t="shared" si="10"/>
        <v>-452.2</v>
      </c>
      <c r="DK25">
        <v>0</v>
      </c>
      <c r="DL25" t="s">
        <v>3</v>
      </c>
      <c r="DM25">
        <v>0</v>
      </c>
      <c r="DN25" t="s">
        <v>3</v>
      </c>
      <c r="DO25">
        <v>0</v>
      </c>
    </row>
    <row r="26" spans="1:119" x14ac:dyDescent="0.2">
      <c r="A26">
        <f>ROW(Source!A75)</f>
        <v>75</v>
      </c>
      <c r="B26">
        <v>76395835</v>
      </c>
      <c r="C26">
        <v>76396461</v>
      </c>
      <c r="D26">
        <v>75878432</v>
      </c>
      <c r="E26">
        <v>1</v>
      </c>
      <c r="F26">
        <v>1</v>
      </c>
      <c r="G26">
        <v>15872964</v>
      </c>
      <c r="H26">
        <v>3</v>
      </c>
      <c r="I26" t="s">
        <v>118</v>
      </c>
      <c r="J26" t="s">
        <v>121</v>
      </c>
      <c r="K26" t="s">
        <v>119</v>
      </c>
      <c r="L26">
        <v>1356</v>
      </c>
      <c r="N26">
        <v>1010</v>
      </c>
      <c r="O26" t="s">
        <v>120</v>
      </c>
      <c r="P26" t="s">
        <v>120</v>
      </c>
      <c r="Q26">
        <v>1000</v>
      </c>
      <c r="W26">
        <v>0</v>
      </c>
      <c r="X26">
        <v>2135828952</v>
      </c>
      <c r="Y26">
        <f t="shared" si="0"/>
        <v>2E-3</v>
      </c>
      <c r="AA26">
        <v>46130.16</v>
      </c>
      <c r="AB26">
        <v>0</v>
      </c>
      <c r="AC26">
        <v>0</v>
      </c>
      <c r="AD26">
        <v>0</v>
      </c>
      <c r="AE26">
        <v>46130.16</v>
      </c>
      <c r="AF26">
        <v>0</v>
      </c>
      <c r="AG26">
        <v>0</v>
      </c>
      <c r="AH26">
        <v>0</v>
      </c>
      <c r="AI26">
        <v>1</v>
      </c>
      <c r="AJ26">
        <v>1</v>
      </c>
      <c r="AK26">
        <v>1</v>
      </c>
      <c r="AL26">
        <v>1</v>
      </c>
      <c r="AM26">
        <v>-2</v>
      </c>
      <c r="AN26">
        <v>0</v>
      </c>
      <c r="AO26">
        <v>1</v>
      </c>
      <c r="AP26">
        <v>0</v>
      </c>
      <c r="AQ26">
        <v>0</v>
      </c>
      <c r="AR26">
        <v>0</v>
      </c>
      <c r="AS26" t="s">
        <v>3</v>
      </c>
      <c r="AT26">
        <v>2E-3</v>
      </c>
      <c r="AU26" t="s">
        <v>3</v>
      </c>
      <c r="AV26">
        <v>0</v>
      </c>
      <c r="AW26">
        <v>2</v>
      </c>
      <c r="AX26">
        <v>76396488</v>
      </c>
      <c r="AY26">
        <v>1</v>
      </c>
      <c r="AZ26">
        <v>0</v>
      </c>
      <c r="BA26">
        <v>25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CV26">
        <v>0</v>
      </c>
      <c r="CW26">
        <v>0</v>
      </c>
      <c r="CX26">
        <f>ROUND(Y26*Source!I75,9)</f>
        <v>2.0000000000000001E-4</v>
      </c>
      <c r="CY26">
        <f t="shared" si="7"/>
        <v>46130.16</v>
      </c>
      <c r="CZ26">
        <f t="shared" si="8"/>
        <v>46130.16</v>
      </c>
      <c r="DA26">
        <f t="shared" si="9"/>
        <v>1</v>
      </c>
      <c r="DB26">
        <f t="shared" si="1"/>
        <v>92.26</v>
      </c>
      <c r="DC26">
        <f t="shared" si="2"/>
        <v>0</v>
      </c>
      <c r="DD26" t="s">
        <v>3</v>
      </c>
      <c r="DE26" t="s">
        <v>3</v>
      </c>
      <c r="DF26">
        <f t="shared" si="3"/>
        <v>9.23</v>
      </c>
      <c r="DG26">
        <f t="shared" si="4"/>
        <v>0</v>
      </c>
      <c r="DH26">
        <f t="shared" si="5"/>
        <v>0</v>
      </c>
      <c r="DI26">
        <f t="shared" si="6"/>
        <v>0</v>
      </c>
      <c r="DJ26">
        <f t="shared" si="10"/>
        <v>9.23</v>
      </c>
      <c r="DK26">
        <v>0</v>
      </c>
      <c r="DL26" t="s">
        <v>3</v>
      </c>
      <c r="DM26">
        <v>0</v>
      </c>
      <c r="DN26" t="s">
        <v>3</v>
      </c>
      <c r="DO26">
        <v>0</v>
      </c>
    </row>
    <row r="27" spans="1:119" x14ac:dyDescent="0.2">
      <c r="A27">
        <f>ROW(Source!A75)</f>
        <v>75</v>
      </c>
      <c r="B27">
        <v>76395835</v>
      </c>
      <c r="C27">
        <v>76396461</v>
      </c>
      <c r="D27">
        <v>75878432</v>
      </c>
      <c r="E27">
        <v>1</v>
      </c>
      <c r="F27">
        <v>1</v>
      </c>
      <c r="G27">
        <v>15872964</v>
      </c>
      <c r="H27">
        <v>3</v>
      </c>
      <c r="I27" t="s">
        <v>118</v>
      </c>
      <c r="J27" t="s">
        <v>121</v>
      </c>
      <c r="K27" t="s">
        <v>119</v>
      </c>
      <c r="L27">
        <v>1356</v>
      </c>
      <c r="N27">
        <v>1010</v>
      </c>
      <c r="O27" t="s">
        <v>120</v>
      </c>
      <c r="P27" t="s">
        <v>120</v>
      </c>
      <c r="Q27">
        <v>1000</v>
      </c>
      <c r="W27">
        <v>0</v>
      </c>
      <c r="X27">
        <v>2135828952</v>
      </c>
      <c r="Y27">
        <f t="shared" si="0"/>
        <v>-2E-3</v>
      </c>
      <c r="AA27">
        <v>46130.16</v>
      </c>
      <c r="AB27">
        <v>0</v>
      </c>
      <c r="AC27">
        <v>0</v>
      </c>
      <c r="AD27">
        <v>0</v>
      </c>
      <c r="AE27">
        <v>46130.16</v>
      </c>
      <c r="AF27">
        <v>0</v>
      </c>
      <c r="AG27">
        <v>0</v>
      </c>
      <c r="AH27">
        <v>0</v>
      </c>
      <c r="AI27">
        <v>1</v>
      </c>
      <c r="AJ27">
        <v>1</v>
      </c>
      <c r="AK27">
        <v>1</v>
      </c>
      <c r="AL27">
        <v>1</v>
      </c>
      <c r="AM27">
        <v>0</v>
      </c>
      <c r="AN27">
        <v>0</v>
      </c>
      <c r="AO27">
        <v>0</v>
      </c>
      <c r="AP27">
        <v>1</v>
      </c>
      <c r="AQ27">
        <v>0</v>
      </c>
      <c r="AR27">
        <v>0</v>
      </c>
      <c r="AS27" t="s">
        <v>3</v>
      </c>
      <c r="AT27">
        <v>-2E-3</v>
      </c>
      <c r="AU27" t="s">
        <v>3</v>
      </c>
      <c r="AV27">
        <v>0</v>
      </c>
      <c r="AW27">
        <v>1</v>
      </c>
      <c r="AX27">
        <v>-1</v>
      </c>
      <c r="AY27">
        <v>0</v>
      </c>
      <c r="AZ27">
        <v>0</v>
      </c>
      <c r="BA27" t="s">
        <v>3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CV27">
        <v>0</v>
      </c>
      <c r="CW27">
        <v>0</v>
      </c>
      <c r="CX27">
        <f>ROUND(Y27*Source!I75,9)</f>
        <v>-2.0000000000000001E-4</v>
      </c>
      <c r="CY27">
        <f t="shared" si="7"/>
        <v>46130.16</v>
      </c>
      <c r="CZ27">
        <f t="shared" si="8"/>
        <v>46130.16</v>
      </c>
      <c r="DA27">
        <f t="shared" si="9"/>
        <v>1</v>
      </c>
      <c r="DB27">
        <f t="shared" si="1"/>
        <v>-92.26</v>
      </c>
      <c r="DC27">
        <f t="shared" si="2"/>
        <v>0</v>
      </c>
      <c r="DD27" t="s">
        <v>3</v>
      </c>
      <c r="DE27" t="s">
        <v>3</v>
      </c>
      <c r="DF27">
        <f t="shared" si="3"/>
        <v>-9.23</v>
      </c>
      <c r="DG27">
        <f t="shared" si="4"/>
        <v>0</v>
      </c>
      <c r="DH27">
        <f t="shared" si="5"/>
        <v>0</v>
      </c>
      <c r="DI27">
        <f t="shared" si="6"/>
        <v>0</v>
      </c>
      <c r="DJ27">
        <f t="shared" si="10"/>
        <v>-9.23</v>
      </c>
      <c r="DK27">
        <v>0</v>
      </c>
      <c r="DL27" t="s">
        <v>3</v>
      </c>
      <c r="DM27">
        <v>0</v>
      </c>
      <c r="DN27" t="s">
        <v>3</v>
      </c>
      <c r="DO27">
        <v>0</v>
      </c>
    </row>
    <row r="28" spans="1:119" x14ac:dyDescent="0.2">
      <c r="A28">
        <f>ROW(Source!A75)</f>
        <v>75</v>
      </c>
      <c r="B28">
        <v>76395835</v>
      </c>
      <c r="C28">
        <v>76396461</v>
      </c>
      <c r="D28">
        <v>75878433</v>
      </c>
      <c r="E28">
        <v>1</v>
      </c>
      <c r="F28">
        <v>1</v>
      </c>
      <c r="G28">
        <v>15872964</v>
      </c>
      <c r="H28">
        <v>3</v>
      </c>
      <c r="I28" t="s">
        <v>123</v>
      </c>
      <c r="J28" t="s">
        <v>125</v>
      </c>
      <c r="K28" t="s">
        <v>124</v>
      </c>
      <c r="L28">
        <v>1356</v>
      </c>
      <c r="N28">
        <v>1010</v>
      </c>
      <c r="O28" t="s">
        <v>120</v>
      </c>
      <c r="P28" t="s">
        <v>120</v>
      </c>
      <c r="Q28">
        <v>1000</v>
      </c>
      <c r="W28">
        <v>0</v>
      </c>
      <c r="X28">
        <v>1788884033</v>
      </c>
      <c r="Y28">
        <f t="shared" si="0"/>
        <v>1.4999999999999999E-2</v>
      </c>
      <c r="AA28">
        <v>47663.58</v>
      </c>
      <c r="AB28">
        <v>0</v>
      </c>
      <c r="AC28">
        <v>0</v>
      </c>
      <c r="AD28">
        <v>0</v>
      </c>
      <c r="AE28">
        <v>47663.58</v>
      </c>
      <c r="AF28">
        <v>0</v>
      </c>
      <c r="AG28">
        <v>0</v>
      </c>
      <c r="AH28">
        <v>0</v>
      </c>
      <c r="AI28">
        <v>1</v>
      </c>
      <c r="AJ28">
        <v>1</v>
      </c>
      <c r="AK28">
        <v>1</v>
      </c>
      <c r="AL28">
        <v>1</v>
      </c>
      <c r="AM28">
        <v>-2</v>
      </c>
      <c r="AN28">
        <v>0</v>
      </c>
      <c r="AO28">
        <v>1</v>
      </c>
      <c r="AP28">
        <v>0</v>
      </c>
      <c r="AQ28">
        <v>0</v>
      </c>
      <c r="AR28">
        <v>0</v>
      </c>
      <c r="AS28" t="s">
        <v>3</v>
      </c>
      <c r="AT28">
        <v>1.4999999999999999E-2</v>
      </c>
      <c r="AU28" t="s">
        <v>3</v>
      </c>
      <c r="AV28">
        <v>0</v>
      </c>
      <c r="AW28">
        <v>2</v>
      </c>
      <c r="AX28">
        <v>76396489</v>
      </c>
      <c r="AY28">
        <v>1</v>
      </c>
      <c r="AZ28">
        <v>0</v>
      </c>
      <c r="BA28">
        <v>26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CV28">
        <v>0</v>
      </c>
      <c r="CW28">
        <v>0</v>
      </c>
      <c r="CX28">
        <f>ROUND(Y28*Source!I75,9)</f>
        <v>1.5E-3</v>
      </c>
      <c r="CY28">
        <f t="shared" si="7"/>
        <v>47663.58</v>
      </c>
      <c r="CZ28">
        <f t="shared" si="8"/>
        <v>47663.58</v>
      </c>
      <c r="DA28">
        <f t="shared" si="9"/>
        <v>1</v>
      </c>
      <c r="DB28">
        <f t="shared" si="1"/>
        <v>714.95</v>
      </c>
      <c r="DC28">
        <f t="shared" si="2"/>
        <v>0</v>
      </c>
      <c r="DD28" t="s">
        <v>3</v>
      </c>
      <c r="DE28" t="s">
        <v>3</v>
      </c>
      <c r="DF28">
        <f t="shared" si="3"/>
        <v>71.5</v>
      </c>
      <c r="DG28">
        <f t="shared" si="4"/>
        <v>0</v>
      </c>
      <c r="DH28">
        <f t="shared" si="5"/>
        <v>0</v>
      </c>
      <c r="DI28">
        <f t="shared" si="6"/>
        <v>0</v>
      </c>
      <c r="DJ28">
        <f t="shared" si="10"/>
        <v>71.5</v>
      </c>
      <c r="DK28">
        <v>0</v>
      </c>
      <c r="DL28" t="s">
        <v>3</v>
      </c>
      <c r="DM28">
        <v>0</v>
      </c>
      <c r="DN28" t="s">
        <v>3</v>
      </c>
      <c r="DO28">
        <v>0</v>
      </c>
    </row>
    <row r="29" spans="1:119" x14ac:dyDescent="0.2">
      <c r="A29">
        <f>ROW(Source!A75)</f>
        <v>75</v>
      </c>
      <c r="B29">
        <v>76395835</v>
      </c>
      <c r="C29">
        <v>76396461</v>
      </c>
      <c r="D29">
        <v>75878433</v>
      </c>
      <c r="E29">
        <v>1</v>
      </c>
      <c r="F29">
        <v>1</v>
      </c>
      <c r="G29">
        <v>15872964</v>
      </c>
      <c r="H29">
        <v>3</v>
      </c>
      <c r="I29" t="s">
        <v>123</v>
      </c>
      <c r="J29" t="s">
        <v>125</v>
      </c>
      <c r="K29" t="s">
        <v>124</v>
      </c>
      <c r="L29">
        <v>1356</v>
      </c>
      <c r="N29">
        <v>1010</v>
      </c>
      <c r="O29" t="s">
        <v>120</v>
      </c>
      <c r="P29" t="s">
        <v>120</v>
      </c>
      <c r="Q29">
        <v>1000</v>
      </c>
      <c r="W29">
        <v>0</v>
      </c>
      <c r="X29">
        <v>1788884033</v>
      </c>
      <c r="Y29">
        <f t="shared" si="0"/>
        <v>-1.4999999999999999E-2</v>
      </c>
      <c r="AA29">
        <v>47663.58</v>
      </c>
      <c r="AB29">
        <v>0</v>
      </c>
      <c r="AC29">
        <v>0</v>
      </c>
      <c r="AD29">
        <v>0</v>
      </c>
      <c r="AE29">
        <v>47663.58</v>
      </c>
      <c r="AF29">
        <v>0</v>
      </c>
      <c r="AG29">
        <v>0</v>
      </c>
      <c r="AH29">
        <v>0</v>
      </c>
      <c r="AI29">
        <v>1</v>
      </c>
      <c r="AJ29">
        <v>1</v>
      </c>
      <c r="AK29">
        <v>1</v>
      </c>
      <c r="AL29">
        <v>1</v>
      </c>
      <c r="AM29">
        <v>0</v>
      </c>
      <c r="AN29">
        <v>0</v>
      </c>
      <c r="AO29">
        <v>0</v>
      </c>
      <c r="AP29">
        <v>1</v>
      </c>
      <c r="AQ29">
        <v>0</v>
      </c>
      <c r="AR29">
        <v>0</v>
      </c>
      <c r="AS29" t="s">
        <v>3</v>
      </c>
      <c r="AT29">
        <v>-1.4999999999999999E-2</v>
      </c>
      <c r="AU29" t="s">
        <v>3</v>
      </c>
      <c r="AV29">
        <v>0</v>
      </c>
      <c r="AW29">
        <v>1</v>
      </c>
      <c r="AX29">
        <v>-1</v>
      </c>
      <c r="AY29">
        <v>0</v>
      </c>
      <c r="AZ29">
        <v>0</v>
      </c>
      <c r="BA29" t="s">
        <v>3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CV29">
        <v>0</v>
      </c>
      <c r="CW29">
        <v>0</v>
      </c>
      <c r="CX29">
        <f>ROUND(Y29*Source!I75,9)</f>
        <v>-1.5E-3</v>
      </c>
      <c r="CY29">
        <f t="shared" si="7"/>
        <v>47663.58</v>
      </c>
      <c r="CZ29">
        <f t="shared" si="8"/>
        <v>47663.58</v>
      </c>
      <c r="DA29">
        <f t="shared" si="9"/>
        <v>1</v>
      </c>
      <c r="DB29">
        <f t="shared" si="1"/>
        <v>-714.95</v>
      </c>
      <c r="DC29">
        <f t="shared" si="2"/>
        <v>0</v>
      </c>
      <c r="DD29" t="s">
        <v>3</v>
      </c>
      <c r="DE29" t="s">
        <v>3</v>
      </c>
      <c r="DF29">
        <f t="shared" si="3"/>
        <v>-71.5</v>
      </c>
      <c r="DG29">
        <f t="shared" si="4"/>
        <v>0</v>
      </c>
      <c r="DH29">
        <f t="shared" si="5"/>
        <v>0</v>
      </c>
      <c r="DI29">
        <f t="shared" si="6"/>
        <v>0</v>
      </c>
      <c r="DJ29">
        <f t="shared" si="10"/>
        <v>-71.5</v>
      </c>
      <c r="DK29">
        <v>0</v>
      </c>
      <c r="DL29" t="s">
        <v>3</v>
      </c>
      <c r="DM29">
        <v>0</v>
      </c>
      <c r="DN29" t="s">
        <v>3</v>
      </c>
      <c r="DO29">
        <v>0</v>
      </c>
    </row>
    <row r="30" spans="1:119" x14ac:dyDescent="0.2">
      <c r="A30">
        <f>ROW(Source!A75)</f>
        <v>75</v>
      </c>
      <c r="B30">
        <v>76395835</v>
      </c>
      <c r="C30">
        <v>76396461</v>
      </c>
      <c r="D30">
        <v>75878434</v>
      </c>
      <c r="E30">
        <v>1</v>
      </c>
      <c r="F30">
        <v>1</v>
      </c>
      <c r="G30">
        <v>15872964</v>
      </c>
      <c r="H30">
        <v>3</v>
      </c>
      <c r="I30" t="s">
        <v>127</v>
      </c>
      <c r="J30" t="s">
        <v>129</v>
      </c>
      <c r="K30" t="s">
        <v>128</v>
      </c>
      <c r="L30">
        <v>1356</v>
      </c>
      <c r="N30">
        <v>1010</v>
      </c>
      <c r="O30" t="s">
        <v>120</v>
      </c>
      <c r="P30" t="s">
        <v>120</v>
      </c>
      <c r="Q30">
        <v>1000</v>
      </c>
      <c r="W30">
        <v>0</v>
      </c>
      <c r="X30">
        <v>1974258039</v>
      </c>
      <c r="Y30">
        <f t="shared" si="0"/>
        <v>2E-3</v>
      </c>
      <c r="AA30">
        <v>49894.85</v>
      </c>
      <c r="AB30">
        <v>0</v>
      </c>
      <c r="AC30">
        <v>0</v>
      </c>
      <c r="AD30">
        <v>0</v>
      </c>
      <c r="AE30">
        <v>49894.85</v>
      </c>
      <c r="AF30">
        <v>0</v>
      </c>
      <c r="AG30">
        <v>0</v>
      </c>
      <c r="AH30">
        <v>0</v>
      </c>
      <c r="AI30">
        <v>1</v>
      </c>
      <c r="AJ30">
        <v>1</v>
      </c>
      <c r="AK30">
        <v>1</v>
      </c>
      <c r="AL30">
        <v>1</v>
      </c>
      <c r="AM30">
        <v>-2</v>
      </c>
      <c r="AN30">
        <v>0</v>
      </c>
      <c r="AO30">
        <v>1</v>
      </c>
      <c r="AP30">
        <v>0</v>
      </c>
      <c r="AQ30">
        <v>0</v>
      </c>
      <c r="AR30">
        <v>0</v>
      </c>
      <c r="AS30" t="s">
        <v>3</v>
      </c>
      <c r="AT30">
        <v>2E-3</v>
      </c>
      <c r="AU30" t="s">
        <v>3</v>
      </c>
      <c r="AV30">
        <v>0</v>
      </c>
      <c r="AW30">
        <v>2</v>
      </c>
      <c r="AX30">
        <v>76396490</v>
      </c>
      <c r="AY30">
        <v>1</v>
      </c>
      <c r="AZ30">
        <v>0</v>
      </c>
      <c r="BA30">
        <v>27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CV30">
        <v>0</v>
      </c>
      <c r="CW30">
        <v>0</v>
      </c>
      <c r="CX30">
        <f>ROUND(Y30*Source!I75,9)</f>
        <v>2.0000000000000001E-4</v>
      </c>
      <c r="CY30">
        <f t="shared" si="7"/>
        <v>49894.85</v>
      </c>
      <c r="CZ30">
        <f t="shared" si="8"/>
        <v>49894.85</v>
      </c>
      <c r="DA30">
        <f t="shared" si="9"/>
        <v>1</v>
      </c>
      <c r="DB30">
        <f t="shared" si="1"/>
        <v>99.79</v>
      </c>
      <c r="DC30">
        <f t="shared" si="2"/>
        <v>0</v>
      </c>
      <c r="DD30" t="s">
        <v>3</v>
      </c>
      <c r="DE30" t="s">
        <v>3</v>
      </c>
      <c r="DF30">
        <f t="shared" si="3"/>
        <v>9.98</v>
      </c>
      <c r="DG30">
        <f t="shared" si="4"/>
        <v>0</v>
      </c>
      <c r="DH30">
        <f t="shared" si="5"/>
        <v>0</v>
      </c>
      <c r="DI30">
        <f t="shared" si="6"/>
        <v>0</v>
      </c>
      <c r="DJ30">
        <f t="shared" si="10"/>
        <v>9.98</v>
      </c>
      <c r="DK30">
        <v>0</v>
      </c>
      <c r="DL30" t="s">
        <v>3</v>
      </c>
      <c r="DM30">
        <v>0</v>
      </c>
      <c r="DN30" t="s">
        <v>3</v>
      </c>
      <c r="DO30">
        <v>0</v>
      </c>
    </row>
    <row r="31" spans="1:119" x14ac:dyDescent="0.2">
      <c r="A31">
        <f>ROW(Source!A75)</f>
        <v>75</v>
      </c>
      <c r="B31">
        <v>76395835</v>
      </c>
      <c r="C31">
        <v>76396461</v>
      </c>
      <c r="D31">
        <v>75878434</v>
      </c>
      <c r="E31">
        <v>1</v>
      </c>
      <c r="F31">
        <v>1</v>
      </c>
      <c r="G31">
        <v>15872964</v>
      </c>
      <c r="H31">
        <v>3</v>
      </c>
      <c r="I31" t="s">
        <v>127</v>
      </c>
      <c r="J31" t="s">
        <v>129</v>
      </c>
      <c r="K31" t="s">
        <v>128</v>
      </c>
      <c r="L31">
        <v>1356</v>
      </c>
      <c r="N31">
        <v>1010</v>
      </c>
      <c r="O31" t="s">
        <v>120</v>
      </c>
      <c r="P31" t="s">
        <v>120</v>
      </c>
      <c r="Q31">
        <v>1000</v>
      </c>
      <c r="W31">
        <v>0</v>
      </c>
      <c r="X31">
        <v>1974258039</v>
      </c>
      <c r="Y31">
        <f t="shared" si="0"/>
        <v>-2E-3</v>
      </c>
      <c r="AA31">
        <v>49894.85</v>
      </c>
      <c r="AB31">
        <v>0</v>
      </c>
      <c r="AC31">
        <v>0</v>
      </c>
      <c r="AD31">
        <v>0</v>
      </c>
      <c r="AE31">
        <v>49894.85</v>
      </c>
      <c r="AF31">
        <v>0</v>
      </c>
      <c r="AG31">
        <v>0</v>
      </c>
      <c r="AH31">
        <v>0</v>
      </c>
      <c r="AI31">
        <v>1</v>
      </c>
      <c r="AJ31">
        <v>1</v>
      </c>
      <c r="AK31">
        <v>1</v>
      </c>
      <c r="AL31">
        <v>1</v>
      </c>
      <c r="AM31">
        <v>0</v>
      </c>
      <c r="AN31">
        <v>0</v>
      </c>
      <c r="AO31">
        <v>0</v>
      </c>
      <c r="AP31">
        <v>1</v>
      </c>
      <c r="AQ31">
        <v>0</v>
      </c>
      <c r="AR31">
        <v>0</v>
      </c>
      <c r="AS31" t="s">
        <v>3</v>
      </c>
      <c r="AT31">
        <v>-2E-3</v>
      </c>
      <c r="AU31" t="s">
        <v>3</v>
      </c>
      <c r="AV31">
        <v>0</v>
      </c>
      <c r="AW31">
        <v>1</v>
      </c>
      <c r="AX31">
        <v>-1</v>
      </c>
      <c r="AY31">
        <v>0</v>
      </c>
      <c r="AZ31">
        <v>0</v>
      </c>
      <c r="BA31" t="s">
        <v>3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CV31">
        <v>0</v>
      </c>
      <c r="CW31">
        <v>0</v>
      </c>
      <c r="CX31">
        <f>ROUND(Y31*Source!I75,9)</f>
        <v>-2.0000000000000001E-4</v>
      </c>
      <c r="CY31">
        <f t="shared" si="7"/>
        <v>49894.85</v>
      </c>
      <c r="CZ31">
        <f t="shared" si="8"/>
        <v>49894.85</v>
      </c>
      <c r="DA31">
        <f t="shared" si="9"/>
        <v>1</v>
      </c>
      <c r="DB31">
        <f t="shared" si="1"/>
        <v>-99.79</v>
      </c>
      <c r="DC31">
        <f t="shared" si="2"/>
        <v>0</v>
      </c>
      <c r="DD31" t="s">
        <v>3</v>
      </c>
      <c r="DE31" t="s">
        <v>3</v>
      </c>
      <c r="DF31">
        <f t="shared" si="3"/>
        <v>-9.98</v>
      </c>
      <c r="DG31">
        <f t="shared" si="4"/>
        <v>0</v>
      </c>
      <c r="DH31">
        <f t="shared" si="5"/>
        <v>0</v>
      </c>
      <c r="DI31">
        <f t="shared" si="6"/>
        <v>0</v>
      </c>
      <c r="DJ31">
        <f t="shared" si="10"/>
        <v>-9.98</v>
      </c>
      <c r="DK31">
        <v>0</v>
      </c>
      <c r="DL31" t="s">
        <v>3</v>
      </c>
      <c r="DM31">
        <v>0</v>
      </c>
      <c r="DN31" t="s">
        <v>3</v>
      </c>
      <c r="DO31">
        <v>0</v>
      </c>
    </row>
    <row r="32" spans="1:119" x14ac:dyDescent="0.2">
      <c r="A32">
        <f>ROW(Source!A75)</f>
        <v>75</v>
      </c>
      <c r="B32">
        <v>76395835</v>
      </c>
      <c r="C32">
        <v>76396461</v>
      </c>
      <c r="D32">
        <v>75878435</v>
      </c>
      <c r="E32">
        <v>1</v>
      </c>
      <c r="F32">
        <v>1</v>
      </c>
      <c r="G32">
        <v>15872964</v>
      </c>
      <c r="H32">
        <v>3</v>
      </c>
      <c r="I32" t="s">
        <v>131</v>
      </c>
      <c r="J32" t="s">
        <v>133</v>
      </c>
      <c r="K32" t="s">
        <v>132</v>
      </c>
      <c r="L32">
        <v>1356</v>
      </c>
      <c r="N32">
        <v>1010</v>
      </c>
      <c r="O32" t="s">
        <v>120</v>
      </c>
      <c r="P32" t="s">
        <v>120</v>
      </c>
      <c r="Q32">
        <v>1000</v>
      </c>
      <c r="W32">
        <v>0</v>
      </c>
      <c r="X32">
        <v>1865267899</v>
      </c>
      <c r="Y32">
        <f t="shared" si="0"/>
        <v>1.4999999999999999E-2</v>
      </c>
      <c r="AA32">
        <v>35547.599999999999</v>
      </c>
      <c r="AB32">
        <v>0</v>
      </c>
      <c r="AC32">
        <v>0</v>
      </c>
      <c r="AD32">
        <v>0</v>
      </c>
      <c r="AE32">
        <v>35547.599999999999</v>
      </c>
      <c r="AF32">
        <v>0</v>
      </c>
      <c r="AG32">
        <v>0</v>
      </c>
      <c r="AH32">
        <v>0</v>
      </c>
      <c r="AI32">
        <v>1</v>
      </c>
      <c r="AJ32">
        <v>1</v>
      </c>
      <c r="AK32">
        <v>1</v>
      </c>
      <c r="AL32">
        <v>1</v>
      </c>
      <c r="AM32">
        <v>-2</v>
      </c>
      <c r="AN32">
        <v>0</v>
      </c>
      <c r="AO32">
        <v>1</v>
      </c>
      <c r="AP32">
        <v>0</v>
      </c>
      <c r="AQ32">
        <v>0</v>
      </c>
      <c r="AR32">
        <v>0</v>
      </c>
      <c r="AS32" t="s">
        <v>3</v>
      </c>
      <c r="AT32">
        <v>1.4999999999999999E-2</v>
      </c>
      <c r="AU32" t="s">
        <v>3</v>
      </c>
      <c r="AV32">
        <v>0</v>
      </c>
      <c r="AW32">
        <v>2</v>
      </c>
      <c r="AX32">
        <v>76396491</v>
      </c>
      <c r="AY32">
        <v>1</v>
      </c>
      <c r="AZ32">
        <v>0</v>
      </c>
      <c r="BA32">
        <v>28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CV32">
        <v>0</v>
      </c>
      <c r="CW32">
        <v>0</v>
      </c>
      <c r="CX32">
        <f>ROUND(Y32*Source!I75,9)</f>
        <v>1.5E-3</v>
      </c>
      <c r="CY32">
        <f t="shared" si="7"/>
        <v>35547.599999999999</v>
      </c>
      <c r="CZ32">
        <f t="shared" si="8"/>
        <v>35547.599999999999</v>
      </c>
      <c r="DA32">
        <f t="shared" si="9"/>
        <v>1</v>
      </c>
      <c r="DB32">
        <f t="shared" si="1"/>
        <v>533.21</v>
      </c>
      <c r="DC32">
        <f t="shared" si="2"/>
        <v>0</v>
      </c>
      <c r="DD32" t="s">
        <v>3</v>
      </c>
      <c r="DE32" t="s">
        <v>3</v>
      </c>
      <c r="DF32">
        <f t="shared" si="3"/>
        <v>53.32</v>
      </c>
      <c r="DG32">
        <f t="shared" si="4"/>
        <v>0</v>
      </c>
      <c r="DH32">
        <f t="shared" si="5"/>
        <v>0</v>
      </c>
      <c r="DI32">
        <f t="shared" si="6"/>
        <v>0</v>
      </c>
      <c r="DJ32">
        <f t="shared" si="10"/>
        <v>53.32</v>
      </c>
      <c r="DK32">
        <v>0</v>
      </c>
      <c r="DL32" t="s">
        <v>3</v>
      </c>
      <c r="DM32">
        <v>0</v>
      </c>
      <c r="DN32" t="s">
        <v>3</v>
      </c>
      <c r="DO32">
        <v>0</v>
      </c>
    </row>
    <row r="33" spans="1:119" x14ac:dyDescent="0.2">
      <c r="A33">
        <f>ROW(Source!A75)</f>
        <v>75</v>
      </c>
      <c r="B33">
        <v>76395835</v>
      </c>
      <c r="C33">
        <v>76396461</v>
      </c>
      <c r="D33">
        <v>75878435</v>
      </c>
      <c r="E33">
        <v>1</v>
      </c>
      <c r="F33">
        <v>1</v>
      </c>
      <c r="G33">
        <v>15872964</v>
      </c>
      <c r="H33">
        <v>3</v>
      </c>
      <c r="I33" t="s">
        <v>131</v>
      </c>
      <c r="J33" t="s">
        <v>133</v>
      </c>
      <c r="K33" t="s">
        <v>132</v>
      </c>
      <c r="L33">
        <v>1356</v>
      </c>
      <c r="N33">
        <v>1010</v>
      </c>
      <c r="O33" t="s">
        <v>120</v>
      </c>
      <c r="P33" t="s">
        <v>120</v>
      </c>
      <c r="Q33">
        <v>1000</v>
      </c>
      <c r="W33">
        <v>0</v>
      </c>
      <c r="X33">
        <v>1865267899</v>
      </c>
      <c r="Y33">
        <f t="shared" ref="Y33:Y63" si="11">AT33</f>
        <v>-1.4999999999999999E-2</v>
      </c>
      <c r="AA33">
        <v>35547.599999999999</v>
      </c>
      <c r="AB33">
        <v>0</v>
      </c>
      <c r="AC33">
        <v>0</v>
      </c>
      <c r="AD33">
        <v>0</v>
      </c>
      <c r="AE33">
        <v>35547.599999999999</v>
      </c>
      <c r="AF33">
        <v>0</v>
      </c>
      <c r="AG33">
        <v>0</v>
      </c>
      <c r="AH33">
        <v>0</v>
      </c>
      <c r="AI33">
        <v>1</v>
      </c>
      <c r="AJ33">
        <v>1</v>
      </c>
      <c r="AK33">
        <v>1</v>
      </c>
      <c r="AL33">
        <v>1</v>
      </c>
      <c r="AM33">
        <v>0</v>
      </c>
      <c r="AN33">
        <v>0</v>
      </c>
      <c r="AO33">
        <v>0</v>
      </c>
      <c r="AP33">
        <v>1</v>
      </c>
      <c r="AQ33">
        <v>0</v>
      </c>
      <c r="AR33">
        <v>0</v>
      </c>
      <c r="AS33" t="s">
        <v>3</v>
      </c>
      <c r="AT33">
        <v>-1.4999999999999999E-2</v>
      </c>
      <c r="AU33" t="s">
        <v>3</v>
      </c>
      <c r="AV33">
        <v>0</v>
      </c>
      <c r="AW33">
        <v>1</v>
      </c>
      <c r="AX33">
        <v>-1</v>
      </c>
      <c r="AY33">
        <v>0</v>
      </c>
      <c r="AZ33">
        <v>0</v>
      </c>
      <c r="BA33" t="s">
        <v>3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CV33">
        <v>0</v>
      </c>
      <c r="CW33">
        <v>0</v>
      </c>
      <c r="CX33">
        <f>ROUND(Y33*Source!I75,9)</f>
        <v>-1.5E-3</v>
      </c>
      <c r="CY33">
        <f t="shared" si="7"/>
        <v>35547.599999999999</v>
      </c>
      <c r="CZ33">
        <f t="shared" si="8"/>
        <v>35547.599999999999</v>
      </c>
      <c r="DA33">
        <f t="shared" si="9"/>
        <v>1</v>
      </c>
      <c r="DB33">
        <f t="shared" ref="DB33:DB63" si="12">ROUND(ROUND(AT33*CZ33,2),6)</f>
        <v>-533.21</v>
      </c>
      <c r="DC33">
        <f t="shared" ref="DC33:DC63" si="13">ROUND(ROUND(AT33*AG33,2),6)</f>
        <v>0</v>
      </c>
      <c r="DD33" t="s">
        <v>3</v>
      </c>
      <c r="DE33" t="s">
        <v>3</v>
      </c>
      <c r="DF33">
        <f t="shared" ref="DF33:DF63" si="14">ROUND(ROUND(AE33,2)*CX33,2)</f>
        <v>-53.32</v>
      </c>
      <c r="DG33">
        <f t="shared" ref="DG33:DG63" si="15">ROUND(ROUND(AF33,2)*CX33,2)</f>
        <v>0</v>
      </c>
      <c r="DH33">
        <f t="shared" ref="DH33:DH63" si="16">ROUND(ROUND(AG33,2)*CX33,2)</f>
        <v>0</v>
      </c>
      <c r="DI33">
        <f t="shared" ref="DI33:DI63" si="17">ROUND(ROUND(AH33,2)*CX33,2)</f>
        <v>0</v>
      </c>
      <c r="DJ33">
        <f t="shared" si="10"/>
        <v>-53.32</v>
      </c>
      <c r="DK33">
        <v>0</v>
      </c>
      <c r="DL33" t="s">
        <v>3</v>
      </c>
      <c r="DM33">
        <v>0</v>
      </c>
      <c r="DN33" t="s">
        <v>3</v>
      </c>
      <c r="DO33">
        <v>0</v>
      </c>
    </row>
    <row r="34" spans="1:119" x14ac:dyDescent="0.2">
      <c r="A34">
        <f>ROW(Source!A75)</f>
        <v>75</v>
      </c>
      <c r="B34">
        <v>76395835</v>
      </c>
      <c r="C34">
        <v>76396461</v>
      </c>
      <c r="D34">
        <v>75878436</v>
      </c>
      <c r="E34">
        <v>1</v>
      </c>
      <c r="F34">
        <v>1</v>
      </c>
      <c r="G34">
        <v>15872964</v>
      </c>
      <c r="H34">
        <v>3</v>
      </c>
      <c r="I34" t="s">
        <v>135</v>
      </c>
      <c r="J34" t="s">
        <v>137</v>
      </c>
      <c r="K34" t="s">
        <v>136</v>
      </c>
      <c r="L34">
        <v>1356</v>
      </c>
      <c r="N34">
        <v>1010</v>
      </c>
      <c r="O34" t="s">
        <v>120</v>
      </c>
      <c r="P34" t="s">
        <v>120</v>
      </c>
      <c r="Q34">
        <v>1000</v>
      </c>
      <c r="W34">
        <v>0</v>
      </c>
      <c r="X34">
        <v>-1262690695</v>
      </c>
      <c r="Y34">
        <f t="shared" si="11"/>
        <v>2E-3</v>
      </c>
      <c r="AA34">
        <v>50599.41</v>
      </c>
      <c r="AB34">
        <v>0</v>
      </c>
      <c r="AC34">
        <v>0</v>
      </c>
      <c r="AD34">
        <v>0</v>
      </c>
      <c r="AE34">
        <v>50599.41</v>
      </c>
      <c r="AF34">
        <v>0</v>
      </c>
      <c r="AG34">
        <v>0</v>
      </c>
      <c r="AH34">
        <v>0</v>
      </c>
      <c r="AI34">
        <v>1</v>
      </c>
      <c r="AJ34">
        <v>1</v>
      </c>
      <c r="AK34">
        <v>1</v>
      </c>
      <c r="AL34">
        <v>1</v>
      </c>
      <c r="AM34">
        <v>-2</v>
      </c>
      <c r="AN34">
        <v>0</v>
      </c>
      <c r="AO34">
        <v>1</v>
      </c>
      <c r="AP34">
        <v>0</v>
      </c>
      <c r="AQ34">
        <v>0</v>
      </c>
      <c r="AR34">
        <v>0</v>
      </c>
      <c r="AS34" t="s">
        <v>3</v>
      </c>
      <c r="AT34">
        <v>2E-3</v>
      </c>
      <c r="AU34" t="s">
        <v>3</v>
      </c>
      <c r="AV34">
        <v>0</v>
      </c>
      <c r="AW34">
        <v>2</v>
      </c>
      <c r="AX34">
        <v>76396492</v>
      </c>
      <c r="AY34">
        <v>1</v>
      </c>
      <c r="AZ34">
        <v>0</v>
      </c>
      <c r="BA34">
        <v>29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CV34">
        <v>0</v>
      </c>
      <c r="CW34">
        <v>0</v>
      </c>
      <c r="CX34">
        <f>ROUND(Y34*Source!I75,9)</f>
        <v>2.0000000000000001E-4</v>
      </c>
      <c r="CY34">
        <f t="shared" si="7"/>
        <v>50599.41</v>
      </c>
      <c r="CZ34">
        <f t="shared" si="8"/>
        <v>50599.41</v>
      </c>
      <c r="DA34">
        <f t="shared" si="9"/>
        <v>1</v>
      </c>
      <c r="DB34">
        <f t="shared" si="12"/>
        <v>101.2</v>
      </c>
      <c r="DC34">
        <f t="shared" si="13"/>
        <v>0</v>
      </c>
      <c r="DD34" t="s">
        <v>3</v>
      </c>
      <c r="DE34" t="s">
        <v>3</v>
      </c>
      <c r="DF34">
        <f t="shared" si="14"/>
        <v>10.119999999999999</v>
      </c>
      <c r="DG34">
        <f t="shared" si="15"/>
        <v>0</v>
      </c>
      <c r="DH34">
        <f t="shared" si="16"/>
        <v>0</v>
      </c>
      <c r="DI34">
        <f t="shared" si="17"/>
        <v>0</v>
      </c>
      <c r="DJ34">
        <f t="shared" si="10"/>
        <v>10.119999999999999</v>
      </c>
      <c r="DK34">
        <v>0</v>
      </c>
      <c r="DL34" t="s">
        <v>3</v>
      </c>
      <c r="DM34">
        <v>0</v>
      </c>
      <c r="DN34" t="s">
        <v>3</v>
      </c>
      <c r="DO34">
        <v>0</v>
      </c>
    </row>
    <row r="35" spans="1:119" x14ac:dyDescent="0.2">
      <c r="A35">
        <f>ROW(Source!A75)</f>
        <v>75</v>
      </c>
      <c r="B35">
        <v>76395835</v>
      </c>
      <c r="C35">
        <v>76396461</v>
      </c>
      <c r="D35">
        <v>75878436</v>
      </c>
      <c r="E35">
        <v>1</v>
      </c>
      <c r="F35">
        <v>1</v>
      </c>
      <c r="G35">
        <v>15872964</v>
      </c>
      <c r="H35">
        <v>3</v>
      </c>
      <c r="I35" t="s">
        <v>135</v>
      </c>
      <c r="J35" t="s">
        <v>137</v>
      </c>
      <c r="K35" t="s">
        <v>136</v>
      </c>
      <c r="L35">
        <v>1356</v>
      </c>
      <c r="N35">
        <v>1010</v>
      </c>
      <c r="O35" t="s">
        <v>120</v>
      </c>
      <c r="P35" t="s">
        <v>120</v>
      </c>
      <c r="Q35">
        <v>1000</v>
      </c>
      <c r="W35">
        <v>0</v>
      </c>
      <c r="X35">
        <v>-1262690695</v>
      </c>
      <c r="Y35">
        <f t="shared" si="11"/>
        <v>-2E-3</v>
      </c>
      <c r="AA35">
        <v>50599.41</v>
      </c>
      <c r="AB35">
        <v>0</v>
      </c>
      <c r="AC35">
        <v>0</v>
      </c>
      <c r="AD35">
        <v>0</v>
      </c>
      <c r="AE35">
        <v>50599.41</v>
      </c>
      <c r="AF35">
        <v>0</v>
      </c>
      <c r="AG35">
        <v>0</v>
      </c>
      <c r="AH35">
        <v>0</v>
      </c>
      <c r="AI35">
        <v>1</v>
      </c>
      <c r="AJ35">
        <v>1</v>
      </c>
      <c r="AK35">
        <v>1</v>
      </c>
      <c r="AL35">
        <v>1</v>
      </c>
      <c r="AM35">
        <v>0</v>
      </c>
      <c r="AN35">
        <v>0</v>
      </c>
      <c r="AO35">
        <v>0</v>
      </c>
      <c r="AP35">
        <v>1</v>
      </c>
      <c r="AQ35">
        <v>0</v>
      </c>
      <c r="AR35">
        <v>0</v>
      </c>
      <c r="AS35" t="s">
        <v>3</v>
      </c>
      <c r="AT35">
        <v>-2E-3</v>
      </c>
      <c r="AU35" t="s">
        <v>3</v>
      </c>
      <c r="AV35">
        <v>0</v>
      </c>
      <c r="AW35">
        <v>1</v>
      </c>
      <c r="AX35">
        <v>-1</v>
      </c>
      <c r="AY35">
        <v>0</v>
      </c>
      <c r="AZ35">
        <v>0</v>
      </c>
      <c r="BA35" t="s">
        <v>3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CV35">
        <v>0</v>
      </c>
      <c r="CW35">
        <v>0</v>
      </c>
      <c r="CX35">
        <f>ROUND(Y35*Source!I75,9)</f>
        <v>-2.0000000000000001E-4</v>
      </c>
      <c r="CY35">
        <f t="shared" si="7"/>
        <v>50599.41</v>
      </c>
      <c r="CZ35">
        <f t="shared" si="8"/>
        <v>50599.41</v>
      </c>
      <c r="DA35">
        <f t="shared" si="9"/>
        <v>1</v>
      </c>
      <c r="DB35">
        <f t="shared" si="12"/>
        <v>-101.2</v>
      </c>
      <c r="DC35">
        <f t="shared" si="13"/>
        <v>0</v>
      </c>
      <c r="DD35" t="s">
        <v>3</v>
      </c>
      <c r="DE35" t="s">
        <v>3</v>
      </c>
      <c r="DF35">
        <f t="shared" si="14"/>
        <v>-10.119999999999999</v>
      </c>
      <c r="DG35">
        <f t="shared" si="15"/>
        <v>0</v>
      </c>
      <c r="DH35">
        <f t="shared" si="16"/>
        <v>0</v>
      </c>
      <c r="DI35">
        <f t="shared" si="17"/>
        <v>0</v>
      </c>
      <c r="DJ35">
        <f t="shared" si="10"/>
        <v>-10.119999999999999</v>
      </c>
      <c r="DK35">
        <v>0</v>
      </c>
      <c r="DL35" t="s">
        <v>3</v>
      </c>
      <c r="DM35">
        <v>0</v>
      </c>
      <c r="DN35" t="s">
        <v>3</v>
      </c>
      <c r="DO35">
        <v>0</v>
      </c>
    </row>
    <row r="36" spans="1:119" x14ac:dyDescent="0.2">
      <c r="A36">
        <f>ROW(Source!A75)</f>
        <v>75</v>
      </c>
      <c r="B36">
        <v>76395835</v>
      </c>
      <c r="C36">
        <v>76396461</v>
      </c>
      <c r="D36">
        <v>75878437</v>
      </c>
      <c r="E36">
        <v>1</v>
      </c>
      <c r="F36">
        <v>1</v>
      </c>
      <c r="G36">
        <v>15872964</v>
      </c>
      <c r="H36">
        <v>3</v>
      </c>
      <c r="I36" t="s">
        <v>139</v>
      </c>
      <c r="J36" t="s">
        <v>141</v>
      </c>
      <c r="K36" t="s">
        <v>140</v>
      </c>
      <c r="L36">
        <v>1356</v>
      </c>
      <c r="N36">
        <v>1010</v>
      </c>
      <c r="O36" t="s">
        <v>120</v>
      </c>
      <c r="P36" t="s">
        <v>120</v>
      </c>
      <c r="Q36">
        <v>1000</v>
      </c>
      <c r="W36">
        <v>0</v>
      </c>
      <c r="X36">
        <v>2018493704</v>
      </c>
      <c r="Y36">
        <f t="shared" si="11"/>
        <v>4.0000000000000001E-3</v>
      </c>
      <c r="AA36">
        <v>20680.189999999999</v>
      </c>
      <c r="AB36">
        <v>0</v>
      </c>
      <c r="AC36">
        <v>0</v>
      </c>
      <c r="AD36">
        <v>0</v>
      </c>
      <c r="AE36">
        <v>20680.189999999999</v>
      </c>
      <c r="AF36">
        <v>0</v>
      </c>
      <c r="AG36">
        <v>0</v>
      </c>
      <c r="AH36">
        <v>0</v>
      </c>
      <c r="AI36">
        <v>1</v>
      </c>
      <c r="AJ36">
        <v>1</v>
      </c>
      <c r="AK36">
        <v>1</v>
      </c>
      <c r="AL36">
        <v>1</v>
      </c>
      <c r="AM36">
        <v>-2</v>
      </c>
      <c r="AN36">
        <v>0</v>
      </c>
      <c r="AO36">
        <v>1</v>
      </c>
      <c r="AP36">
        <v>0</v>
      </c>
      <c r="AQ36">
        <v>0</v>
      </c>
      <c r="AR36">
        <v>0</v>
      </c>
      <c r="AS36" t="s">
        <v>3</v>
      </c>
      <c r="AT36">
        <v>4.0000000000000001E-3</v>
      </c>
      <c r="AU36" t="s">
        <v>3</v>
      </c>
      <c r="AV36">
        <v>0</v>
      </c>
      <c r="AW36">
        <v>2</v>
      </c>
      <c r="AX36">
        <v>76396493</v>
      </c>
      <c r="AY36">
        <v>1</v>
      </c>
      <c r="AZ36">
        <v>0</v>
      </c>
      <c r="BA36">
        <v>30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CV36">
        <v>0</v>
      </c>
      <c r="CW36">
        <v>0</v>
      </c>
      <c r="CX36">
        <f>ROUND(Y36*Source!I75,9)</f>
        <v>4.0000000000000002E-4</v>
      </c>
      <c r="CY36">
        <f t="shared" si="7"/>
        <v>20680.189999999999</v>
      </c>
      <c r="CZ36">
        <f t="shared" si="8"/>
        <v>20680.189999999999</v>
      </c>
      <c r="DA36">
        <f t="shared" si="9"/>
        <v>1</v>
      </c>
      <c r="DB36">
        <f t="shared" si="12"/>
        <v>82.72</v>
      </c>
      <c r="DC36">
        <f t="shared" si="13"/>
        <v>0</v>
      </c>
      <c r="DD36" t="s">
        <v>3</v>
      </c>
      <c r="DE36" t="s">
        <v>3</v>
      </c>
      <c r="DF36">
        <f t="shared" si="14"/>
        <v>8.27</v>
      </c>
      <c r="DG36">
        <f t="shared" si="15"/>
        <v>0</v>
      </c>
      <c r="DH36">
        <f t="shared" si="16"/>
        <v>0</v>
      </c>
      <c r="DI36">
        <f t="shared" si="17"/>
        <v>0</v>
      </c>
      <c r="DJ36">
        <f t="shared" si="10"/>
        <v>8.27</v>
      </c>
      <c r="DK36">
        <v>0</v>
      </c>
      <c r="DL36" t="s">
        <v>3</v>
      </c>
      <c r="DM36">
        <v>0</v>
      </c>
      <c r="DN36" t="s">
        <v>3</v>
      </c>
      <c r="DO36">
        <v>0</v>
      </c>
    </row>
    <row r="37" spans="1:119" x14ac:dyDescent="0.2">
      <c r="A37">
        <f>ROW(Source!A75)</f>
        <v>75</v>
      </c>
      <c r="B37">
        <v>76395835</v>
      </c>
      <c r="C37">
        <v>76396461</v>
      </c>
      <c r="D37">
        <v>75878437</v>
      </c>
      <c r="E37">
        <v>1</v>
      </c>
      <c r="F37">
        <v>1</v>
      </c>
      <c r="G37">
        <v>15872964</v>
      </c>
      <c r="H37">
        <v>3</v>
      </c>
      <c r="I37" t="s">
        <v>139</v>
      </c>
      <c r="J37" t="s">
        <v>141</v>
      </c>
      <c r="K37" t="s">
        <v>140</v>
      </c>
      <c r="L37">
        <v>1356</v>
      </c>
      <c r="N37">
        <v>1010</v>
      </c>
      <c r="O37" t="s">
        <v>120</v>
      </c>
      <c r="P37" t="s">
        <v>120</v>
      </c>
      <c r="Q37">
        <v>1000</v>
      </c>
      <c r="W37">
        <v>0</v>
      </c>
      <c r="X37">
        <v>2018493704</v>
      </c>
      <c r="Y37">
        <f t="shared" si="11"/>
        <v>-4.0000000000000001E-3</v>
      </c>
      <c r="AA37">
        <v>20680.189999999999</v>
      </c>
      <c r="AB37">
        <v>0</v>
      </c>
      <c r="AC37">
        <v>0</v>
      </c>
      <c r="AD37">
        <v>0</v>
      </c>
      <c r="AE37">
        <v>20680.189999999999</v>
      </c>
      <c r="AF37">
        <v>0</v>
      </c>
      <c r="AG37">
        <v>0</v>
      </c>
      <c r="AH37">
        <v>0</v>
      </c>
      <c r="AI37">
        <v>1</v>
      </c>
      <c r="AJ37">
        <v>1</v>
      </c>
      <c r="AK37">
        <v>1</v>
      </c>
      <c r="AL37">
        <v>1</v>
      </c>
      <c r="AM37">
        <v>0</v>
      </c>
      <c r="AN37">
        <v>0</v>
      </c>
      <c r="AO37">
        <v>0</v>
      </c>
      <c r="AP37">
        <v>1</v>
      </c>
      <c r="AQ37">
        <v>0</v>
      </c>
      <c r="AR37">
        <v>0</v>
      </c>
      <c r="AS37" t="s">
        <v>3</v>
      </c>
      <c r="AT37">
        <v>-4.0000000000000001E-3</v>
      </c>
      <c r="AU37" t="s">
        <v>3</v>
      </c>
      <c r="AV37">
        <v>0</v>
      </c>
      <c r="AW37">
        <v>1</v>
      </c>
      <c r="AX37">
        <v>-1</v>
      </c>
      <c r="AY37">
        <v>0</v>
      </c>
      <c r="AZ37">
        <v>0</v>
      </c>
      <c r="BA37" t="s">
        <v>3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CV37">
        <v>0</v>
      </c>
      <c r="CW37">
        <v>0</v>
      </c>
      <c r="CX37">
        <f>ROUND(Y37*Source!I75,9)</f>
        <v>-4.0000000000000002E-4</v>
      </c>
      <c r="CY37">
        <f t="shared" si="7"/>
        <v>20680.189999999999</v>
      </c>
      <c r="CZ37">
        <f t="shared" si="8"/>
        <v>20680.189999999999</v>
      </c>
      <c r="DA37">
        <f t="shared" si="9"/>
        <v>1</v>
      </c>
      <c r="DB37">
        <f t="shared" si="12"/>
        <v>-82.72</v>
      </c>
      <c r="DC37">
        <f t="shared" si="13"/>
        <v>0</v>
      </c>
      <c r="DD37" t="s">
        <v>3</v>
      </c>
      <c r="DE37" t="s">
        <v>3</v>
      </c>
      <c r="DF37">
        <f t="shared" si="14"/>
        <v>-8.27</v>
      </c>
      <c r="DG37">
        <f t="shared" si="15"/>
        <v>0</v>
      </c>
      <c r="DH37">
        <f t="shared" si="16"/>
        <v>0</v>
      </c>
      <c r="DI37">
        <f t="shared" si="17"/>
        <v>0</v>
      </c>
      <c r="DJ37">
        <f t="shared" si="10"/>
        <v>-8.27</v>
      </c>
      <c r="DK37">
        <v>0</v>
      </c>
      <c r="DL37" t="s">
        <v>3</v>
      </c>
      <c r="DM37">
        <v>0</v>
      </c>
      <c r="DN37" t="s">
        <v>3</v>
      </c>
      <c r="DO37">
        <v>0</v>
      </c>
    </row>
    <row r="38" spans="1:119" x14ac:dyDescent="0.2">
      <c r="A38">
        <f>ROW(Source!A75)</f>
        <v>75</v>
      </c>
      <c r="B38">
        <v>76395835</v>
      </c>
      <c r="C38">
        <v>76396461</v>
      </c>
      <c r="D38">
        <v>75880318</v>
      </c>
      <c r="E38">
        <v>1</v>
      </c>
      <c r="F38">
        <v>1</v>
      </c>
      <c r="G38">
        <v>15872964</v>
      </c>
      <c r="H38">
        <v>3</v>
      </c>
      <c r="I38" t="s">
        <v>227</v>
      </c>
      <c r="J38" t="s">
        <v>228</v>
      </c>
      <c r="K38" t="s">
        <v>229</v>
      </c>
      <c r="L38">
        <v>1354</v>
      </c>
      <c r="N38">
        <v>1010</v>
      </c>
      <c r="O38" t="s">
        <v>18</v>
      </c>
      <c r="P38" t="s">
        <v>18</v>
      </c>
      <c r="Q38">
        <v>1</v>
      </c>
      <c r="W38">
        <v>0</v>
      </c>
      <c r="X38">
        <v>1662095060</v>
      </c>
      <c r="Y38">
        <f t="shared" si="11"/>
        <v>4</v>
      </c>
      <c r="AA38">
        <v>1555.5</v>
      </c>
      <c r="AB38">
        <v>0</v>
      </c>
      <c r="AC38">
        <v>0</v>
      </c>
      <c r="AD38">
        <v>0</v>
      </c>
      <c r="AE38">
        <v>1555.5</v>
      </c>
      <c r="AF38">
        <v>0</v>
      </c>
      <c r="AG38">
        <v>0</v>
      </c>
      <c r="AH38">
        <v>0</v>
      </c>
      <c r="AI38">
        <v>1</v>
      </c>
      <c r="AJ38">
        <v>1</v>
      </c>
      <c r="AK38">
        <v>1</v>
      </c>
      <c r="AL38">
        <v>1</v>
      </c>
      <c r="AM38">
        <v>-2</v>
      </c>
      <c r="AN38">
        <v>0</v>
      </c>
      <c r="AO38">
        <v>1</v>
      </c>
      <c r="AP38">
        <v>0</v>
      </c>
      <c r="AQ38">
        <v>0</v>
      </c>
      <c r="AR38">
        <v>0</v>
      </c>
      <c r="AS38" t="s">
        <v>3</v>
      </c>
      <c r="AT38">
        <v>4</v>
      </c>
      <c r="AU38" t="s">
        <v>3</v>
      </c>
      <c r="AV38">
        <v>0</v>
      </c>
      <c r="AW38">
        <v>2</v>
      </c>
      <c r="AX38">
        <v>76396494</v>
      </c>
      <c r="AY38">
        <v>1</v>
      </c>
      <c r="AZ38">
        <v>0</v>
      </c>
      <c r="BA38">
        <v>31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CV38">
        <v>0</v>
      </c>
      <c r="CW38">
        <v>0</v>
      </c>
      <c r="CX38">
        <f>ROUND(Y38*Source!I75,9)</f>
        <v>0.4</v>
      </c>
      <c r="CY38">
        <f t="shared" si="7"/>
        <v>1555.5</v>
      </c>
      <c r="CZ38">
        <f t="shared" si="8"/>
        <v>1555.5</v>
      </c>
      <c r="DA38">
        <f t="shared" si="9"/>
        <v>1</v>
      </c>
      <c r="DB38">
        <f t="shared" si="12"/>
        <v>6222</v>
      </c>
      <c r="DC38">
        <f t="shared" si="13"/>
        <v>0</v>
      </c>
      <c r="DD38" t="s">
        <v>3</v>
      </c>
      <c r="DE38" t="s">
        <v>3</v>
      </c>
      <c r="DF38">
        <f t="shared" si="14"/>
        <v>622.20000000000005</v>
      </c>
      <c r="DG38">
        <f t="shared" si="15"/>
        <v>0</v>
      </c>
      <c r="DH38">
        <f t="shared" si="16"/>
        <v>0</v>
      </c>
      <c r="DI38">
        <f t="shared" si="17"/>
        <v>0</v>
      </c>
      <c r="DJ38">
        <f t="shared" si="10"/>
        <v>622.20000000000005</v>
      </c>
      <c r="DK38">
        <v>0</v>
      </c>
      <c r="DL38" t="s">
        <v>3</v>
      </c>
      <c r="DM38">
        <v>0</v>
      </c>
      <c r="DN38" t="s">
        <v>3</v>
      </c>
      <c r="DO38">
        <v>0</v>
      </c>
    </row>
    <row r="39" spans="1:119" x14ac:dyDescent="0.2">
      <c r="A39">
        <f>ROW(Source!A83)</f>
        <v>83</v>
      </c>
      <c r="B39">
        <v>76395835</v>
      </c>
      <c r="C39">
        <v>76396502</v>
      </c>
      <c r="D39">
        <v>75874090</v>
      </c>
      <c r="E39">
        <v>15872964</v>
      </c>
      <c r="F39">
        <v>1</v>
      </c>
      <c r="G39">
        <v>15872964</v>
      </c>
      <c r="H39">
        <v>1</v>
      </c>
      <c r="I39" t="s">
        <v>184</v>
      </c>
      <c r="J39" t="s">
        <v>3</v>
      </c>
      <c r="K39" t="s">
        <v>185</v>
      </c>
      <c r="L39">
        <v>1191</v>
      </c>
      <c r="N39">
        <v>1013</v>
      </c>
      <c r="O39" t="s">
        <v>186</v>
      </c>
      <c r="P39" t="s">
        <v>186</v>
      </c>
      <c r="Q39">
        <v>1</v>
      </c>
      <c r="W39">
        <v>0</v>
      </c>
      <c r="X39">
        <v>476480486</v>
      </c>
      <c r="Y39">
        <f t="shared" si="11"/>
        <v>3.55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1</v>
      </c>
      <c r="AJ39">
        <v>1</v>
      </c>
      <c r="AK39">
        <v>1</v>
      </c>
      <c r="AL39">
        <v>1</v>
      </c>
      <c r="AM39">
        <v>-2</v>
      </c>
      <c r="AN39">
        <v>0</v>
      </c>
      <c r="AO39">
        <v>1</v>
      </c>
      <c r="AP39">
        <v>0</v>
      </c>
      <c r="AQ39">
        <v>0</v>
      </c>
      <c r="AR39">
        <v>0</v>
      </c>
      <c r="AS39" t="s">
        <v>3</v>
      </c>
      <c r="AT39">
        <v>3.55</v>
      </c>
      <c r="AU39" t="s">
        <v>3</v>
      </c>
      <c r="AV39">
        <v>1</v>
      </c>
      <c r="AW39">
        <v>2</v>
      </c>
      <c r="AX39">
        <v>76396512</v>
      </c>
      <c r="AY39">
        <v>1</v>
      </c>
      <c r="AZ39">
        <v>0</v>
      </c>
      <c r="BA39">
        <v>32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CU39">
        <f>ROUND(AT39*Source!I83*AH39*AL39,2)</f>
        <v>0</v>
      </c>
      <c r="CV39">
        <f>ROUND(Y39*Source!I83,9)</f>
        <v>0.53249999999999997</v>
      </c>
      <c r="CW39">
        <v>0</v>
      </c>
      <c r="CX39">
        <f>ROUND(Y39*Source!I83,9)</f>
        <v>0.53249999999999997</v>
      </c>
      <c r="CY39">
        <f>AD39</f>
        <v>0</v>
      </c>
      <c r="CZ39">
        <f>AH39</f>
        <v>0</v>
      </c>
      <c r="DA39">
        <f>AL39</f>
        <v>1</v>
      </c>
      <c r="DB39">
        <f t="shared" si="12"/>
        <v>0</v>
      </c>
      <c r="DC39">
        <f t="shared" si="13"/>
        <v>0</v>
      </c>
      <c r="DD39" t="s">
        <v>3</v>
      </c>
      <c r="DE39" t="s">
        <v>3</v>
      </c>
      <c r="DF39">
        <f t="shared" si="14"/>
        <v>0</v>
      </c>
      <c r="DG39">
        <f t="shared" si="15"/>
        <v>0</v>
      </c>
      <c r="DH39">
        <f t="shared" si="16"/>
        <v>0</v>
      </c>
      <c r="DI39">
        <f t="shared" si="17"/>
        <v>0</v>
      </c>
      <c r="DJ39">
        <f>DI39</f>
        <v>0</v>
      </c>
      <c r="DK39">
        <v>0</v>
      </c>
      <c r="DL39" t="s">
        <v>3</v>
      </c>
      <c r="DM39">
        <v>0</v>
      </c>
      <c r="DN39" t="s">
        <v>3</v>
      </c>
      <c r="DO39">
        <v>0</v>
      </c>
    </row>
    <row r="40" spans="1:119" x14ac:dyDescent="0.2">
      <c r="A40">
        <f>ROW(Source!A83)</f>
        <v>83</v>
      </c>
      <c r="B40">
        <v>76395835</v>
      </c>
      <c r="C40">
        <v>76396502</v>
      </c>
      <c r="D40">
        <v>75877711</v>
      </c>
      <c r="E40">
        <v>1</v>
      </c>
      <c r="F40">
        <v>1</v>
      </c>
      <c r="G40">
        <v>15872964</v>
      </c>
      <c r="H40">
        <v>3</v>
      </c>
      <c r="I40" t="s">
        <v>230</v>
      </c>
      <c r="J40" t="s">
        <v>231</v>
      </c>
      <c r="K40" t="s">
        <v>232</v>
      </c>
      <c r="L40">
        <v>1346</v>
      </c>
      <c r="N40">
        <v>1009</v>
      </c>
      <c r="O40" t="s">
        <v>202</v>
      </c>
      <c r="P40" t="s">
        <v>202</v>
      </c>
      <c r="Q40">
        <v>1</v>
      </c>
      <c r="W40">
        <v>0</v>
      </c>
      <c r="X40">
        <v>1719425291</v>
      </c>
      <c r="Y40">
        <f t="shared" si="11"/>
        <v>0.16</v>
      </c>
      <c r="AA40">
        <v>363.22</v>
      </c>
      <c r="AB40">
        <v>0</v>
      </c>
      <c r="AC40">
        <v>0</v>
      </c>
      <c r="AD40">
        <v>0</v>
      </c>
      <c r="AE40">
        <v>363.22</v>
      </c>
      <c r="AF40">
        <v>0</v>
      </c>
      <c r="AG40">
        <v>0</v>
      </c>
      <c r="AH40">
        <v>0</v>
      </c>
      <c r="AI40">
        <v>1</v>
      </c>
      <c r="AJ40">
        <v>1</v>
      </c>
      <c r="AK40">
        <v>1</v>
      </c>
      <c r="AL40">
        <v>1</v>
      </c>
      <c r="AM40">
        <v>-2</v>
      </c>
      <c r="AN40">
        <v>0</v>
      </c>
      <c r="AO40">
        <v>1</v>
      </c>
      <c r="AP40">
        <v>0</v>
      </c>
      <c r="AQ40">
        <v>0</v>
      </c>
      <c r="AR40">
        <v>0</v>
      </c>
      <c r="AS40" t="s">
        <v>3</v>
      </c>
      <c r="AT40">
        <v>0.16</v>
      </c>
      <c r="AU40" t="s">
        <v>3</v>
      </c>
      <c r="AV40">
        <v>0</v>
      </c>
      <c r="AW40">
        <v>2</v>
      </c>
      <c r="AX40">
        <v>76396513</v>
      </c>
      <c r="AY40">
        <v>1</v>
      </c>
      <c r="AZ40">
        <v>0</v>
      </c>
      <c r="BA40">
        <v>33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CV40">
        <v>0</v>
      </c>
      <c r="CW40">
        <v>0</v>
      </c>
      <c r="CX40">
        <f>ROUND(Y40*Source!I83,9)</f>
        <v>2.4E-2</v>
      </c>
      <c r="CY40">
        <f t="shared" ref="CY40:CY47" si="18">AA40</f>
        <v>363.22</v>
      </c>
      <c r="CZ40">
        <f t="shared" ref="CZ40:CZ47" si="19">AE40</f>
        <v>363.22</v>
      </c>
      <c r="DA40">
        <f t="shared" ref="DA40:DA47" si="20">AI40</f>
        <v>1</v>
      </c>
      <c r="DB40">
        <f t="shared" si="12"/>
        <v>58.12</v>
      </c>
      <c r="DC40">
        <f t="shared" si="13"/>
        <v>0</v>
      </c>
      <c r="DD40" t="s">
        <v>3</v>
      </c>
      <c r="DE40" t="s">
        <v>3</v>
      </c>
      <c r="DF40">
        <f t="shared" si="14"/>
        <v>8.7200000000000006</v>
      </c>
      <c r="DG40">
        <f t="shared" si="15"/>
        <v>0</v>
      </c>
      <c r="DH40">
        <f t="shared" si="16"/>
        <v>0</v>
      </c>
      <c r="DI40">
        <f t="shared" si="17"/>
        <v>0</v>
      </c>
      <c r="DJ40">
        <f t="shared" ref="DJ40:DJ47" si="21">DF40</f>
        <v>8.7200000000000006</v>
      </c>
      <c r="DK40">
        <v>0</v>
      </c>
      <c r="DL40" t="s">
        <v>3</v>
      </c>
      <c r="DM40">
        <v>0</v>
      </c>
      <c r="DN40" t="s">
        <v>3</v>
      </c>
      <c r="DO40">
        <v>0</v>
      </c>
    </row>
    <row r="41" spans="1:119" x14ac:dyDescent="0.2">
      <c r="A41">
        <f>ROW(Source!A83)</f>
        <v>83</v>
      </c>
      <c r="B41">
        <v>76395835</v>
      </c>
      <c r="C41">
        <v>76396502</v>
      </c>
      <c r="D41">
        <v>75885001</v>
      </c>
      <c r="E41">
        <v>1</v>
      </c>
      <c r="F41">
        <v>1</v>
      </c>
      <c r="G41">
        <v>15872964</v>
      </c>
      <c r="H41">
        <v>3</v>
      </c>
      <c r="I41" t="s">
        <v>233</v>
      </c>
      <c r="J41" t="s">
        <v>234</v>
      </c>
      <c r="K41" t="s">
        <v>235</v>
      </c>
      <c r="L41">
        <v>1301</v>
      </c>
      <c r="N41">
        <v>1003</v>
      </c>
      <c r="O41" t="s">
        <v>115</v>
      </c>
      <c r="P41" t="s">
        <v>115</v>
      </c>
      <c r="Q41">
        <v>1</v>
      </c>
      <c r="W41">
        <v>0</v>
      </c>
      <c r="X41">
        <v>-1189895200</v>
      </c>
      <c r="Y41">
        <f t="shared" si="11"/>
        <v>5</v>
      </c>
      <c r="AA41">
        <v>5.71</v>
      </c>
      <c r="AB41">
        <v>0</v>
      </c>
      <c r="AC41">
        <v>0</v>
      </c>
      <c r="AD41">
        <v>0</v>
      </c>
      <c r="AE41">
        <v>5.71</v>
      </c>
      <c r="AF41">
        <v>0</v>
      </c>
      <c r="AG41">
        <v>0</v>
      </c>
      <c r="AH41">
        <v>0</v>
      </c>
      <c r="AI41">
        <v>1</v>
      </c>
      <c r="AJ41">
        <v>1</v>
      </c>
      <c r="AK41">
        <v>1</v>
      </c>
      <c r="AL41">
        <v>1</v>
      </c>
      <c r="AM41">
        <v>-2</v>
      </c>
      <c r="AN41">
        <v>0</v>
      </c>
      <c r="AO41">
        <v>1</v>
      </c>
      <c r="AP41">
        <v>0</v>
      </c>
      <c r="AQ41">
        <v>0</v>
      </c>
      <c r="AR41">
        <v>0</v>
      </c>
      <c r="AS41" t="s">
        <v>3</v>
      </c>
      <c r="AT41">
        <v>5</v>
      </c>
      <c r="AU41" t="s">
        <v>3</v>
      </c>
      <c r="AV41">
        <v>0</v>
      </c>
      <c r="AW41">
        <v>2</v>
      </c>
      <c r="AX41">
        <v>76396514</v>
      </c>
      <c r="AY41">
        <v>1</v>
      </c>
      <c r="AZ41">
        <v>0</v>
      </c>
      <c r="BA41">
        <v>34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CV41">
        <v>0</v>
      </c>
      <c r="CW41">
        <v>0</v>
      </c>
      <c r="CX41">
        <f>ROUND(Y41*Source!I83,9)</f>
        <v>0.75</v>
      </c>
      <c r="CY41">
        <f t="shared" si="18"/>
        <v>5.71</v>
      </c>
      <c r="CZ41">
        <f t="shared" si="19"/>
        <v>5.71</v>
      </c>
      <c r="DA41">
        <f t="shared" si="20"/>
        <v>1</v>
      </c>
      <c r="DB41">
        <f t="shared" si="12"/>
        <v>28.55</v>
      </c>
      <c r="DC41">
        <f t="shared" si="13"/>
        <v>0</v>
      </c>
      <c r="DD41" t="s">
        <v>3</v>
      </c>
      <c r="DE41" t="s">
        <v>3</v>
      </c>
      <c r="DF41">
        <f t="shared" si="14"/>
        <v>4.28</v>
      </c>
      <c r="DG41">
        <f t="shared" si="15"/>
        <v>0</v>
      </c>
      <c r="DH41">
        <f t="shared" si="16"/>
        <v>0</v>
      </c>
      <c r="DI41">
        <f t="shared" si="17"/>
        <v>0</v>
      </c>
      <c r="DJ41">
        <f t="shared" si="21"/>
        <v>4.28</v>
      </c>
      <c r="DK41">
        <v>0</v>
      </c>
      <c r="DL41" t="s">
        <v>3</v>
      </c>
      <c r="DM41">
        <v>0</v>
      </c>
      <c r="DN41" t="s">
        <v>3</v>
      </c>
      <c r="DO41">
        <v>0</v>
      </c>
    </row>
    <row r="42" spans="1:119" x14ac:dyDescent="0.2">
      <c r="A42">
        <f>ROW(Source!A83)</f>
        <v>83</v>
      </c>
      <c r="B42">
        <v>76395835</v>
      </c>
      <c r="C42">
        <v>76396502</v>
      </c>
      <c r="D42">
        <v>75884898</v>
      </c>
      <c r="E42">
        <v>1</v>
      </c>
      <c r="F42">
        <v>1</v>
      </c>
      <c r="G42">
        <v>15872964</v>
      </c>
      <c r="H42">
        <v>3</v>
      </c>
      <c r="I42" t="s">
        <v>236</v>
      </c>
      <c r="J42" t="s">
        <v>237</v>
      </c>
      <c r="K42" t="s">
        <v>238</v>
      </c>
      <c r="L42">
        <v>1356</v>
      </c>
      <c r="N42">
        <v>1010</v>
      </c>
      <c r="O42" t="s">
        <v>120</v>
      </c>
      <c r="P42" t="s">
        <v>120</v>
      </c>
      <c r="Q42">
        <v>1000</v>
      </c>
      <c r="W42">
        <v>0</v>
      </c>
      <c r="X42">
        <v>-1948375318</v>
      </c>
      <c r="Y42">
        <f t="shared" si="11"/>
        <v>5.0000000000000001E-3</v>
      </c>
      <c r="AA42">
        <v>718.56</v>
      </c>
      <c r="AB42">
        <v>0</v>
      </c>
      <c r="AC42">
        <v>0</v>
      </c>
      <c r="AD42">
        <v>0</v>
      </c>
      <c r="AE42">
        <v>718.56</v>
      </c>
      <c r="AF42">
        <v>0</v>
      </c>
      <c r="AG42">
        <v>0</v>
      </c>
      <c r="AH42">
        <v>0</v>
      </c>
      <c r="AI42">
        <v>1</v>
      </c>
      <c r="AJ42">
        <v>1</v>
      </c>
      <c r="AK42">
        <v>1</v>
      </c>
      <c r="AL42">
        <v>1</v>
      </c>
      <c r="AM42">
        <v>-2</v>
      </c>
      <c r="AN42">
        <v>0</v>
      </c>
      <c r="AO42">
        <v>1</v>
      </c>
      <c r="AP42">
        <v>0</v>
      </c>
      <c r="AQ42">
        <v>0</v>
      </c>
      <c r="AR42">
        <v>0</v>
      </c>
      <c r="AS42" t="s">
        <v>3</v>
      </c>
      <c r="AT42">
        <v>5.0000000000000001E-3</v>
      </c>
      <c r="AU42" t="s">
        <v>3</v>
      </c>
      <c r="AV42">
        <v>0</v>
      </c>
      <c r="AW42">
        <v>2</v>
      </c>
      <c r="AX42">
        <v>76396515</v>
      </c>
      <c r="AY42">
        <v>1</v>
      </c>
      <c r="AZ42">
        <v>0</v>
      </c>
      <c r="BA42">
        <v>35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CV42">
        <v>0</v>
      </c>
      <c r="CW42">
        <v>0</v>
      </c>
      <c r="CX42">
        <f>ROUND(Y42*Source!I83,9)</f>
        <v>7.5000000000000002E-4</v>
      </c>
      <c r="CY42">
        <f t="shared" si="18"/>
        <v>718.56</v>
      </c>
      <c r="CZ42">
        <f t="shared" si="19"/>
        <v>718.56</v>
      </c>
      <c r="DA42">
        <f t="shared" si="20"/>
        <v>1</v>
      </c>
      <c r="DB42">
        <f t="shared" si="12"/>
        <v>3.59</v>
      </c>
      <c r="DC42">
        <f t="shared" si="13"/>
        <v>0</v>
      </c>
      <c r="DD42" t="s">
        <v>3</v>
      </c>
      <c r="DE42" t="s">
        <v>3</v>
      </c>
      <c r="DF42">
        <f t="shared" si="14"/>
        <v>0.54</v>
      </c>
      <c r="DG42">
        <f t="shared" si="15"/>
        <v>0</v>
      </c>
      <c r="DH42">
        <f t="shared" si="16"/>
        <v>0</v>
      </c>
      <c r="DI42">
        <f t="shared" si="17"/>
        <v>0</v>
      </c>
      <c r="DJ42">
        <f t="shared" si="21"/>
        <v>0.54</v>
      </c>
      <c r="DK42">
        <v>0</v>
      </c>
      <c r="DL42" t="s">
        <v>3</v>
      </c>
      <c r="DM42">
        <v>0</v>
      </c>
      <c r="DN42" t="s">
        <v>3</v>
      </c>
      <c r="DO42">
        <v>0</v>
      </c>
    </row>
    <row r="43" spans="1:119" x14ac:dyDescent="0.2">
      <c r="A43">
        <f>ROW(Source!A83)</f>
        <v>83</v>
      </c>
      <c r="B43">
        <v>76395835</v>
      </c>
      <c r="C43">
        <v>76396502</v>
      </c>
      <c r="D43">
        <v>75885182</v>
      </c>
      <c r="E43">
        <v>1</v>
      </c>
      <c r="F43">
        <v>1</v>
      </c>
      <c r="G43">
        <v>15872964</v>
      </c>
      <c r="H43">
        <v>3</v>
      </c>
      <c r="I43" t="s">
        <v>239</v>
      </c>
      <c r="J43" t="s">
        <v>240</v>
      </c>
      <c r="K43" t="s">
        <v>241</v>
      </c>
      <c r="L43">
        <v>1354</v>
      </c>
      <c r="N43">
        <v>1010</v>
      </c>
      <c r="O43" t="s">
        <v>18</v>
      </c>
      <c r="P43" t="s">
        <v>18</v>
      </c>
      <c r="Q43">
        <v>1</v>
      </c>
      <c r="W43">
        <v>0</v>
      </c>
      <c r="X43">
        <v>1884843886</v>
      </c>
      <c r="Y43">
        <f t="shared" si="11"/>
        <v>10</v>
      </c>
      <c r="AA43">
        <v>29.36</v>
      </c>
      <c r="AB43">
        <v>0</v>
      </c>
      <c r="AC43">
        <v>0</v>
      </c>
      <c r="AD43">
        <v>0</v>
      </c>
      <c r="AE43">
        <v>29.36</v>
      </c>
      <c r="AF43">
        <v>0</v>
      </c>
      <c r="AG43">
        <v>0</v>
      </c>
      <c r="AH43">
        <v>0</v>
      </c>
      <c r="AI43">
        <v>1</v>
      </c>
      <c r="AJ43">
        <v>1</v>
      </c>
      <c r="AK43">
        <v>1</v>
      </c>
      <c r="AL43">
        <v>1</v>
      </c>
      <c r="AM43">
        <v>-2</v>
      </c>
      <c r="AN43">
        <v>0</v>
      </c>
      <c r="AO43">
        <v>1</v>
      </c>
      <c r="AP43">
        <v>0</v>
      </c>
      <c r="AQ43">
        <v>0</v>
      </c>
      <c r="AR43">
        <v>0</v>
      </c>
      <c r="AS43" t="s">
        <v>3</v>
      </c>
      <c r="AT43">
        <v>10</v>
      </c>
      <c r="AU43" t="s">
        <v>3</v>
      </c>
      <c r="AV43">
        <v>0</v>
      </c>
      <c r="AW43">
        <v>2</v>
      </c>
      <c r="AX43">
        <v>76396516</v>
      </c>
      <c r="AY43">
        <v>1</v>
      </c>
      <c r="AZ43">
        <v>0</v>
      </c>
      <c r="BA43">
        <v>36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CV43">
        <v>0</v>
      </c>
      <c r="CW43">
        <v>0</v>
      </c>
      <c r="CX43">
        <f>ROUND(Y43*Source!I83,9)</f>
        <v>1.5</v>
      </c>
      <c r="CY43">
        <f t="shared" si="18"/>
        <v>29.36</v>
      </c>
      <c r="CZ43">
        <f t="shared" si="19"/>
        <v>29.36</v>
      </c>
      <c r="DA43">
        <f t="shared" si="20"/>
        <v>1</v>
      </c>
      <c r="DB43">
        <f t="shared" si="12"/>
        <v>293.60000000000002</v>
      </c>
      <c r="DC43">
        <f t="shared" si="13"/>
        <v>0</v>
      </c>
      <c r="DD43" t="s">
        <v>3</v>
      </c>
      <c r="DE43" t="s">
        <v>3</v>
      </c>
      <c r="DF43">
        <f t="shared" si="14"/>
        <v>44.04</v>
      </c>
      <c r="DG43">
        <f t="shared" si="15"/>
        <v>0</v>
      </c>
      <c r="DH43">
        <f t="shared" si="16"/>
        <v>0</v>
      </c>
      <c r="DI43">
        <f t="shared" si="17"/>
        <v>0</v>
      </c>
      <c r="DJ43">
        <f t="shared" si="21"/>
        <v>44.04</v>
      </c>
      <c r="DK43">
        <v>0</v>
      </c>
      <c r="DL43" t="s">
        <v>3</v>
      </c>
      <c r="DM43">
        <v>0</v>
      </c>
      <c r="DN43" t="s">
        <v>3</v>
      </c>
      <c r="DO43">
        <v>0</v>
      </c>
    </row>
    <row r="44" spans="1:119" x14ac:dyDescent="0.2">
      <c r="A44">
        <f>ROW(Source!A83)</f>
        <v>83</v>
      </c>
      <c r="B44">
        <v>76395835</v>
      </c>
      <c r="C44">
        <v>76396502</v>
      </c>
      <c r="D44">
        <v>75885213</v>
      </c>
      <c r="E44">
        <v>1</v>
      </c>
      <c r="F44">
        <v>1</v>
      </c>
      <c r="G44">
        <v>15872964</v>
      </c>
      <c r="H44">
        <v>3</v>
      </c>
      <c r="I44" t="s">
        <v>242</v>
      </c>
      <c r="J44" t="s">
        <v>243</v>
      </c>
      <c r="K44" t="s">
        <v>244</v>
      </c>
      <c r="L44">
        <v>1355</v>
      </c>
      <c r="N44">
        <v>1010</v>
      </c>
      <c r="O44" t="s">
        <v>226</v>
      </c>
      <c r="P44" t="s">
        <v>226</v>
      </c>
      <c r="Q44">
        <v>100</v>
      </c>
      <c r="W44">
        <v>0</v>
      </c>
      <c r="X44">
        <v>527662241</v>
      </c>
      <c r="Y44">
        <f t="shared" si="11"/>
        <v>0.26</v>
      </c>
      <c r="AA44">
        <v>127.48</v>
      </c>
      <c r="AB44">
        <v>0</v>
      </c>
      <c r="AC44">
        <v>0</v>
      </c>
      <c r="AD44">
        <v>0</v>
      </c>
      <c r="AE44">
        <v>127.48</v>
      </c>
      <c r="AF44">
        <v>0</v>
      </c>
      <c r="AG44">
        <v>0</v>
      </c>
      <c r="AH44">
        <v>0</v>
      </c>
      <c r="AI44">
        <v>1</v>
      </c>
      <c r="AJ44">
        <v>1</v>
      </c>
      <c r="AK44">
        <v>1</v>
      </c>
      <c r="AL44">
        <v>1</v>
      </c>
      <c r="AM44">
        <v>-2</v>
      </c>
      <c r="AN44">
        <v>0</v>
      </c>
      <c r="AO44">
        <v>1</v>
      </c>
      <c r="AP44">
        <v>0</v>
      </c>
      <c r="AQ44">
        <v>0</v>
      </c>
      <c r="AR44">
        <v>0</v>
      </c>
      <c r="AS44" t="s">
        <v>3</v>
      </c>
      <c r="AT44">
        <v>0.26</v>
      </c>
      <c r="AU44" t="s">
        <v>3</v>
      </c>
      <c r="AV44">
        <v>0</v>
      </c>
      <c r="AW44">
        <v>2</v>
      </c>
      <c r="AX44">
        <v>76396517</v>
      </c>
      <c r="AY44">
        <v>1</v>
      </c>
      <c r="AZ44">
        <v>0</v>
      </c>
      <c r="BA44">
        <v>37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CV44">
        <v>0</v>
      </c>
      <c r="CW44">
        <v>0</v>
      </c>
      <c r="CX44">
        <f>ROUND(Y44*Source!I83,9)</f>
        <v>3.9E-2</v>
      </c>
      <c r="CY44">
        <f t="shared" si="18"/>
        <v>127.48</v>
      </c>
      <c r="CZ44">
        <f t="shared" si="19"/>
        <v>127.48</v>
      </c>
      <c r="DA44">
        <f t="shared" si="20"/>
        <v>1</v>
      </c>
      <c r="DB44">
        <f t="shared" si="12"/>
        <v>33.14</v>
      </c>
      <c r="DC44">
        <f t="shared" si="13"/>
        <v>0</v>
      </c>
      <c r="DD44" t="s">
        <v>3</v>
      </c>
      <c r="DE44" t="s">
        <v>3</v>
      </c>
      <c r="DF44">
        <f t="shared" si="14"/>
        <v>4.97</v>
      </c>
      <c r="DG44">
        <f t="shared" si="15"/>
        <v>0</v>
      </c>
      <c r="DH44">
        <f t="shared" si="16"/>
        <v>0</v>
      </c>
      <c r="DI44">
        <f t="shared" si="17"/>
        <v>0</v>
      </c>
      <c r="DJ44">
        <f t="shared" si="21"/>
        <v>4.97</v>
      </c>
      <c r="DK44">
        <v>0</v>
      </c>
      <c r="DL44" t="s">
        <v>3</v>
      </c>
      <c r="DM44">
        <v>0</v>
      </c>
      <c r="DN44" t="s">
        <v>3</v>
      </c>
      <c r="DO44">
        <v>0</v>
      </c>
    </row>
    <row r="45" spans="1:119" x14ac:dyDescent="0.2">
      <c r="A45">
        <f>ROW(Source!A83)</f>
        <v>83</v>
      </c>
      <c r="B45">
        <v>76395835</v>
      </c>
      <c r="C45">
        <v>76396502</v>
      </c>
      <c r="D45">
        <v>75884935</v>
      </c>
      <c r="E45">
        <v>1</v>
      </c>
      <c r="F45">
        <v>1</v>
      </c>
      <c r="G45">
        <v>15872964</v>
      </c>
      <c r="H45">
        <v>3</v>
      </c>
      <c r="I45" t="s">
        <v>245</v>
      </c>
      <c r="J45" t="s">
        <v>246</v>
      </c>
      <c r="K45" t="s">
        <v>247</v>
      </c>
      <c r="L45">
        <v>1356</v>
      </c>
      <c r="N45">
        <v>1010</v>
      </c>
      <c r="O45" t="s">
        <v>120</v>
      </c>
      <c r="P45" t="s">
        <v>120</v>
      </c>
      <c r="Q45">
        <v>1000</v>
      </c>
      <c r="W45">
        <v>0</v>
      </c>
      <c r="X45">
        <v>-1680055193</v>
      </c>
      <c r="Y45">
        <f t="shared" si="11"/>
        <v>0.02</v>
      </c>
      <c r="AA45">
        <v>258.44</v>
      </c>
      <c r="AB45">
        <v>0</v>
      </c>
      <c r="AC45">
        <v>0</v>
      </c>
      <c r="AD45">
        <v>0</v>
      </c>
      <c r="AE45">
        <v>258.44</v>
      </c>
      <c r="AF45">
        <v>0</v>
      </c>
      <c r="AG45">
        <v>0</v>
      </c>
      <c r="AH45">
        <v>0</v>
      </c>
      <c r="AI45">
        <v>1</v>
      </c>
      <c r="AJ45">
        <v>1</v>
      </c>
      <c r="AK45">
        <v>1</v>
      </c>
      <c r="AL45">
        <v>1</v>
      </c>
      <c r="AM45">
        <v>-2</v>
      </c>
      <c r="AN45">
        <v>0</v>
      </c>
      <c r="AO45">
        <v>1</v>
      </c>
      <c r="AP45">
        <v>0</v>
      </c>
      <c r="AQ45">
        <v>0</v>
      </c>
      <c r="AR45">
        <v>0</v>
      </c>
      <c r="AS45" t="s">
        <v>3</v>
      </c>
      <c r="AT45">
        <v>0.02</v>
      </c>
      <c r="AU45" t="s">
        <v>3</v>
      </c>
      <c r="AV45">
        <v>0</v>
      </c>
      <c r="AW45">
        <v>2</v>
      </c>
      <c r="AX45">
        <v>76396518</v>
      </c>
      <c r="AY45">
        <v>1</v>
      </c>
      <c r="AZ45">
        <v>0</v>
      </c>
      <c r="BA45">
        <v>38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CV45">
        <v>0</v>
      </c>
      <c r="CW45">
        <v>0</v>
      </c>
      <c r="CX45">
        <f>ROUND(Y45*Source!I83,9)</f>
        <v>3.0000000000000001E-3</v>
      </c>
      <c r="CY45">
        <f t="shared" si="18"/>
        <v>258.44</v>
      </c>
      <c r="CZ45">
        <f t="shared" si="19"/>
        <v>258.44</v>
      </c>
      <c r="DA45">
        <f t="shared" si="20"/>
        <v>1</v>
      </c>
      <c r="DB45">
        <f t="shared" si="12"/>
        <v>5.17</v>
      </c>
      <c r="DC45">
        <f t="shared" si="13"/>
        <v>0</v>
      </c>
      <c r="DD45" t="s">
        <v>3</v>
      </c>
      <c r="DE45" t="s">
        <v>3</v>
      </c>
      <c r="DF45">
        <f t="shared" si="14"/>
        <v>0.78</v>
      </c>
      <c r="DG45">
        <f t="shared" si="15"/>
        <v>0</v>
      </c>
      <c r="DH45">
        <f t="shared" si="16"/>
        <v>0</v>
      </c>
      <c r="DI45">
        <f t="shared" si="17"/>
        <v>0</v>
      </c>
      <c r="DJ45">
        <f t="shared" si="21"/>
        <v>0.78</v>
      </c>
      <c r="DK45">
        <v>0</v>
      </c>
      <c r="DL45" t="s">
        <v>3</v>
      </c>
      <c r="DM45">
        <v>0</v>
      </c>
      <c r="DN45" t="s">
        <v>3</v>
      </c>
      <c r="DO45">
        <v>0</v>
      </c>
    </row>
    <row r="46" spans="1:119" x14ac:dyDescent="0.2">
      <c r="A46">
        <f>ROW(Source!A83)</f>
        <v>83</v>
      </c>
      <c r="B46">
        <v>76395835</v>
      </c>
      <c r="C46">
        <v>76396502</v>
      </c>
      <c r="D46">
        <v>75886288</v>
      </c>
      <c r="E46">
        <v>1</v>
      </c>
      <c r="F46">
        <v>1</v>
      </c>
      <c r="G46">
        <v>15872964</v>
      </c>
      <c r="H46">
        <v>3</v>
      </c>
      <c r="I46" t="s">
        <v>147</v>
      </c>
      <c r="J46" t="s">
        <v>150</v>
      </c>
      <c r="K46" t="s">
        <v>148</v>
      </c>
      <c r="L46">
        <v>1303</v>
      </c>
      <c r="N46">
        <v>1003</v>
      </c>
      <c r="O46" t="s">
        <v>149</v>
      </c>
      <c r="P46" t="s">
        <v>149</v>
      </c>
      <c r="Q46">
        <v>1000</v>
      </c>
      <c r="W46">
        <v>0</v>
      </c>
      <c r="X46">
        <v>1173250179</v>
      </c>
      <c r="Y46">
        <f t="shared" si="11"/>
        <v>0.10299999999999999</v>
      </c>
      <c r="AA46">
        <v>99643.05</v>
      </c>
      <c r="AB46">
        <v>0</v>
      </c>
      <c r="AC46">
        <v>0</v>
      </c>
      <c r="AD46">
        <v>0</v>
      </c>
      <c r="AE46">
        <v>99643.05</v>
      </c>
      <c r="AF46">
        <v>0</v>
      </c>
      <c r="AG46">
        <v>0</v>
      </c>
      <c r="AH46">
        <v>0</v>
      </c>
      <c r="AI46">
        <v>1</v>
      </c>
      <c r="AJ46">
        <v>1</v>
      </c>
      <c r="AK46">
        <v>1</v>
      </c>
      <c r="AL46">
        <v>1</v>
      </c>
      <c r="AM46">
        <v>-2</v>
      </c>
      <c r="AN46">
        <v>0</v>
      </c>
      <c r="AO46">
        <v>1</v>
      </c>
      <c r="AP46">
        <v>0</v>
      </c>
      <c r="AQ46">
        <v>0</v>
      </c>
      <c r="AR46">
        <v>0</v>
      </c>
      <c r="AS46" t="s">
        <v>3</v>
      </c>
      <c r="AT46">
        <v>0.10299999999999999</v>
      </c>
      <c r="AU46" t="s">
        <v>3</v>
      </c>
      <c r="AV46">
        <v>0</v>
      </c>
      <c r="AW46">
        <v>2</v>
      </c>
      <c r="AX46">
        <v>76396519</v>
      </c>
      <c r="AY46">
        <v>1</v>
      </c>
      <c r="AZ46">
        <v>0</v>
      </c>
      <c r="BA46">
        <v>39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CV46">
        <v>0</v>
      </c>
      <c r="CW46">
        <v>0</v>
      </c>
      <c r="CX46">
        <f>ROUND(Y46*Source!I83,9)</f>
        <v>1.545E-2</v>
      </c>
      <c r="CY46">
        <f t="shared" si="18"/>
        <v>99643.05</v>
      </c>
      <c r="CZ46">
        <f t="shared" si="19"/>
        <v>99643.05</v>
      </c>
      <c r="DA46">
        <f t="shared" si="20"/>
        <v>1</v>
      </c>
      <c r="DB46">
        <f t="shared" si="12"/>
        <v>10263.23</v>
      </c>
      <c r="DC46">
        <f t="shared" si="13"/>
        <v>0</v>
      </c>
      <c r="DD46" t="s">
        <v>3</v>
      </c>
      <c r="DE46" t="s">
        <v>3</v>
      </c>
      <c r="DF46">
        <f t="shared" si="14"/>
        <v>1539.49</v>
      </c>
      <c r="DG46">
        <f t="shared" si="15"/>
        <v>0</v>
      </c>
      <c r="DH46">
        <f t="shared" si="16"/>
        <v>0</v>
      </c>
      <c r="DI46">
        <f t="shared" si="17"/>
        <v>0</v>
      </c>
      <c r="DJ46">
        <f t="shared" si="21"/>
        <v>1539.49</v>
      </c>
      <c r="DK46">
        <v>0</v>
      </c>
      <c r="DL46" t="s">
        <v>3</v>
      </c>
      <c r="DM46">
        <v>0</v>
      </c>
      <c r="DN46" t="s">
        <v>3</v>
      </c>
      <c r="DO46">
        <v>0</v>
      </c>
    </row>
    <row r="47" spans="1:119" x14ac:dyDescent="0.2">
      <c r="A47">
        <f>ROW(Source!A83)</f>
        <v>83</v>
      </c>
      <c r="B47">
        <v>76395835</v>
      </c>
      <c r="C47">
        <v>76396502</v>
      </c>
      <c r="D47">
        <v>75886288</v>
      </c>
      <c r="E47">
        <v>1</v>
      </c>
      <c r="F47">
        <v>1</v>
      </c>
      <c r="G47">
        <v>15872964</v>
      </c>
      <c r="H47">
        <v>3</v>
      </c>
      <c r="I47" t="s">
        <v>147</v>
      </c>
      <c r="J47" t="s">
        <v>150</v>
      </c>
      <c r="K47" t="s">
        <v>148</v>
      </c>
      <c r="L47">
        <v>1303</v>
      </c>
      <c r="N47">
        <v>1003</v>
      </c>
      <c r="O47" t="s">
        <v>149</v>
      </c>
      <c r="P47" t="s">
        <v>149</v>
      </c>
      <c r="Q47">
        <v>1000</v>
      </c>
      <c r="W47">
        <v>0</v>
      </c>
      <c r="X47">
        <v>1173250179</v>
      </c>
      <c r="Y47">
        <f t="shared" si="11"/>
        <v>-0.10299999999999999</v>
      </c>
      <c r="AA47">
        <v>99643.05</v>
      </c>
      <c r="AB47">
        <v>0</v>
      </c>
      <c r="AC47">
        <v>0</v>
      </c>
      <c r="AD47">
        <v>0</v>
      </c>
      <c r="AE47">
        <v>99643.05</v>
      </c>
      <c r="AF47">
        <v>0</v>
      </c>
      <c r="AG47">
        <v>0</v>
      </c>
      <c r="AH47">
        <v>0</v>
      </c>
      <c r="AI47">
        <v>1</v>
      </c>
      <c r="AJ47">
        <v>1</v>
      </c>
      <c r="AK47">
        <v>1</v>
      </c>
      <c r="AL47">
        <v>1</v>
      </c>
      <c r="AM47">
        <v>0</v>
      </c>
      <c r="AN47">
        <v>0</v>
      </c>
      <c r="AO47">
        <v>0</v>
      </c>
      <c r="AP47">
        <v>1</v>
      </c>
      <c r="AQ47">
        <v>0</v>
      </c>
      <c r="AR47">
        <v>0</v>
      </c>
      <c r="AS47" t="s">
        <v>3</v>
      </c>
      <c r="AT47">
        <v>-0.10299999999999999</v>
      </c>
      <c r="AU47" t="s">
        <v>3</v>
      </c>
      <c r="AV47">
        <v>0</v>
      </c>
      <c r="AW47">
        <v>1</v>
      </c>
      <c r="AX47">
        <v>-1</v>
      </c>
      <c r="AY47">
        <v>0</v>
      </c>
      <c r="AZ47">
        <v>0</v>
      </c>
      <c r="BA47" t="s">
        <v>3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CV47">
        <v>0</v>
      </c>
      <c r="CW47">
        <v>0</v>
      </c>
      <c r="CX47">
        <f>ROUND(Y47*Source!I83,9)</f>
        <v>-1.545E-2</v>
      </c>
      <c r="CY47">
        <f t="shared" si="18"/>
        <v>99643.05</v>
      </c>
      <c r="CZ47">
        <f t="shared" si="19"/>
        <v>99643.05</v>
      </c>
      <c r="DA47">
        <f t="shared" si="20"/>
        <v>1</v>
      </c>
      <c r="DB47">
        <f t="shared" si="12"/>
        <v>-10263.23</v>
      </c>
      <c r="DC47">
        <f t="shared" si="13"/>
        <v>0</v>
      </c>
      <c r="DD47" t="s">
        <v>3</v>
      </c>
      <c r="DE47" t="s">
        <v>3</v>
      </c>
      <c r="DF47">
        <f t="shared" si="14"/>
        <v>-1539.49</v>
      </c>
      <c r="DG47">
        <f t="shared" si="15"/>
        <v>0</v>
      </c>
      <c r="DH47">
        <f t="shared" si="16"/>
        <v>0</v>
      </c>
      <c r="DI47">
        <f t="shared" si="17"/>
        <v>0</v>
      </c>
      <c r="DJ47">
        <f t="shared" si="21"/>
        <v>-1539.49</v>
      </c>
      <c r="DK47">
        <v>0</v>
      </c>
      <c r="DL47" t="s">
        <v>3</v>
      </c>
      <c r="DM47">
        <v>0</v>
      </c>
      <c r="DN47" t="s">
        <v>3</v>
      </c>
      <c r="DO47">
        <v>0</v>
      </c>
    </row>
    <row r="48" spans="1:119" x14ac:dyDescent="0.2">
      <c r="A48">
        <f>ROW(Source!A85)</f>
        <v>85</v>
      </c>
      <c r="B48">
        <v>76395835</v>
      </c>
      <c r="C48">
        <v>76396521</v>
      </c>
      <c r="D48">
        <v>75874090</v>
      </c>
      <c r="E48">
        <v>15872964</v>
      </c>
      <c r="F48">
        <v>1</v>
      </c>
      <c r="G48">
        <v>15872964</v>
      </c>
      <c r="H48">
        <v>1</v>
      </c>
      <c r="I48" t="s">
        <v>184</v>
      </c>
      <c r="J48" t="s">
        <v>3</v>
      </c>
      <c r="K48" t="s">
        <v>185</v>
      </c>
      <c r="L48">
        <v>1191</v>
      </c>
      <c r="N48">
        <v>1013</v>
      </c>
      <c r="O48" t="s">
        <v>186</v>
      </c>
      <c r="P48" t="s">
        <v>186</v>
      </c>
      <c r="Q48">
        <v>1</v>
      </c>
      <c r="W48">
        <v>0</v>
      </c>
      <c r="X48">
        <v>476480486</v>
      </c>
      <c r="Y48">
        <f t="shared" si="11"/>
        <v>44.46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1</v>
      </c>
      <c r="AJ48">
        <v>1</v>
      </c>
      <c r="AK48">
        <v>1</v>
      </c>
      <c r="AL48">
        <v>1</v>
      </c>
      <c r="AM48">
        <v>-2</v>
      </c>
      <c r="AN48">
        <v>0</v>
      </c>
      <c r="AO48">
        <v>1</v>
      </c>
      <c r="AP48">
        <v>0</v>
      </c>
      <c r="AQ48">
        <v>0</v>
      </c>
      <c r="AR48">
        <v>0</v>
      </c>
      <c r="AS48" t="s">
        <v>3</v>
      </c>
      <c r="AT48">
        <v>44.46</v>
      </c>
      <c r="AU48" t="s">
        <v>3</v>
      </c>
      <c r="AV48">
        <v>1</v>
      </c>
      <c r="AW48">
        <v>2</v>
      </c>
      <c r="AX48">
        <v>76396532</v>
      </c>
      <c r="AY48">
        <v>1</v>
      </c>
      <c r="AZ48">
        <v>0</v>
      </c>
      <c r="BA48">
        <v>40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CU48">
        <f>ROUND(AT48*Source!I85*AH48*AL48,2)</f>
        <v>0</v>
      </c>
      <c r="CV48">
        <f>ROUND(Y48*Source!I85,9)</f>
        <v>17.783999999999999</v>
      </c>
      <c r="CW48">
        <v>0</v>
      </c>
      <c r="CX48">
        <f>ROUND(Y48*Source!I85,9)</f>
        <v>17.783999999999999</v>
      </c>
      <c r="CY48">
        <f>AD48</f>
        <v>0</v>
      </c>
      <c r="CZ48">
        <f>AH48</f>
        <v>0</v>
      </c>
      <c r="DA48">
        <f>AL48</f>
        <v>1</v>
      </c>
      <c r="DB48">
        <f t="shared" si="12"/>
        <v>0</v>
      </c>
      <c r="DC48">
        <f t="shared" si="13"/>
        <v>0</v>
      </c>
      <c r="DD48" t="s">
        <v>3</v>
      </c>
      <c r="DE48" t="s">
        <v>3</v>
      </c>
      <c r="DF48">
        <f t="shared" si="14"/>
        <v>0</v>
      </c>
      <c r="DG48">
        <f t="shared" si="15"/>
        <v>0</v>
      </c>
      <c r="DH48">
        <f t="shared" si="16"/>
        <v>0</v>
      </c>
      <c r="DI48">
        <f t="shared" si="17"/>
        <v>0</v>
      </c>
      <c r="DJ48">
        <f>DI48</f>
        <v>0</v>
      </c>
      <c r="DK48">
        <v>0</v>
      </c>
      <c r="DL48" t="s">
        <v>3</v>
      </c>
      <c r="DM48">
        <v>0</v>
      </c>
      <c r="DN48" t="s">
        <v>3</v>
      </c>
      <c r="DO48">
        <v>0</v>
      </c>
    </row>
    <row r="49" spans="1:119" x14ac:dyDescent="0.2">
      <c r="A49">
        <f>ROW(Source!A85)</f>
        <v>85</v>
      </c>
      <c r="B49">
        <v>76395835</v>
      </c>
      <c r="C49">
        <v>76396521</v>
      </c>
      <c r="D49">
        <v>75875824</v>
      </c>
      <c r="E49">
        <v>1</v>
      </c>
      <c r="F49">
        <v>1</v>
      </c>
      <c r="G49">
        <v>15872964</v>
      </c>
      <c r="H49">
        <v>2</v>
      </c>
      <c r="I49" t="s">
        <v>194</v>
      </c>
      <c r="J49" t="s">
        <v>195</v>
      </c>
      <c r="K49" t="s">
        <v>196</v>
      </c>
      <c r="L49">
        <v>1368</v>
      </c>
      <c r="N49">
        <v>1011</v>
      </c>
      <c r="O49" t="s">
        <v>190</v>
      </c>
      <c r="P49" t="s">
        <v>190</v>
      </c>
      <c r="Q49">
        <v>1</v>
      </c>
      <c r="W49">
        <v>0</v>
      </c>
      <c r="X49">
        <v>71529876</v>
      </c>
      <c r="Y49">
        <f t="shared" si="11"/>
        <v>24.16</v>
      </c>
      <c r="AA49">
        <v>0</v>
      </c>
      <c r="AB49">
        <v>5.13</v>
      </c>
      <c r="AC49">
        <v>7.0000000000000007E-2</v>
      </c>
      <c r="AD49">
        <v>0</v>
      </c>
      <c r="AE49">
        <v>0</v>
      </c>
      <c r="AF49">
        <v>5.13</v>
      </c>
      <c r="AG49">
        <v>7.0000000000000007E-2</v>
      </c>
      <c r="AH49">
        <v>0</v>
      </c>
      <c r="AI49">
        <v>1</v>
      </c>
      <c r="AJ49">
        <v>1</v>
      </c>
      <c r="AK49">
        <v>1</v>
      </c>
      <c r="AL49">
        <v>1</v>
      </c>
      <c r="AM49">
        <v>-2</v>
      </c>
      <c r="AN49">
        <v>0</v>
      </c>
      <c r="AO49">
        <v>1</v>
      </c>
      <c r="AP49">
        <v>0</v>
      </c>
      <c r="AQ49">
        <v>0</v>
      </c>
      <c r="AR49">
        <v>0</v>
      </c>
      <c r="AS49" t="s">
        <v>3</v>
      </c>
      <c r="AT49">
        <v>24.16</v>
      </c>
      <c r="AU49" t="s">
        <v>3</v>
      </c>
      <c r="AV49">
        <v>0</v>
      </c>
      <c r="AW49">
        <v>2</v>
      </c>
      <c r="AX49">
        <v>76396533</v>
      </c>
      <c r="AY49">
        <v>1</v>
      </c>
      <c r="AZ49">
        <v>0</v>
      </c>
      <c r="BA49">
        <v>41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CV49">
        <v>0</v>
      </c>
      <c r="CW49">
        <f>ROUND(Y49*Source!I85*DO49,9)</f>
        <v>0</v>
      </c>
      <c r="CX49">
        <f>ROUND(Y49*Source!I85,9)</f>
        <v>9.6639999999999997</v>
      </c>
      <c r="CY49">
        <f>AB49</f>
        <v>5.13</v>
      </c>
      <c r="CZ49">
        <f>AF49</f>
        <v>5.13</v>
      </c>
      <c r="DA49">
        <f>AJ49</f>
        <v>1</v>
      </c>
      <c r="DB49">
        <f t="shared" si="12"/>
        <v>123.94</v>
      </c>
      <c r="DC49">
        <f t="shared" si="13"/>
        <v>1.69</v>
      </c>
      <c r="DD49" t="s">
        <v>3</v>
      </c>
      <c r="DE49" t="s">
        <v>3</v>
      </c>
      <c r="DF49">
        <f t="shared" si="14"/>
        <v>0</v>
      </c>
      <c r="DG49">
        <f t="shared" si="15"/>
        <v>49.58</v>
      </c>
      <c r="DH49">
        <f t="shared" si="16"/>
        <v>0.68</v>
      </c>
      <c r="DI49">
        <f t="shared" si="17"/>
        <v>0</v>
      </c>
      <c r="DJ49">
        <f>DG49</f>
        <v>49.58</v>
      </c>
      <c r="DK49">
        <v>0</v>
      </c>
      <c r="DL49" t="s">
        <v>3</v>
      </c>
      <c r="DM49">
        <v>0</v>
      </c>
      <c r="DN49" t="s">
        <v>3</v>
      </c>
      <c r="DO49">
        <v>0</v>
      </c>
    </row>
    <row r="50" spans="1:119" x14ac:dyDescent="0.2">
      <c r="A50">
        <f>ROW(Source!A85)</f>
        <v>85</v>
      </c>
      <c r="B50">
        <v>76395835</v>
      </c>
      <c r="C50">
        <v>76396521</v>
      </c>
      <c r="D50">
        <v>75876675</v>
      </c>
      <c r="E50">
        <v>1</v>
      </c>
      <c r="F50">
        <v>1</v>
      </c>
      <c r="G50">
        <v>15872964</v>
      </c>
      <c r="H50">
        <v>3</v>
      </c>
      <c r="I50" t="s">
        <v>248</v>
      </c>
      <c r="J50" t="s">
        <v>249</v>
      </c>
      <c r="K50" t="s">
        <v>250</v>
      </c>
      <c r="L50">
        <v>1348</v>
      </c>
      <c r="N50">
        <v>1009</v>
      </c>
      <c r="O50" t="s">
        <v>211</v>
      </c>
      <c r="P50" t="s">
        <v>211</v>
      </c>
      <c r="Q50">
        <v>1000</v>
      </c>
      <c r="W50">
        <v>0</v>
      </c>
      <c r="X50">
        <v>1717267166</v>
      </c>
      <c r="Y50">
        <f t="shared" si="11"/>
        <v>2.06E-2</v>
      </c>
      <c r="AA50">
        <v>75003.520000000004</v>
      </c>
      <c r="AB50">
        <v>0</v>
      </c>
      <c r="AC50">
        <v>0</v>
      </c>
      <c r="AD50">
        <v>0</v>
      </c>
      <c r="AE50">
        <v>75003.520000000004</v>
      </c>
      <c r="AF50">
        <v>0</v>
      </c>
      <c r="AG50">
        <v>0</v>
      </c>
      <c r="AH50">
        <v>0</v>
      </c>
      <c r="AI50">
        <v>1</v>
      </c>
      <c r="AJ50">
        <v>1</v>
      </c>
      <c r="AK50">
        <v>1</v>
      </c>
      <c r="AL50">
        <v>1</v>
      </c>
      <c r="AM50">
        <v>-2</v>
      </c>
      <c r="AN50">
        <v>0</v>
      </c>
      <c r="AO50">
        <v>1</v>
      </c>
      <c r="AP50">
        <v>0</v>
      </c>
      <c r="AQ50">
        <v>0</v>
      </c>
      <c r="AR50">
        <v>0</v>
      </c>
      <c r="AS50" t="s">
        <v>3</v>
      </c>
      <c r="AT50">
        <v>2.06E-2</v>
      </c>
      <c r="AU50" t="s">
        <v>3</v>
      </c>
      <c r="AV50">
        <v>0</v>
      </c>
      <c r="AW50">
        <v>2</v>
      </c>
      <c r="AX50">
        <v>76396534</v>
      </c>
      <c r="AY50">
        <v>1</v>
      </c>
      <c r="AZ50">
        <v>0</v>
      </c>
      <c r="BA50">
        <v>42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CV50">
        <v>0</v>
      </c>
      <c r="CW50">
        <v>0</v>
      </c>
      <c r="CX50">
        <f>ROUND(Y50*Source!I85,9)</f>
        <v>8.2400000000000008E-3</v>
      </c>
      <c r="CY50">
        <f t="shared" ref="CY50:CY57" si="22">AA50</f>
        <v>75003.520000000004</v>
      </c>
      <c r="CZ50">
        <f t="shared" ref="CZ50:CZ57" si="23">AE50</f>
        <v>75003.520000000004</v>
      </c>
      <c r="DA50">
        <f t="shared" ref="DA50:DA57" si="24">AI50</f>
        <v>1</v>
      </c>
      <c r="DB50">
        <f t="shared" si="12"/>
        <v>1545.07</v>
      </c>
      <c r="DC50">
        <f t="shared" si="13"/>
        <v>0</v>
      </c>
      <c r="DD50" t="s">
        <v>3</v>
      </c>
      <c r="DE50" t="s">
        <v>3</v>
      </c>
      <c r="DF50">
        <f t="shared" si="14"/>
        <v>618.03</v>
      </c>
      <c r="DG50">
        <f t="shared" si="15"/>
        <v>0</v>
      </c>
      <c r="DH50">
        <f t="shared" si="16"/>
        <v>0</v>
      </c>
      <c r="DI50">
        <f t="shared" si="17"/>
        <v>0</v>
      </c>
      <c r="DJ50">
        <f t="shared" ref="DJ50:DJ57" si="25">DF50</f>
        <v>618.03</v>
      </c>
      <c r="DK50">
        <v>0</v>
      </c>
      <c r="DL50" t="s">
        <v>3</v>
      </c>
      <c r="DM50">
        <v>0</v>
      </c>
      <c r="DN50" t="s">
        <v>3</v>
      </c>
      <c r="DO50">
        <v>0</v>
      </c>
    </row>
    <row r="51" spans="1:119" x14ac:dyDescent="0.2">
      <c r="A51">
        <f>ROW(Source!A85)</f>
        <v>85</v>
      </c>
      <c r="B51">
        <v>76395835</v>
      </c>
      <c r="C51">
        <v>76396521</v>
      </c>
      <c r="D51">
        <v>75877070</v>
      </c>
      <c r="E51">
        <v>1</v>
      </c>
      <c r="F51">
        <v>1</v>
      </c>
      <c r="G51">
        <v>15872964</v>
      </c>
      <c r="H51">
        <v>3</v>
      </c>
      <c r="I51" t="s">
        <v>251</v>
      </c>
      <c r="J51" t="s">
        <v>252</v>
      </c>
      <c r="K51" t="s">
        <v>253</v>
      </c>
      <c r="L51">
        <v>1346</v>
      </c>
      <c r="N51">
        <v>1009</v>
      </c>
      <c r="O51" t="s">
        <v>202</v>
      </c>
      <c r="P51" t="s">
        <v>202</v>
      </c>
      <c r="Q51">
        <v>1</v>
      </c>
      <c r="W51">
        <v>0</v>
      </c>
      <c r="X51">
        <v>310133432</v>
      </c>
      <c r="Y51">
        <f t="shared" si="11"/>
        <v>0.96599999999999997</v>
      </c>
      <c r="AA51">
        <v>139.9</v>
      </c>
      <c r="AB51">
        <v>0</v>
      </c>
      <c r="AC51">
        <v>0</v>
      </c>
      <c r="AD51">
        <v>0</v>
      </c>
      <c r="AE51">
        <v>139.9</v>
      </c>
      <c r="AF51">
        <v>0</v>
      </c>
      <c r="AG51">
        <v>0</v>
      </c>
      <c r="AH51">
        <v>0</v>
      </c>
      <c r="AI51">
        <v>1</v>
      </c>
      <c r="AJ51">
        <v>1</v>
      </c>
      <c r="AK51">
        <v>1</v>
      </c>
      <c r="AL51">
        <v>1</v>
      </c>
      <c r="AM51">
        <v>-2</v>
      </c>
      <c r="AN51">
        <v>0</v>
      </c>
      <c r="AO51">
        <v>1</v>
      </c>
      <c r="AP51">
        <v>0</v>
      </c>
      <c r="AQ51">
        <v>0</v>
      </c>
      <c r="AR51">
        <v>0</v>
      </c>
      <c r="AS51" t="s">
        <v>3</v>
      </c>
      <c r="AT51">
        <v>0.96599999999999997</v>
      </c>
      <c r="AU51" t="s">
        <v>3</v>
      </c>
      <c r="AV51">
        <v>0</v>
      </c>
      <c r="AW51">
        <v>2</v>
      </c>
      <c r="AX51">
        <v>76396535</v>
      </c>
      <c r="AY51">
        <v>1</v>
      </c>
      <c r="AZ51">
        <v>0</v>
      </c>
      <c r="BA51">
        <v>43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CV51">
        <v>0</v>
      </c>
      <c r="CW51">
        <v>0</v>
      </c>
      <c r="CX51">
        <f>ROUND(Y51*Source!I85,9)</f>
        <v>0.38640000000000002</v>
      </c>
      <c r="CY51">
        <f t="shared" si="22"/>
        <v>139.9</v>
      </c>
      <c r="CZ51">
        <f t="shared" si="23"/>
        <v>139.9</v>
      </c>
      <c r="DA51">
        <f t="shared" si="24"/>
        <v>1</v>
      </c>
      <c r="DB51">
        <f t="shared" si="12"/>
        <v>135.13999999999999</v>
      </c>
      <c r="DC51">
        <f t="shared" si="13"/>
        <v>0</v>
      </c>
      <c r="DD51" t="s">
        <v>3</v>
      </c>
      <c r="DE51" t="s">
        <v>3</v>
      </c>
      <c r="DF51">
        <f t="shared" si="14"/>
        <v>54.06</v>
      </c>
      <c r="DG51">
        <f t="shared" si="15"/>
        <v>0</v>
      </c>
      <c r="DH51">
        <f t="shared" si="16"/>
        <v>0</v>
      </c>
      <c r="DI51">
        <f t="shared" si="17"/>
        <v>0</v>
      </c>
      <c r="DJ51">
        <f t="shared" si="25"/>
        <v>54.06</v>
      </c>
      <c r="DK51">
        <v>0</v>
      </c>
      <c r="DL51" t="s">
        <v>3</v>
      </c>
      <c r="DM51">
        <v>0</v>
      </c>
      <c r="DN51" t="s">
        <v>3</v>
      </c>
      <c r="DO51">
        <v>0</v>
      </c>
    </row>
    <row r="52" spans="1:119" x14ac:dyDescent="0.2">
      <c r="A52">
        <f>ROW(Source!A85)</f>
        <v>85</v>
      </c>
      <c r="B52">
        <v>76395835</v>
      </c>
      <c r="C52">
        <v>76396521</v>
      </c>
      <c r="D52">
        <v>75877140</v>
      </c>
      <c r="E52">
        <v>1</v>
      </c>
      <c r="F52">
        <v>1</v>
      </c>
      <c r="G52">
        <v>15872964</v>
      </c>
      <c r="H52">
        <v>3</v>
      </c>
      <c r="I52" t="s">
        <v>203</v>
      </c>
      <c r="J52" t="s">
        <v>204</v>
      </c>
      <c r="K52" t="s">
        <v>205</v>
      </c>
      <c r="L52">
        <v>1354</v>
      </c>
      <c r="N52">
        <v>1010</v>
      </c>
      <c r="O52" t="s">
        <v>18</v>
      </c>
      <c r="P52" t="s">
        <v>18</v>
      </c>
      <c r="Q52">
        <v>1</v>
      </c>
      <c r="W52">
        <v>0</v>
      </c>
      <c r="X52">
        <v>136717287</v>
      </c>
      <c r="Y52">
        <f t="shared" si="11"/>
        <v>580</v>
      </c>
      <c r="AA52">
        <v>1.23</v>
      </c>
      <c r="AB52">
        <v>0</v>
      </c>
      <c r="AC52">
        <v>0</v>
      </c>
      <c r="AD52">
        <v>0</v>
      </c>
      <c r="AE52">
        <v>1.23</v>
      </c>
      <c r="AF52">
        <v>0</v>
      </c>
      <c r="AG52">
        <v>0</v>
      </c>
      <c r="AH52">
        <v>0</v>
      </c>
      <c r="AI52">
        <v>1</v>
      </c>
      <c r="AJ52">
        <v>1</v>
      </c>
      <c r="AK52">
        <v>1</v>
      </c>
      <c r="AL52">
        <v>1</v>
      </c>
      <c r="AM52">
        <v>-2</v>
      </c>
      <c r="AN52">
        <v>0</v>
      </c>
      <c r="AO52">
        <v>1</v>
      </c>
      <c r="AP52">
        <v>0</v>
      </c>
      <c r="AQ52">
        <v>0</v>
      </c>
      <c r="AR52">
        <v>0</v>
      </c>
      <c r="AS52" t="s">
        <v>3</v>
      </c>
      <c r="AT52">
        <v>580</v>
      </c>
      <c r="AU52" t="s">
        <v>3</v>
      </c>
      <c r="AV52">
        <v>0</v>
      </c>
      <c r="AW52">
        <v>2</v>
      </c>
      <c r="AX52">
        <v>76396536</v>
      </c>
      <c r="AY52">
        <v>1</v>
      </c>
      <c r="AZ52">
        <v>0</v>
      </c>
      <c r="BA52">
        <v>44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CV52">
        <v>0</v>
      </c>
      <c r="CW52">
        <v>0</v>
      </c>
      <c r="CX52">
        <f>ROUND(Y52*Source!I85,9)</f>
        <v>232</v>
      </c>
      <c r="CY52">
        <f t="shared" si="22"/>
        <v>1.23</v>
      </c>
      <c r="CZ52">
        <f t="shared" si="23"/>
        <v>1.23</v>
      </c>
      <c r="DA52">
        <f t="shared" si="24"/>
        <v>1</v>
      </c>
      <c r="DB52">
        <f t="shared" si="12"/>
        <v>713.4</v>
      </c>
      <c r="DC52">
        <f t="shared" si="13"/>
        <v>0</v>
      </c>
      <c r="DD52" t="s">
        <v>3</v>
      </c>
      <c r="DE52" t="s">
        <v>3</v>
      </c>
      <c r="DF52">
        <f t="shared" si="14"/>
        <v>285.36</v>
      </c>
      <c r="DG52">
        <f t="shared" si="15"/>
        <v>0</v>
      </c>
      <c r="DH52">
        <f t="shared" si="16"/>
        <v>0</v>
      </c>
      <c r="DI52">
        <f t="shared" si="17"/>
        <v>0</v>
      </c>
      <c r="DJ52">
        <f t="shared" si="25"/>
        <v>285.36</v>
      </c>
      <c r="DK52">
        <v>0</v>
      </c>
      <c r="DL52" t="s">
        <v>3</v>
      </c>
      <c r="DM52">
        <v>0</v>
      </c>
      <c r="DN52" t="s">
        <v>3</v>
      </c>
      <c r="DO52">
        <v>0</v>
      </c>
    </row>
    <row r="53" spans="1:119" x14ac:dyDescent="0.2">
      <c r="A53">
        <f>ROW(Source!A85)</f>
        <v>85</v>
      </c>
      <c r="B53">
        <v>76395835</v>
      </c>
      <c r="C53">
        <v>76396521</v>
      </c>
      <c r="D53">
        <v>75881998</v>
      </c>
      <c r="E53">
        <v>1</v>
      </c>
      <c r="F53">
        <v>1</v>
      </c>
      <c r="G53">
        <v>15872964</v>
      </c>
      <c r="H53">
        <v>3</v>
      </c>
      <c r="I53" t="s">
        <v>156</v>
      </c>
      <c r="J53" t="s">
        <v>158</v>
      </c>
      <c r="K53" t="s">
        <v>157</v>
      </c>
      <c r="L53">
        <v>1301</v>
      </c>
      <c r="N53">
        <v>1003</v>
      </c>
      <c r="O53" t="s">
        <v>115</v>
      </c>
      <c r="P53" t="s">
        <v>115</v>
      </c>
      <c r="Q53">
        <v>1</v>
      </c>
      <c r="W53">
        <v>0</v>
      </c>
      <c r="X53">
        <v>-153682322</v>
      </c>
      <c r="Y53">
        <f t="shared" si="11"/>
        <v>102</v>
      </c>
      <c r="AA53">
        <v>33.31</v>
      </c>
      <c r="AB53">
        <v>0</v>
      </c>
      <c r="AC53">
        <v>0</v>
      </c>
      <c r="AD53">
        <v>0</v>
      </c>
      <c r="AE53">
        <v>33.31</v>
      </c>
      <c r="AF53">
        <v>0</v>
      </c>
      <c r="AG53">
        <v>0</v>
      </c>
      <c r="AH53">
        <v>0</v>
      </c>
      <c r="AI53">
        <v>1</v>
      </c>
      <c r="AJ53">
        <v>1</v>
      </c>
      <c r="AK53">
        <v>1</v>
      </c>
      <c r="AL53">
        <v>1</v>
      </c>
      <c r="AM53">
        <v>-2</v>
      </c>
      <c r="AN53">
        <v>0</v>
      </c>
      <c r="AO53">
        <v>1</v>
      </c>
      <c r="AP53">
        <v>0</v>
      </c>
      <c r="AQ53">
        <v>0</v>
      </c>
      <c r="AR53">
        <v>0</v>
      </c>
      <c r="AS53" t="s">
        <v>3</v>
      </c>
      <c r="AT53">
        <v>102</v>
      </c>
      <c r="AU53" t="s">
        <v>3</v>
      </c>
      <c r="AV53">
        <v>0</v>
      </c>
      <c r="AW53">
        <v>2</v>
      </c>
      <c r="AX53">
        <v>76396537</v>
      </c>
      <c r="AY53">
        <v>1</v>
      </c>
      <c r="AZ53">
        <v>0</v>
      </c>
      <c r="BA53">
        <v>45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CV53">
        <v>0</v>
      </c>
      <c r="CW53">
        <v>0</v>
      </c>
      <c r="CX53">
        <f>ROUND(Y53*Source!I85,9)</f>
        <v>40.799999999999997</v>
      </c>
      <c r="CY53">
        <f t="shared" si="22"/>
        <v>33.31</v>
      </c>
      <c r="CZ53">
        <f t="shared" si="23"/>
        <v>33.31</v>
      </c>
      <c r="DA53">
        <f t="shared" si="24"/>
        <v>1</v>
      </c>
      <c r="DB53">
        <f t="shared" si="12"/>
        <v>3397.62</v>
      </c>
      <c r="DC53">
        <f t="shared" si="13"/>
        <v>0</v>
      </c>
      <c r="DD53" t="s">
        <v>3</v>
      </c>
      <c r="DE53" t="s">
        <v>3</v>
      </c>
      <c r="DF53">
        <f t="shared" si="14"/>
        <v>1359.05</v>
      </c>
      <c r="DG53">
        <f t="shared" si="15"/>
        <v>0</v>
      </c>
      <c r="DH53">
        <f t="shared" si="16"/>
        <v>0</v>
      </c>
      <c r="DI53">
        <f t="shared" si="17"/>
        <v>0</v>
      </c>
      <c r="DJ53">
        <f t="shared" si="25"/>
        <v>1359.05</v>
      </c>
      <c r="DK53">
        <v>0</v>
      </c>
      <c r="DL53" t="s">
        <v>3</v>
      </c>
      <c r="DM53">
        <v>0</v>
      </c>
      <c r="DN53" t="s">
        <v>3</v>
      </c>
      <c r="DO53">
        <v>0</v>
      </c>
    </row>
    <row r="54" spans="1:119" x14ac:dyDescent="0.2">
      <c r="A54">
        <f>ROW(Source!A85)</f>
        <v>85</v>
      </c>
      <c r="B54">
        <v>76395835</v>
      </c>
      <c r="C54">
        <v>76396521</v>
      </c>
      <c r="D54">
        <v>75881998</v>
      </c>
      <c r="E54">
        <v>1</v>
      </c>
      <c r="F54">
        <v>1</v>
      </c>
      <c r="G54">
        <v>15872964</v>
      </c>
      <c r="H54">
        <v>3</v>
      </c>
      <c r="I54" t="s">
        <v>156</v>
      </c>
      <c r="J54" t="s">
        <v>158</v>
      </c>
      <c r="K54" t="s">
        <v>157</v>
      </c>
      <c r="L54">
        <v>1301</v>
      </c>
      <c r="N54">
        <v>1003</v>
      </c>
      <c r="O54" t="s">
        <v>115</v>
      </c>
      <c r="P54" t="s">
        <v>115</v>
      </c>
      <c r="Q54">
        <v>1</v>
      </c>
      <c r="W54">
        <v>0</v>
      </c>
      <c r="X54">
        <v>-153682322</v>
      </c>
      <c r="Y54">
        <f t="shared" si="11"/>
        <v>-102</v>
      </c>
      <c r="AA54">
        <v>33.31</v>
      </c>
      <c r="AB54">
        <v>0</v>
      </c>
      <c r="AC54">
        <v>0</v>
      </c>
      <c r="AD54">
        <v>0</v>
      </c>
      <c r="AE54">
        <v>33.31</v>
      </c>
      <c r="AF54">
        <v>0</v>
      </c>
      <c r="AG54">
        <v>0</v>
      </c>
      <c r="AH54">
        <v>0</v>
      </c>
      <c r="AI54">
        <v>1</v>
      </c>
      <c r="AJ54">
        <v>1</v>
      </c>
      <c r="AK54">
        <v>1</v>
      </c>
      <c r="AL54">
        <v>1</v>
      </c>
      <c r="AM54">
        <v>0</v>
      </c>
      <c r="AN54">
        <v>0</v>
      </c>
      <c r="AO54">
        <v>0</v>
      </c>
      <c r="AP54">
        <v>1</v>
      </c>
      <c r="AQ54">
        <v>0</v>
      </c>
      <c r="AR54">
        <v>0</v>
      </c>
      <c r="AS54" t="s">
        <v>3</v>
      </c>
      <c r="AT54">
        <v>-102</v>
      </c>
      <c r="AU54" t="s">
        <v>3</v>
      </c>
      <c r="AV54">
        <v>0</v>
      </c>
      <c r="AW54">
        <v>1</v>
      </c>
      <c r="AX54">
        <v>-1</v>
      </c>
      <c r="AY54">
        <v>0</v>
      </c>
      <c r="AZ54">
        <v>0</v>
      </c>
      <c r="BA54" t="s">
        <v>3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CV54">
        <v>0</v>
      </c>
      <c r="CW54">
        <v>0</v>
      </c>
      <c r="CX54">
        <f>ROUND(Y54*Source!I85,9)</f>
        <v>-40.799999999999997</v>
      </c>
      <c r="CY54">
        <f t="shared" si="22"/>
        <v>33.31</v>
      </c>
      <c r="CZ54">
        <f t="shared" si="23"/>
        <v>33.31</v>
      </c>
      <c r="DA54">
        <f t="shared" si="24"/>
        <v>1</v>
      </c>
      <c r="DB54">
        <f t="shared" si="12"/>
        <v>-3397.62</v>
      </c>
      <c r="DC54">
        <f t="shared" si="13"/>
        <v>0</v>
      </c>
      <c r="DD54" t="s">
        <v>3</v>
      </c>
      <c r="DE54" t="s">
        <v>3</v>
      </c>
      <c r="DF54">
        <f t="shared" si="14"/>
        <v>-1359.05</v>
      </c>
      <c r="DG54">
        <f t="shared" si="15"/>
        <v>0</v>
      </c>
      <c r="DH54">
        <f t="shared" si="16"/>
        <v>0</v>
      </c>
      <c r="DI54">
        <f t="shared" si="17"/>
        <v>0</v>
      </c>
      <c r="DJ54">
        <f t="shared" si="25"/>
        <v>-1359.05</v>
      </c>
      <c r="DK54">
        <v>0</v>
      </c>
      <c r="DL54" t="s">
        <v>3</v>
      </c>
      <c r="DM54">
        <v>0</v>
      </c>
      <c r="DN54" t="s">
        <v>3</v>
      </c>
      <c r="DO54">
        <v>0</v>
      </c>
    </row>
    <row r="55" spans="1:119" x14ac:dyDescent="0.2">
      <c r="A55">
        <f>ROW(Source!A85)</f>
        <v>85</v>
      </c>
      <c r="B55">
        <v>76395835</v>
      </c>
      <c r="C55">
        <v>76396521</v>
      </c>
      <c r="D55">
        <v>75885189</v>
      </c>
      <c r="E55">
        <v>1</v>
      </c>
      <c r="F55">
        <v>1</v>
      </c>
      <c r="G55">
        <v>15872964</v>
      </c>
      <c r="H55">
        <v>3</v>
      </c>
      <c r="I55" t="s">
        <v>254</v>
      </c>
      <c r="J55" t="s">
        <v>255</v>
      </c>
      <c r="K55" t="s">
        <v>256</v>
      </c>
      <c r="L55">
        <v>1354</v>
      </c>
      <c r="N55">
        <v>1010</v>
      </c>
      <c r="O55" t="s">
        <v>18</v>
      </c>
      <c r="P55" t="s">
        <v>18</v>
      </c>
      <c r="Q55">
        <v>1</v>
      </c>
      <c r="W55">
        <v>0</v>
      </c>
      <c r="X55">
        <v>-1036617086</v>
      </c>
      <c r="Y55">
        <f t="shared" si="11"/>
        <v>290</v>
      </c>
      <c r="AA55">
        <v>3.44</v>
      </c>
      <c r="AB55">
        <v>0</v>
      </c>
      <c r="AC55">
        <v>0</v>
      </c>
      <c r="AD55">
        <v>0</v>
      </c>
      <c r="AE55">
        <v>3.44</v>
      </c>
      <c r="AF55">
        <v>0</v>
      </c>
      <c r="AG55">
        <v>0</v>
      </c>
      <c r="AH55">
        <v>0</v>
      </c>
      <c r="AI55">
        <v>1</v>
      </c>
      <c r="AJ55">
        <v>1</v>
      </c>
      <c r="AK55">
        <v>1</v>
      </c>
      <c r="AL55">
        <v>1</v>
      </c>
      <c r="AM55">
        <v>-2</v>
      </c>
      <c r="AN55">
        <v>0</v>
      </c>
      <c r="AO55">
        <v>1</v>
      </c>
      <c r="AP55">
        <v>0</v>
      </c>
      <c r="AQ55">
        <v>0</v>
      </c>
      <c r="AR55">
        <v>0</v>
      </c>
      <c r="AS55" t="s">
        <v>3</v>
      </c>
      <c r="AT55">
        <v>290</v>
      </c>
      <c r="AU55" t="s">
        <v>3</v>
      </c>
      <c r="AV55">
        <v>0</v>
      </c>
      <c r="AW55">
        <v>2</v>
      </c>
      <c r="AX55">
        <v>76396538</v>
      </c>
      <c r="AY55">
        <v>1</v>
      </c>
      <c r="AZ55">
        <v>0</v>
      </c>
      <c r="BA55">
        <v>46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CV55">
        <v>0</v>
      </c>
      <c r="CW55">
        <v>0</v>
      </c>
      <c r="CX55">
        <f>ROUND(Y55*Source!I85,9)</f>
        <v>116</v>
      </c>
      <c r="CY55">
        <f t="shared" si="22"/>
        <v>3.44</v>
      </c>
      <c r="CZ55">
        <f t="shared" si="23"/>
        <v>3.44</v>
      </c>
      <c r="DA55">
        <f t="shared" si="24"/>
        <v>1</v>
      </c>
      <c r="DB55">
        <f t="shared" si="12"/>
        <v>997.6</v>
      </c>
      <c r="DC55">
        <f t="shared" si="13"/>
        <v>0</v>
      </c>
      <c r="DD55" t="s">
        <v>3</v>
      </c>
      <c r="DE55" t="s">
        <v>3</v>
      </c>
      <c r="DF55">
        <f t="shared" si="14"/>
        <v>399.04</v>
      </c>
      <c r="DG55">
        <f t="shared" si="15"/>
        <v>0</v>
      </c>
      <c r="DH55">
        <f t="shared" si="16"/>
        <v>0</v>
      </c>
      <c r="DI55">
        <f t="shared" si="17"/>
        <v>0</v>
      </c>
      <c r="DJ55">
        <f t="shared" si="25"/>
        <v>399.04</v>
      </c>
      <c r="DK55">
        <v>0</v>
      </c>
      <c r="DL55" t="s">
        <v>3</v>
      </c>
      <c r="DM55">
        <v>0</v>
      </c>
      <c r="DN55" t="s">
        <v>3</v>
      </c>
      <c r="DO55">
        <v>0</v>
      </c>
    </row>
    <row r="56" spans="1:119" x14ac:dyDescent="0.2">
      <c r="A56">
        <f>ROW(Source!A85)</f>
        <v>85</v>
      </c>
      <c r="B56">
        <v>76395835</v>
      </c>
      <c r="C56">
        <v>76396521</v>
      </c>
      <c r="D56">
        <v>75884951</v>
      </c>
      <c r="E56">
        <v>1</v>
      </c>
      <c r="F56">
        <v>1</v>
      </c>
      <c r="G56">
        <v>15872964</v>
      </c>
      <c r="H56">
        <v>3</v>
      </c>
      <c r="I56" t="s">
        <v>257</v>
      </c>
      <c r="J56" t="s">
        <v>258</v>
      </c>
      <c r="K56" t="s">
        <v>259</v>
      </c>
      <c r="L56">
        <v>1354</v>
      </c>
      <c r="N56">
        <v>1010</v>
      </c>
      <c r="O56" t="s">
        <v>18</v>
      </c>
      <c r="P56" t="s">
        <v>18</v>
      </c>
      <c r="Q56">
        <v>1</v>
      </c>
      <c r="W56">
        <v>0</v>
      </c>
      <c r="X56">
        <v>1218472550</v>
      </c>
      <c r="Y56">
        <f t="shared" si="11"/>
        <v>10</v>
      </c>
      <c r="AA56">
        <v>58.95</v>
      </c>
      <c r="AB56">
        <v>0</v>
      </c>
      <c r="AC56">
        <v>0</v>
      </c>
      <c r="AD56">
        <v>0</v>
      </c>
      <c r="AE56">
        <v>58.95</v>
      </c>
      <c r="AF56">
        <v>0</v>
      </c>
      <c r="AG56">
        <v>0</v>
      </c>
      <c r="AH56">
        <v>0</v>
      </c>
      <c r="AI56">
        <v>1</v>
      </c>
      <c r="AJ56">
        <v>1</v>
      </c>
      <c r="AK56">
        <v>1</v>
      </c>
      <c r="AL56">
        <v>1</v>
      </c>
      <c r="AM56">
        <v>-2</v>
      </c>
      <c r="AN56">
        <v>0</v>
      </c>
      <c r="AO56">
        <v>1</v>
      </c>
      <c r="AP56">
        <v>0</v>
      </c>
      <c r="AQ56">
        <v>0</v>
      </c>
      <c r="AR56">
        <v>0</v>
      </c>
      <c r="AS56" t="s">
        <v>3</v>
      </c>
      <c r="AT56">
        <v>10</v>
      </c>
      <c r="AU56" t="s">
        <v>3</v>
      </c>
      <c r="AV56">
        <v>0</v>
      </c>
      <c r="AW56">
        <v>2</v>
      </c>
      <c r="AX56">
        <v>76396539</v>
      </c>
      <c r="AY56">
        <v>1</v>
      </c>
      <c r="AZ56">
        <v>0</v>
      </c>
      <c r="BA56">
        <v>47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CV56">
        <v>0</v>
      </c>
      <c r="CW56">
        <v>0</v>
      </c>
      <c r="CX56">
        <f>ROUND(Y56*Source!I85,9)</f>
        <v>4</v>
      </c>
      <c r="CY56">
        <f t="shared" si="22"/>
        <v>58.95</v>
      </c>
      <c r="CZ56">
        <f t="shared" si="23"/>
        <v>58.95</v>
      </c>
      <c r="DA56">
        <f t="shared" si="24"/>
        <v>1</v>
      </c>
      <c r="DB56">
        <f t="shared" si="12"/>
        <v>589.5</v>
      </c>
      <c r="DC56">
        <f t="shared" si="13"/>
        <v>0</v>
      </c>
      <c r="DD56" t="s">
        <v>3</v>
      </c>
      <c r="DE56" t="s">
        <v>3</v>
      </c>
      <c r="DF56">
        <f t="shared" si="14"/>
        <v>235.8</v>
      </c>
      <c r="DG56">
        <f t="shared" si="15"/>
        <v>0</v>
      </c>
      <c r="DH56">
        <f t="shared" si="16"/>
        <v>0</v>
      </c>
      <c r="DI56">
        <f t="shared" si="17"/>
        <v>0</v>
      </c>
      <c r="DJ56">
        <f t="shared" si="25"/>
        <v>235.8</v>
      </c>
      <c r="DK56">
        <v>0</v>
      </c>
      <c r="DL56" t="s">
        <v>3</v>
      </c>
      <c r="DM56">
        <v>0</v>
      </c>
      <c r="DN56" t="s">
        <v>3</v>
      </c>
      <c r="DO56">
        <v>0</v>
      </c>
    </row>
    <row r="57" spans="1:119" x14ac:dyDescent="0.2">
      <c r="A57">
        <f>ROW(Source!A85)</f>
        <v>85</v>
      </c>
      <c r="B57">
        <v>76395835</v>
      </c>
      <c r="C57">
        <v>76396521</v>
      </c>
      <c r="D57">
        <v>75880266</v>
      </c>
      <c r="E57">
        <v>1</v>
      </c>
      <c r="F57">
        <v>1</v>
      </c>
      <c r="G57">
        <v>15872964</v>
      </c>
      <c r="H57">
        <v>3</v>
      </c>
      <c r="I57" t="s">
        <v>260</v>
      </c>
      <c r="J57" t="s">
        <v>261</v>
      </c>
      <c r="K57" t="s">
        <v>262</v>
      </c>
      <c r="L57">
        <v>1354</v>
      </c>
      <c r="N57">
        <v>1010</v>
      </c>
      <c r="O57" t="s">
        <v>18</v>
      </c>
      <c r="P57" t="s">
        <v>18</v>
      </c>
      <c r="Q57">
        <v>1</v>
      </c>
      <c r="W57">
        <v>0</v>
      </c>
      <c r="X57">
        <v>740785112</v>
      </c>
      <c r="Y57">
        <f t="shared" si="11"/>
        <v>7.25</v>
      </c>
      <c r="AA57">
        <v>371.45</v>
      </c>
      <c r="AB57">
        <v>0</v>
      </c>
      <c r="AC57">
        <v>0</v>
      </c>
      <c r="AD57">
        <v>0</v>
      </c>
      <c r="AE57">
        <v>371.45</v>
      </c>
      <c r="AF57">
        <v>0</v>
      </c>
      <c r="AG57">
        <v>0</v>
      </c>
      <c r="AH57">
        <v>0</v>
      </c>
      <c r="AI57">
        <v>1</v>
      </c>
      <c r="AJ57">
        <v>1</v>
      </c>
      <c r="AK57">
        <v>1</v>
      </c>
      <c r="AL57">
        <v>1</v>
      </c>
      <c r="AM57">
        <v>-2</v>
      </c>
      <c r="AN57">
        <v>0</v>
      </c>
      <c r="AO57">
        <v>1</v>
      </c>
      <c r="AP57">
        <v>0</v>
      </c>
      <c r="AQ57">
        <v>0</v>
      </c>
      <c r="AR57">
        <v>0</v>
      </c>
      <c r="AS57" t="s">
        <v>3</v>
      </c>
      <c r="AT57">
        <v>7.25</v>
      </c>
      <c r="AU57" t="s">
        <v>3</v>
      </c>
      <c r="AV57">
        <v>0</v>
      </c>
      <c r="AW57">
        <v>2</v>
      </c>
      <c r="AX57">
        <v>76396540</v>
      </c>
      <c r="AY57">
        <v>1</v>
      </c>
      <c r="AZ57">
        <v>0</v>
      </c>
      <c r="BA57">
        <v>48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CV57">
        <v>0</v>
      </c>
      <c r="CW57">
        <v>0</v>
      </c>
      <c r="CX57">
        <f>ROUND(Y57*Source!I85,9)</f>
        <v>2.9</v>
      </c>
      <c r="CY57">
        <f t="shared" si="22"/>
        <v>371.45</v>
      </c>
      <c r="CZ57">
        <f t="shared" si="23"/>
        <v>371.45</v>
      </c>
      <c r="DA57">
        <f t="shared" si="24"/>
        <v>1</v>
      </c>
      <c r="DB57">
        <f t="shared" si="12"/>
        <v>2693.01</v>
      </c>
      <c r="DC57">
        <f t="shared" si="13"/>
        <v>0</v>
      </c>
      <c r="DD57" t="s">
        <v>3</v>
      </c>
      <c r="DE57" t="s">
        <v>3</v>
      </c>
      <c r="DF57">
        <f t="shared" si="14"/>
        <v>1077.21</v>
      </c>
      <c r="DG57">
        <f t="shared" si="15"/>
        <v>0</v>
      </c>
      <c r="DH57">
        <f t="shared" si="16"/>
        <v>0</v>
      </c>
      <c r="DI57">
        <f t="shared" si="17"/>
        <v>0</v>
      </c>
      <c r="DJ57">
        <f t="shared" si="25"/>
        <v>1077.21</v>
      </c>
      <c r="DK57">
        <v>0</v>
      </c>
      <c r="DL57" t="s">
        <v>3</v>
      </c>
      <c r="DM57">
        <v>0</v>
      </c>
      <c r="DN57" t="s">
        <v>3</v>
      </c>
      <c r="DO57">
        <v>0</v>
      </c>
    </row>
    <row r="58" spans="1:119" x14ac:dyDescent="0.2">
      <c r="A58">
        <f>ROW(Source!A87)</f>
        <v>87</v>
      </c>
      <c r="B58">
        <v>76395835</v>
      </c>
      <c r="C58">
        <v>76396542</v>
      </c>
      <c r="D58">
        <v>75874090</v>
      </c>
      <c r="E58">
        <v>15872964</v>
      </c>
      <c r="F58">
        <v>1</v>
      </c>
      <c r="G58">
        <v>15872964</v>
      </c>
      <c r="H58">
        <v>1</v>
      </c>
      <c r="I58" t="s">
        <v>184</v>
      </c>
      <c r="J58" t="s">
        <v>3</v>
      </c>
      <c r="K58" t="s">
        <v>185</v>
      </c>
      <c r="L58">
        <v>1191</v>
      </c>
      <c r="N58">
        <v>1013</v>
      </c>
      <c r="O58" t="s">
        <v>186</v>
      </c>
      <c r="P58" t="s">
        <v>186</v>
      </c>
      <c r="Q58">
        <v>1</v>
      </c>
      <c r="W58">
        <v>0</v>
      </c>
      <c r="X58">
        <v>476480486</v>
      </c>
      <c r="Y58">
        <f t="shared" si="11"/>
        <v>5.92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1</v>
      </c>
      <c r="AJ58">
        <v>1</v>
      </c>
      <c r="AK58">
        <v>1</v>
      </c>
      <c r="AL58">
        <v>1</v>
      </c>
      <c r="AM58">
        <v>-2</v>
      </c>
      <c r="AN58">
        <v>0</v>
      </c>
      <c r="AO58">
        <v>1</v>
      </c>
      <c r="AP58">
        <v>1</v>
      </c>
      <c r="AQ58">
        <v>0</v>
      </c>
      <c r="AR58">
        <v>0</v>
      </c>
      <c r="AS58" t="s">
        <v>3</v>
      </c>
      <c r="AT58">
        <v>5.92</v>
      </c>
      <c r="AU58" t="s">
        <v>3</v>
      </c>
      <c r="AV58">
        <v>1</v>
      </c>
      <c r="AW58">
        <v>2</v>
      </c>
      <c r="AX58">
        <v>76396544</v>
      </c>
      <c r="AY58">
        <v>1</v>
      </c>
      <c r="AZ58">
        <v>0</v>
      </c>
      <c r="BA58">
        <v>49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CU58">
        <f>ROUND(AT58*Source!I87*AH58*AL58,2)</f>
        <v>0</v>
      </c>
      <c r="CV58">
        <f>ROUND(Y58*Source!I87,9)</f>
        <v>1.1839999999999999</v>
      </c>
      <c r="CW58">
        <v>0</v>
      </c>
      <c r="CX58">
        <f>ROUND(Y58*Source!I87,9)</f>
        <v>1.1839999999999999</v>
      </c>
      <c r="CY58">
        <f>AD58</f>
        <v>0</v>
      </c>
      <c r="CZ58">
        <f>AH58</f>
        <v>0</v>
      </c>
      <c r="DA58">
        <f>AL58</f>
        <v>1</v>
      </c>
      <c r="DB58">
        <f t="shared" si="12"/>
        <v>0</v>
      </c>
      <c r="DC58">
        <f t="shared" si="13"/>
        <v>0</v>
      </c>
      <c r="DD58" t="s">
        <v>3</v>
      </c>
      <c r="DE58" t="s">
        <v>3</v>
      </c>
      <c r="DF58">
        <f t="shared" si="14"/>
        <v>0</v>
      </c>
      <c r="DG58">
        <f t="shared" si="15"/>
        <v>0</v>
      </c>
      <c r="DH58">
        <f t="shared" si="16"/>
        <v>0</v>
      </c>
      <c r="DI58">
        <f t="shared" si="17"/>
        <v>0</v>
      </c>
      <c r="DJ58">
        <f>DI58</f>
        <v>0</v>
      </c>
      <c r="DK58">
        <v>0</v>
      </c>
      <c r="DL58" t="s">
        <v>3</v>
      </c>
      <c r="DM58">
        <v>0</v>
      </c>
      <c r="DN58" t="s">
        <v>3</v>
      </c>
      <c r="DO58">
        <v>0</v>
      </c>
    </row>
    <row r="59" spans="1:119" x14ac:dyDescent="0.2">
      <c r="A59">
        <f>ROW(Source!A88)</f>
        <v>88</v>
      </c>
      <c r="B59">
        <v>76395835</v>
      </c>
      <c r="C59">
        <v>76396545</v>
      </c>
      <c r="D59">
        <v>75874090</v>
      </c>
      <c r="E59">
        <v>15872964</v>
      </c>
      <c r="F59">
        <v>1</v>
      </c>
      <c r="G59">
        <v>15872964</v>
      </c>
      <c r="H59">
        <v>1</v>
      </c>
      <c r="I59" t="s">
        <v>184</v>
      </c>
      <c r="J59" t="s">
        <v>3</v>
      </c>
      <c r="K59" t="s">
        <v>185</v>
      </c>
      <c r="L59">
        <v>1191</v>
      </c>
      <c r="N59">
        <v>1013</v>
      </c>
      <c r="O59" t="s">
        <v>186</v>
      </c>
      <c r="P59" t="s">
        <v>186</v>
      </c>
      <c r="Q59">
        <v>1</v>
      </c>
      <c r="W59">
        <v>0</v>
      </c>
      <c r="X59">
        <v>476480486</v>
      </c>
      <c r="Y59">
        <f t="shared" si="11"/>
        <v>7.11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1</v>
      </c>
      <c r="AJ59">
        <v>1</v>
      </c>
      <c r="AK59">
        <v>1</v>
      </c>
      <c r="AL59">
        <v>1</v>
      </c>
      <c r="AM59">
        <v>-2</v>
      </c>
      <c r="AN59">
        <v>0</v>
      </c>
      <c r="AO59">
        <v>1</v>
      </c>
      <c r="AP59">
        <v>0</v>
      </c>
      <c r="AQ59">
        <v>0</v>
      </c>
      <c r="AR59">
        <v>0</v>
      </c>
      <c r="AS59" t="s">
        <v>3</v>
      </c>
      <c r="AT59">
        <v>7.11</v>
      </c>
      <c r="AU59" t="s">
        <v>3</v>
      </c>
      <c r="AV59">
        <v>1</v>
      </c>
      <c r="AW59">
        <v>2</v>
      </c>
      <c r="AX59">
        <v>76396547</v>
      </c>
      <c r="AY59">
        <v>1</v>
      </c>
      <c r="AZ59">
        <v>0</v>
      </c>
      <c r="BA59">
        <v>50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CU59">
        <f>ROUND(AT59*Source!I88*AH59*AL59,2)</f>
        <v>0</v>
      </c>
      <c r="CV59">
        <f>ROUND(Y59*Source!I88,9)</f>
        <v>1.4219999999999999</v>
      </c>
      <c r="CW59">
        <v>0</v>
      </c>
      <c r="CX59">
        <f>ROUND(Y59*Source!I88,9)</f>
        <v>1.4219999999999999</v>
      </c>
      <c r="CY59">
        <f>AD59</f>
        <v>0</v>
      </c>
      <c r="CZ59">
        <f>AH59</f>
        <v>0</v>
      </c>
      <c r="DA59">
        <f>AL59</f>
        <v>1</v>
      </c>
      <c r="DB59">
        <f t="shared" si="12"/>
        <v>0</v>
      </c>
      <c r="DC59">
        <f t="shared" si="13"/>
        <v>0</v>
      </c>
      <c r="DD59" t="s">
        <v>3</v>
      </c>
      <c r="DE59" t="s">
        <v>3</v>
      </c>
      <c r="DF59">
        <f t="shared" si="14"/>
        <v>0</v>
      </c>
      <c r="DG59">
        <f t="shared" si="15"/>
        <v>0</v>
      </c>
      <c r="DH59">
        <f t="shared" si="16"/>
        <v>0</v>
      </c>
      <c r="DI59">
        <f t="shared" si="17"/>
        <v>0</v>
      </c>
      <c r="DJ59">
        <f>DI59</f>
        <v>0</v>
      </c>
      <c r="DK59">
        <v>0</v>
      </c>
      <c r="DL59" t="s">
        <v>3</v>
      </c>
      <c r="DM59">
        <v>0</v>
      </c>
      <c r="DN59" t="s">
        <v>3</v>
      </c>
      <c r="DO59">
        <v>0</v>
      </c>
    </row>
    <row r="60" spans="1:119" x14ac:dyDescent="0.2">
      <c r="A60">
        <f>ROW(Source!A89)</f>
        <v>89</v>
      </c>
      <c r="B60">
        <v>76395835</v>
      </c>
      <c r="C60">
        <v>76396548</v>
      </c>
      <c r="D60">
        <v>75874090</v>
      </c>
      <c r="E60">
        <v>15872964</v>
      </c>
      <c r="F60">
        <v>1</v>
      </c>
      <c r="G60">
        <v>15872964</v>
      </c>
      <c r="H60">
        <v>1</v>
      </c>
      <c r="I60" t="s">
        <v>184</v>
      </c>
      <c r="J60" t="s">
        <v>3</v>
      </c>
      <c r="K60" t="s">
        <v>185</v>
      </c>
      <c r="L60">
        <v>1191</v>
      </c>
      <c r="N60">
        <v>1013</v>
      </c>
      <c r="O60" t="s">
        <v>186</v>
      </c>
      <c r="P60" t="s">
        <v>186</v>
      </c>
      <c r="Q60">
        <v>1</v>
      </c>
      <c r="W60">
        <v>0</v>
      </c>
      <c r="X60">
        <v>476480486</v>
      </c>
      <c r="Y60">
        <f t="shared" si="11"/>
        <v>173.2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1</v>
      </c>
      <c r="AJ60">
        <v>1</v>
      </c>
      <c r="AK60">
        <v>1</v>
      </c>
      <c r="AL60">
        <v>1</v>
      </c>
      <c r="AM60">
        <v>-2</v>
      </c>
      <c r="AN60">
        <v>0</v>
      </c>
      <c r="AO60">
        <v>1</v>
      </c>
      <c r="AP60">
        <v>1</v>
      </c>
      <c r="AQ60">
        <v>0</v>
      </c>
      <c r="AR60">
        <v>0</v>
      </c>
      <c r="AS60" t="s">
        <v>3</v>
      </c>
      <c r="AT60">
        <v>173.2</v>
      </c>
      <c r="AU60" t="s">
        <v>3</v>
      </c>
      <c r="AV60">
        <v>1</v>
      </c>
      <c r="AW60">
        <v>2</v>
      </c>
      <c r="AX60">
        <v>76396551</v>
      </c>
      <c r="AY60">
        <v>1</v>
      </c>
      <c r="AZ60">
        <v>0</v>
      </c>
      <c r="BA60">
        <v>51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CU60">
        <f>ROUND(AT60*Source!I89*AH60*AL60,2)</f>
        <v>0</v>
      </c>
      <c r="CV60">
        <f>ROUND(Y60*Source!I89,9)</f>
        <v>173.2</v>
      </c>
      <c r="CW60">
        <v>0</v>
      </c>
      <c r="CX60">
        <f>ROUND(Y60*Source!I89,9)</f>
        <v>173.2</v>
      </c>
      <c r="CY60">
        <f>AD60</f>
        <v>0</v>
      </c>
      <c r="CZ60">
        <f>AH60</f>
        <v>0</v>
      </c>
      <c r="DA60">
        <f>AL60</f>
        <v>1</v>
      </c>
      <c r="DB60">
        <f t="shared" si="12"/>
        <v>0</v>
      </c>
      <c r="DC60">
        <f t="shared" si="13"/>
        <v>0</v>
      </c>
      <c r="DD60" t="s">
        <v>3</v>
      </c>
      <c r="DE60" t="s">
        <v>3</v>
      </c>
      <c r="DF60">
        <f t="shared" si="14"/>
        <v>0</v>
      </c>
      <c r="DG60">
        <f t="shared" si="15"/>
        <v>0</v>
      </c>
      <c r="DH60">
        <f t="shared" si="16"/>
        <v>0</v>
      </c>
      <c r="DI60">
        <f t="shared" si="17"/>
        <v>0</v>
      </c>
      <c r="DJ60">
        <f>DI60</f>
        <v>0</v>
      </c>
      <c r="DK60">
        <v>0</v>
      </c>
      <c r="DL60" t="s">
        <v>3</v>
      </c>
      <c r="DM60">
        <v>0</v>
      </c>
      <c r="DN60" t="s">
        <v>3</v>
      </c>
      <c r="DO60">
        <v>0</v>
      </c>
    </row>
    <row r="61" spans="1:119" x14ac:dyDescent="0.2">
      <c r="A61">
        <f>ROW(Source!A89)</f>
        <v>89</v>
      </c>
      <c r="B61">
        <v>76395835</v>
      </c>
      <c r="C61">
        <v>76396548</v>
      </c>
      <c r="D61">
        <v>75875358</v>
      </c>
      <c r="E61">
        <v>1</v>
      </c>
      <c r="F61">
        <v>1</v>
      </c>
      <c r="G61">
        <v>15872964</v>
      </c>
      <c r="H61">
        <v>2</v>
      </c>
      <c r="I61" t="s">
        <v>263</v>
      </c>
      <c r="J61" t="s">
        <v>264</v>
      </c>
      <c r="K61" t="s">
        <v>265</v>
      </c>
      <c r="L61">
        <v>1368</v>
      </c>
      <c r="N61">
        <v>1011</v>
      </c>
      <c r="O61" t="s">
        <v>190</v>
      </c>
      <c r="P61" t="s">
        <v>190</v>
      </c>
      <c r="Q61">
        <v>1</v>
      </c>
      <c r="W61">
        <v>0</v>
      </c>
      <c r="X61">
        <v>-1981576532</v>
      </c>
      <c r="Y61">
        <f t="shared" si="11"/>
        <v>25.04</v>
      </c>
      <c r="AA61">
        <v>0</v>
      </c>
      <c r="AB61">
        <v>1906.73</v>
      </c>
      <c r="AC61">
        <v>943.69</v>
      </c>
      <c r="AD61">
        <v>0</v>
      </c>
      <c r="AE61">
        <v>0</v>
      </c>
      <c r="AF61">
        <v>1906.73</v>
      </c>
      <c r="AG61">
        <v>943.69</v>
      </c>
      <c r="AH61">
        <v>0</v>
      </c>
      <c r="AI61">
        <v>1</v>
      </c>
      <c r="AJ61">
        <v>1</v>
      </c>
      <c r="AK61">
        <v>1</v>
      </c>
      <c r="AL61">
        <v>1</v>
      </c>
      <c r="AM61">
        <v>-2</v>
      </c>
      <c r="AN61">
        <v>0</v>
      </c>
      <c r="AO61">
        <v>1</v>
      </c>
      <c r="AP61">
        <v>1</v>
      </c>
      <c r="AQ61">
        <v>0</v>
      </c>
      <c r="AR61">
        <v>0</v>
      </c>
      <c r="AS61" t="s">
        <v>3</v>
      </c>
      <c r="AT61">
        <v>25.04</v>
      </c>
      <c r="AU61" t="s">
        <v>3</v>
      </c>
      <c r="AV61">
        <v>0</v>
      </c>
      <c r="AW61">
        <v>2</v>
      </c>
      <c r="AX61">
        <v>76396552</v>
      </c>
      <c r="AY61">
        <v>1</v>
      </c>
      <c r="AZ61">
        <v>0</v>
      </c>
      <c r="BA61">
        <v>52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CV61">
        <v>0</v>
      </c>
      <c r="CW61">
        <f>ROUND(Y61*Source!I89*DO61,9)</f>
        <v>0</v>
      </c>
      <c r="CX61">
        <f>ROUND(Y61*Source!I89,9)</f>
        <v>25.04</v>
      </c>
      <c r="CY61">
        <f>AB61</f>
        <v>1906.73</v>
      </c>
      <c r="CZ61">
        <f>AF61</f>
        <v>1906.73</v>
      </c>
      <c r="DA61">
        <f>AJ61</f>
        <v>1</v>
      </c>
      <c r="DB61">
        <f t="shared" si="12"/>
        <v>47744.52</v>
      </c>
      <c r="DC61">
        <f t="shared" si="13"/>
        <v>23630</v>
      </c>
      <c r="DD61" t="s">
        <v>3</v>
      </c>
      <c r="DE61" t="s">
        <v>3</v>
      </c>
      <c r="DF61">
        <f t="shared" si="14"/>
        <v>0</v>
      </c>
      <c r="DG61">
        <f t="shared" si="15"/>
        <v>47744.52</v>
      </c>
      <c r="DH61">
        <f t="shared" si="16"/>
        <v>23630</v>
      </c>
      <c r="DI61">
        <f t="shared" si="17"/>
        <v>0</v>
      </c>
      <c r="DJ61">
        <f>DG61</f>
        <v>47744.52</v>
      </c>
      <c r="DK61">
        <v>0</v>
      </c>
      <c r="DL61" t="s">
        <v>3</v>
      </c>
      <c r="DM61">
        <v>0</v>
      </c>
      <c r="DN61" t="s">
        <v>3</v>
      </c>
      <c r="DO61">
        <v>0</v>
      </c>
    </row>
    <row r="62" spans="1:119" x14ac:dyDescent="0.2">
      <c r="A62">
        <f>ROW(Source!A90)</f>
        <v>90</v>
      </c>
      <c r="B62">
        <v>76395835</v>
      </c>
      <c r="C62">
        <v>76396553</v>
      </c>
      <c r="D62">
        <v>75874090</v>
      </c>
      <c r="E62">
        <v>15872964</v>
      </c>
      <c r="F62">
        <v>1</v>
      </c>
      <c r="G62">
        <v>15872964</v>
      </c>
      <c r="H62">
        <v>1</v>
      </c>
      <c r="I62" t="s">
        <v>184</v>
      </c>
      <c r="J62" t="s">
        <v>3</v>
      </c>
      <c r="K62" t="s">
        <v>185</v>
      </c>
      <c r="L62">
        <v>1191</v>
      </c>
      <c r="N62">
        <v>1013</v>
      </c>
      <c r="O62" t="s">
        <v>186</v>
      </c>
      <c r="P62" t="s">
        <v>186</v>
      </c>
      <c r="Q62">
        <v>1</v>
      </c>
      <c r="W62">
        <v>0</v>
      </c>
      <c r="X62">
        <v>476480486</v>
      </c>
      <c r="Y62">
        <f t="shared" si="11"/>
        <v>25.76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1</v>
      </c>
      <c r="AJ62">
        <v>1</v>
      </c>
      <c r="AK62">
        <v>1</v>
      </c>
      <c r="AL62">
        <v>1</v>
      </c>
      <c r="AM62">
        <v>-2</v>
      </c>
      <c r="AN62">
        <v>0</v>
      </c>
      <c r="AO62">
        <v>1</v>
      </c>
      <c r="AP62">
        <v>1</v>
      </c>
      <c r="AQ62">
        <v>0</v>
      </c>
      <c r="AR62">
        <v>0</v>
      </c>
      <c r="AS62" t="s">
        <v>3</v>
      </c>
      <c r="AT62">
        <v>25.76</v>
      </c>
      <c r="AU62" t="s">
        <v>3</v>
      </c>
      <c r="AV62">
        <v>1</v>
      </c>
      <c r="AW62">
        <v>2</v>
      </c>
      <c r="AX62">
        <v>76396555</v>
      </c>
      <c r="AY62">
        <v>1</v>
      </c>
      <c r="AZ62">
        <v>0</v>
      </c>
      <c r="BA62">
        <v>53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CU62">
        <f>ROUND(AT62*Source!I90*AH62*AL62,2)</f>
        <v>0</v>
      </c>
      <c r="CV62">
        <f>ROUND(Y62*Source!I90,9)</f>
        <v>103.04</v>
      </c>
      <c r="CW62">
        <v>0</v>
      </c>
      <c r="CX62">
        <f>ROUND(Y62*Source!I90,9)</f>
        <v>103.04</v>
      </c>
      <c r="CY62">
        <f>AD62</f>
        <v>0</v>
      </c>
      <c r="CZ62">
        <f>AH62</f>
        <v>0</v>
      </c>
      <c r="DA62">
        <f>AL62</f>
        <v>1</v>
      </c>
      <c r="DB62">
        <f t="shared" si="12"/>
        <v>0</v>
      </c>
      <c r="DC62">
        <f t="shared" si="13"/>
        <v>0</v>
      </c>
      <c r="DD62" t="s">
        <v>3</v>
      </c>
      <c r="DE62" t="s">
        <v>3</v>
      </c>
      <c r="DF62">
        <f t="shared" si="14"/>
        <v>0</v>
      </c>
      <c r="DG62">
        <f t="shared" si="15"/>
        <v>0</v>
      </c>
      <c r="DH62">
        <f t="shared" si="16"/>
        <v>0</v>
      </c>
      <c r="DI62">
        <f t="shared" si="17"/>
        <v>0</v>
      </c>
      <c r="DJ62">
        <f>DI62</f>
        <v>0</v>
      </c>
      <c r="DK62">
        <v>0</v>
      </c>
      <c r="DL62" t="s">
        <v>3</v>
      </c>
      <c r="DM62">
        <v>0</v>
      </c>
      <c r="DN62" t="s">
        <v>3</v>
      </c>
      <c r="DO62">
        <v>0</v>
      </c>
    </row>
    <row r="63" spans="1:119" x14ac:dyDescent="0.2">
      <c r="A63">
        <f>ROW(Source!A126)</f>
        <v>126</v>
      </c>
      <c r="B63">
        <v>76395835</v>
      </c>
      <c r="C63">
        <v>76396556</v>
      </c>
      <c r="D63">
        <v>75874090</v>
      </c>
      <c r="E63">
        <v>15872964</v>
      </c>
      <c r="F63">
        <v>1</v>
      </c>
      <c r="G63">
        <v>15872964</v>
      </c>
      <c r="H63">
        <v>1</v>
      </c>
      <c r="I63" t="s">
        <v>184</v>
      </c>
      <c r="J63" t="s">
        <v>3</v>
      </c>
      <c r="K63" t="s">
        <v>185</v>
      </c>
      <c r="L63">
        <v>1191</v>
      </c>
      <c r="N63">
        <v>1013</v>
      </c>
      <c r="O63" t="s">
        <v>186</v>
      </c>
      <c r="P63" t="s">
        <v>186</v>
      </c>
      <c r="Q63">
        <v>1</v>
      </c>
      <c r="W63">
        <v>0</v>
      </c>
      <c r="X63">
        <v>476480486</v>
      </c>
      <c r="Y63">
        <f t="shared" si="11"/>
        <v>6.3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1</v>
      </c>
      <c r="AJ63">
        <v>1</v>
      </c>
      <c r="AK63">
        <v>1</v>
      </c>
      <c r="AL63">
        <v>1</v>
      </c>
      <c r="AM63">
        <v>-2</v>
      </c>
      <c r="AN63">
        <v>0</v>
      </c>
      <c r="AO63">
        <v>1</v>
      </c>
      <c r="AP63">
        <v>1</v>
      </c>
      <c r="AQ63">
        <v>0</v>
      </c>
      <c r="AR63">
        <v>0</v>
      </c>
      <c r="AS63" t="s">
        <v>3</v>
      </c>
      <c r="AT63">
        <v>6.3</v>
      </c>
      <c r="AU63" t="s">
        <v>3</v>
      </c>
      <c r="AV63">
        <v>1</v>
      </c>
      <c r="AW63">
        <v>2</v>
      </c>
      <c r="AX63">
        <v>76396558</v>
      </c>
      <c r="AY63">
        <v>1</v>
      </c>
      <c r="AZ63">
        <v>0</v>
      </c>
      <c r="BA63">
        <v>54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CU63">
        <f>ROUND(AT63*Source!I126*AH63*AL63,2)</f>
        <v>0</v>
      </c>
      <c r="CV63">
        <f>ROUND(Y63*Source!I126,9)</f>
        <v>6.3</v>
      </c>
      <c r="CW63">
        <v>0</v>
      </c>
      <c r="CX63">
        <f>ROUND(Y63*Source!I126,9)</f>
        <v>6.3</v>
      </c>
      <c r="CY63">
        <f>AD63</f>
        <v>0</v>
      </c>
      <c r="CZ63">
        <f>AH63</f>
        <v>0</v>
      </c>
      <c r="DA63">
        <f>AL63</f>
        <v>1</v>
      </c>
      <c r="DB63">
        <f t="shared" si="12"/>
        <v>0</v>
      </c>
      <c r="DC63">
        <f t="shared" si="13"/>
        <v>0</v>
      </c>
      <c r="DD63" t="s">
        <v>3</v>
      </c>
      <c r="DE63" t="s">
        <v>3</v>
      </c>
      <c r="DF63">
        <f t="shared" si="14"/>
        <v>0</v>
      </c>
      <c r="DG63">
        <f t="shared" si="15"/>
        <v>0</v>
      </c>
      <c r="DH63">
        <f t="shared" si="16"/>
        <v>0</v>
      </c>
      <c r="DI63">
        <f t="shared" si="17"/>
        <v>0</v>
      </c>
      <c r="DJ63">
        <f>DI63</f>
        <v>0</v>
      </c>
      <c r="DK63">
        <v>0</v>
      </c>
      <c r="DL63" t="s">
        <v>3</v>
      </c>
      <c r="DM63">
        <v>0</v>
      </c>
      <c r="DN63" t="s">
        <v>3</v>
      </c>
      <c r="DO63">
        <v>0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R54"/>
  <sheetViews>
    <sheetView workbookViewId="0"/>
  </sheetViews>
  <sheetFormatPr defaultColWidth="9.140625" defaultRowHeight="12.75" x14ac:dyDescent="0.2"/>
  <cols>
    <col min="1" max="256" width="9.140625" customWidth="1"/>
  </cols>
  <sheetData>
    <row r="1" spans="1:44" x14ac:dyDescent="0.2">
      <c r="A1">
        <f>ROW(Source!A68)</f>
        <v>68</v>
      </c>
      <c r="B1">
        <v>76396420</v>
      </c>
      <c r="C1">
        <v>76396418</v>
      </c>
      <c r="D1">
        <v>75874090</v>
      </c>
      <c r="E1">
        <v>15872964</v>
      </c>
      <c r="F1">
        <v>1</v>
      </c>
      <c r="G1">
        <v>15872964</v>
      </c>
      <c r="H1">
        <v>1</v>
      </c>
      <c r="I1" t="s">
        <v>184</v>
      </c>
      <c r="J1" t="s">
        <v>3</v>
      </c>
      <c r="K1" t="s">
        <v>185</v>
      </c>
      <c r="L1">
        <v>1191</v>
      </c>
      <c r="N1">
        <v>1013</v>
      </c>
      <c r="O1" t="s">
        <v>186</v>
      </c>
      <c r="P1" t="s">
        <v>186</v>
      </c>
      <c r="Q1">
        <v>1</v>
      </c>
      <c r="X1">
        <v>9.1999999999999993</v>
      </c>
      <c r="Y1">
        <v>0</v>
      </c>
      <c r="Z1">
        <v>0</v>
      </c>
      <c r="AA1">
        <v>0</v>
      </c>
      <c r="AB1">
        <v>0</v>
      </c>
      <c r="AC1">
        <v>0</v>
      </c>
      <c r="AD1">
        <v>1</v>
      </c>
      <c r="AE1">
        <v>1</v>
      </c>
      <c r="AF1" t="s">
        <v>3</v>
      </c>
      <c r="AG1">
        <v>9.1999999999999993</v>
      </c>
      <c r="AH1">
        <v>2</v>
      </c>
      <c r="AI1">
        <v>76396419</v>
      </c>
      <c r="AJ1">
        <v>1</v>
      </c>
      <c r="AK1">
        <v>0</v>
      </c>
      <c r="AL1">
        <v>0</v>
      </c>
      <c r="AM1">
        <v>0</v>
      </c>
      <c r="AN1">
        <v>0</v>
      </c>
      <c r="AO1">
        <v>0</v>
      </c>
      <c r="AP1">
        <v>0</v>
      </c>
      <c r="AQ1">
        <v>0</v>
      </c>
      <c r="AR1">
        <v>0</v>
      </c>
    </row>
    <row r="2" spans="1:44" x14ac:dyDescent="0.2">
      <c r="A2">
        <f>ROW(Source!A69)</f>
        <v>69</v>
      </c>
      <c r="B2">
        <v>76396423</v>
      </c>
      <c r="C2">
        <v>76396421</v>
      </c>
      <c r="D2">
        <v>75874090</v>
      </c>
      <c r="E2">
        <v>15872964</v>
      </c>
      <c r="F2">
        <v>1</v>
      </c>
      <c r="G2">
        <v>15872964</v>
      </c>
      <c r="H2">
        <v>1</v>
      </c>
      <c r="I2" t="s">
        <v>184</v>
      </c>
      <c r="J2" t="s">
        <v>3</v>
      </c>
      <c r="K2" t="s">
        <v>185</v>
      </c>
      <c r="L2">
        <v>1191</v>
      </c>
      <c r="N2">
        <v>1013</v>
      </c>
      <c r="O2" t="s">
        <v>186</v>
      </c>
      <c r="P2" t="s">
        <v>186</v>
      </c>
      <c r="Q2">
        <v>1</v>
      </c>
      <c r="X2">
        <v>0.6</v>
      </c>
      <c r="Y2">
        <v>0</v>
      </c>
      <c r="Z2">
        <v>0</v>
      </c>
      <c r="AA2">
        <v>0</v>
      </c>
      <c r="AB2">
        <v>0</v>
      </c>
      <c r="AC2">
        <v>0</v>
      </c>
      <c r="AD2">
        <v>1</v>
      </c>
      <c r="AE2">
        <v>1</v>
      </c>
      <c r="AF2" t="s">
        <v>3</v>
      </c>
      <c r="AG2">
        <v>0.6</v>
      </c>
      <c r="AH2">
        <v>2</v>
      </c>
      <c r="AI2">
        <v>76396422</v>
      </c>
      <c r="AJ2">
        <v>2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</row>
    <row r="3" spans="1:44" x14ac:dyDescent="0.2">
      <c r="A3">
        <f>ROW(Source!A70)</f>
        <v>70</v>
      </c>
      <c r="B3">
        <v>76396428</v>
      </c>
      <c r="C3">
        <v>76396424</v>
      </c>
      <c r="D3">
        <v>75874090</v>
      </c>
      <c r="E3">
        <v>15872964</v>
      </c>
      <c r="F3">
        <v>1</v>
      </c>
      <c r="G3">
        <v>15872964</v>
      </c>
      <c r="H3">
        <v>1</v>
      </c>
      <c r="I3" t="s">
        <v>184</v>
      </c>
      <c r="J3" t="s">
        <v>3</v>
      </c>
      <c r="K3" t="s">
        <v>185</v>
      </c>
      <c r="L3">
        <v>1191</v>
      </c>
      <c r="N3">
        <v>1013</v>
      </c>
      <c r="O3" t="s">
        <v>186</v>
      </c>
      <c r="P3" t="s">
        <v>186</v>
      </c>
      <c r="Q3">
        <v>1</v>
      </c>
      <c r="X3">
        <v>2.2999999999999998</v>
      </c>
      <c r="Y3">
        <v>0</v>
      </c>
      <c r="Z3">
        <v>0</v>
      </c>
      <c r="AA3">
        <v>0</v>
      </c>
      <c r="AB3">
        <v>0</v>
      </c>
      <c r="AC3">
        <v>0</v>
      </c>
      <c r="AD3">
        <v>1</v>
      </c>
      <c r="AE3">
        <v>1</v>
      </c>
      <c r="AF3" t="s">
        <v>3</v>
      </c>
      <c r="AG3">
        <v>2.2999999999999998</v>
      </c>
      <c r="AH3">
        <v>2</v>
      </c>
      <c r="AI3">
        <v>76396425</v>
      </c>
      <c r="AJ3">
        <v>3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</row>
    <row r="4" spans="1:44" x14ac:dyDescent="0.2">
      <c r="A4">
        <f>ROW(Source!A70)</f>
        <v>70</v>
      </c>
      <c r="B4">
        <v>76396429</v>
      </c>
      <c r="C4">
        <v>76396424</v>
      </c>
      <c r="D4">
        <v>75875459</v>
      </c>
      <c r="E4">
        <v>1</v>
      </c>
      <c r="F4">
        <v>1</v>
      </c>
      <c r="G4">
        <v>15872964</v>
      </c>
      <c r="H4">
        <v>2</v>
      </c>
      <c r="I4" t="s">
        <v>187</v>
      </c>
      <c r="J4" t="s">
        <v>188</v>
      </c>
      <c r="K4" t="s">
        <v>189</v>
      </c>
      <c r="L4">
        <v>1368</v>
      </c>
      <c r="N4">
        <v>1011</v>
      </c>
      <c r="O4" t="s">
        <v>190</v>
      </c>
      <c r="P4" t="s">
        <v>190</v>
      </c>
      <c r="Q4">
        <v>1</v>
      </c>
      <c r="X4">
        <v>0.14000000000000001</v>
      </c>
      <c r="Y4">
        <v>0</v>
      </c>
      <c r="Z4">
        <v>456.39</v>
      </c>
      <c r="AA4">
        <v>1.4</v>
      </c>
      <c r="AB4">
        <v>0</v>
      </c>
      <c r="AC4">
        <v>0</v>
      </c>
      <c r="AD4">
        <v>1</v>
      </c>
      <c r="AE4">
        <v>0</v>
      </c>
      <c r="AF4" t="s">
        <v>3</v>
      </c>
      <c r="AG4">
        <v>0.14000000000000001</v>
      </c>
      <c r="AH4">
        <v>2</v>
      </c>
      <c r="AI4">
        <v>76396426</v>
      </c>
      <c r="AJ4">
        <v>4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</row>
    <row r="5" spans="1:44" x14ac:dyDescent="0.2">
      <c r="A5">
        <f>ROW(Source!A70)</f>
        <v>70</v>
      </c>
      <c r="B5">
        <v>76396430</v>
      </c>
      <c r="C5">
        <v>76396424</v>
      </c>
      <c r="D5">
        <v>75875897</v>
      </c>
      <c r="E5">
        <v>1</v>
      </c>
      <c r="F5">
        <v>1</v>
      </c>
      <c r="G5">
        <v>15872964</v>
      </c>
      <c r="H5">
        <v>2</v>
      </c>
      <c r="I5" t="s">
        <v>191</v>
      </c>
      <c r="J5" t="s">
        <v>192</v>
      </c>
      <c r="K5" t="s">
        <v>193</v>
      </c>
      <c r="L5">
        <v>1368</v>
      </c>
      <c r="N5">
        <v>1011</v>
      </c>
      <c r="O5" t="s">
        <v>190</v>
      </c>
      <c r="P5" t="s">
        <v>190</v>
      </c>
      <c r="Q5">
        <v>1</v>
      </c>
      <c r="X5">
        <v>0.04</v>
      </c>
      <c r="Y5">
        <v>0</v>
      </c>
      <c r="Z5">
        <v>4.72</v>
      </c>
      <c r="AA5">
        <v>0.1</v>
      </c>
      <c r="AB5">
        <v>0</v>
      </c>
      <c r="AC5">
        <v>0</v>
      </c>
      <c r="AD5">
        <v>1</v>
      </c>
      <c r="AE5">
        <v>0</v>
      </c>
      <c r="AF5" t="s">
        <v>3</v>
      </c>
      <c r="AG5">
        <v>0.04</v>
      </c>
      <c r="AH5">
        <v>2</v>
      </c>
      <c r="AI5">
        <v>76396427</v>
      </c>
      <c r="AJ5">
        <v>5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</row>
    <row r="6" spans="1:44" x14ac:dyDescent="0.2">
      <c r="A6">
        <f>ROW(Source!A71)</f>
        <v>71</v>
      </c>
      <c r="B6">
        <v>76396437</v>
      </c>
      <c r="C6">
        <v>76396431</v>
      </c>
      <c r="D6">
        <v>75874090</v>
      </c>
      <c r="E6">
        <v>15872964</v>
      </c>
      <c r="F6">
        <v>1</v>
      </c>
      <c r="G6">
        <v>15872964</v>
      </c>
      <c r="H6">
        <v>1</v>
      </c>
      <c r="I6" t="s">
        <v>184</v>
      </c>
      <c r="J6" t="s">
        <v>3</v>
      </c>
      <c r="K6" t="s">
        <v>185</v>
      </c>
      <c r="L6">
        <v>1191</v>
      </c>
      <c r="N6">
        <v>1013</v>
      </c>
      <c r="O6" t="s">
        <v>186</v>
      </c>
      <c r="P6" t="s">
        <v>186</v>
      </c>
      <c r="Q6">
        <v>1</v>
      </c>
      <c r="X6">
        <v>0.66</v>
      </c>
      <c r="Y6">
        <v>0</v>
      </c>
      <c r="Z6">
        <v>0</v>
      </c>
      <c r="AA6">
        <v>0</v>
      </c>
      <c r="AB6">
        <v>0</v>
      </c>
      <c r="AC6">
        <v>0</v>
      </c>
      <c r="AD6">
        <v>1</v>
      </c>
      <c r="AE6">
        <v>1</v>
      </c>
      <c r="AF6" t="s">
        <v>3</v>
      </c>
      <c r="AG6">
        <v>0.66</v>
      </c>
      <c r="AH6">
        <v>2</v>
      </c>
      <c r="AI6">
        <v>76396432</v>
      </c>
      <c r="AJ6">
        <v>6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</row>
    <row r="7" spans="1:44" x14ac:dyDescent="0.2">
      <c r="A7">
        <f>ROW(Source!A71)</f>
        <v>71</v>
      </c>
      <c r="B7">
        <v>76396438</v>
      </c>
      <c r="C7">
        <v>76396431</v>
      </c>
      <c r="D7">
        <v>75875824</v>
      </c>
      <c r="E7">
        <v>1</v>
      </c>
      <c r="F7">
        <v>1</v>
      </c>
      <c r="G7">
        <v>15872964</v>
      </c>
      <c r="H7">
        <v>2</v>
      </c>
      <c r="I7" t="s">
        <v>194</v>
      </c>
      <c r="J7" t="s">
        <v>195</v>
      </c>
      <c r="K7" t="s">
        <v>196</v>
      </c>
      <c r="L7">
        <v>1368</v>
      </c>
      <c r="N7">
        <v>1011</v>
      </c>
      <c r="O7" t="s">
        <v>190</v>
      </c>
      <c r="P7" t="s">
        <v>190</v>
      </c>
      <c r="Q7">
        <v>1</v>
      </c>
      <c r="X7">
        <v>0.03</v>
      </c>
      <c r="Y7">
        <v>0</v>
      </c>
      <c r="Z7">
        <v>5.13</v>
      </c>
      <c r="AA7">
        <v>7.0000000000000007E-2</v>
      </c>
      <c r="AB7">
        <v>0</v>
      </c>
      <c r="AC7">
        <v>0</v>
      </c>
      <c r="AD7">
        <v>1</v>
      </c>
      <c r="AE7">
        <v>0</v>
      </c>
      <c r="AF7" t="s">
        <v>3</v>
      </c>
      <c r="AG7">
        <v>0.03</v>
      </c>
      <c r="AH7">
        <v>2</v>
      </c>
      <c r="AI7">
        <v>76396433</v>
      </c>
      <c r="AJ7">
        <v>7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</row>
    <row r="8" spans="1:44" x14ac:dyDescent="0.2">
      <c r="A8">
        <f>ROW(Source!A71)</f>
        <v>71</v>
      </c>
      <c r="B8">
        <v>76396439</v>
      </c>
      <c r="C8">
        <v>76396431</v>
      </c>
      <c r="D8">
        <v>75875862</v>
      </c>
      <c r="E8">
        <v>1</v>
      </c>
      <c r="F8">
        <v>1</v>
      </c>
      <c r="G8">
        <v>15872964</v>
      </c>
      <c r="H8">
        <v>2</v>
      </c>
      <c r="I8" t="s">
        <v>197</v>
      </c>
      <c r="J8" t="s">
        <v>198</v>
      </c>
      <c r="K8" t="s">
        <v>199</v>
      </c>
      <c r="L8">
        <v>1368</v>
      </c>
      <c r="N8">
        <v>1011</v>
      </c>
      <c r="O8" t="s">
        <v>190</v>
      </c>
      <c r="P8" t="s">
        <v>190</v>
      </c>
      <c r="Q8">
        <v>1</v>
      </c>
      <c r="X8">
        <v>0.01</v>
      </c>
      <c r="Y8">
        <v>0</v>
      </c>
      <c r="Z8">
        <v>10.76</v>
      </c>
      <c r="AA8">
        <v>0.12</v>
      </c>
      <c r="AB8">
        <v>0</v>
      </c>
      <c r="AC8">
        <v>0</v>
      </c>
      <c r="AD8">
        <v>1</v>
      </c>
      <c r="AE8">
        <v>0</v>
      </c>
      <c r="AF8" t="s">
        <v>3</v>
      </c>
      <c r="AG8">
        <v>0.01</v>
      </c>
      <c r="AH8">
        <v>2</v>
      </c>
      <c r="AI8">
        <v>76396434</v>
      </c>
      <c r="AJ8">
        <v>8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</row>
    <row r="9" spans="1:44" x14ac:dyDescent="0.2">
      <c r="A9">
        <f>ROW(Source!A71)</f>
        <v>71</v>
      </c>
      <c r="B9">
        <v>76396440</v>
      </c>
      <c r="C9">
        <v>76396431</v>
      </c>
      <c r="D9">
        <v>75874353</v>
      </c>
      <c r="E9">
        <v>15872964</v>
      </c>
      <c r="F9">
        <v>1</v>
      </c>
      <c r="G9">
        <v>15872964</v>
      </c>
      <c r="H9">
        <v>3</v>
      </c>
      <c r="I9" t="s">
        <v>200</v>
      </c>
      <c r="J9" t="s">
        <v>3</v>
      </c>
      <c r="K9" t="s">
        <v>201</v>
      </c>
      <c r="L9">
        <v>1346</v>
      </c>
      <c r="N9">
        <v>1009</v>
      </c>
      <c r="O9" t="s">
        <v>202</v>
      </c>
      <c r="P9" t="s">
        <v>202</v>
      </c>
      <c r="Q9">
        <v>1</v>
      </c>
      <c r="X9">
        <v>3.8999999999999998E-3</v>
      </c>
      <c r="Y9">
        <v>190.54033999999999</v>
      </c>
      <c r="Z9">
        <v>0</v>
      </c>
      <c r="AA9">
        <v>0</v>
      </c>
      <c r="AB9">
        <v>0</v>
      </c>
      <c r="AC9">
        <v>0</v>
      </c>
      <c r="AD9">
        <v>1</v>
      </c>
      <c r="AE9">
        <v>0</v>
      </c>
      <c r="AF9" t="s">
        <v>3</v>
      </c>
      <c r="AG9">
        <v>3.8999999999999998E-3</v>
      </c>
      <c r="AH9">
        <v>2</v>
      </c>
      <c r="AI9">
        <v>76396435</v>
      </c>
      <c r="AJ9">
        <v>9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</row>
    <row r="10" spans="1:44" x14ac:dyDescent="0.2">
      <c r="A10">
        <f>ROW(Source!A71)</f>
        <v>71</v>
      </c>
      <c r="B10">
        <v>76396441</v>
      </c>
      <c r="C10">
        <v>76396431</v>
      </c>
      <c r="D10">
        <v>75877140</v>
      </c>
      <c r="E10">
        <v>1</v>
      </c>
      <c r="F10">
        <v>1</v>
      </c>
      <c r="G10">
        <v>15872964</v>
      </c>
      <c r="H10">
        <v>3</v>
      </c>
      <c r="I10" t="s">
        <v>203</v>
      </c>
      <c r="J10" t="s">
        <v>204</v>
      </c>
      <c r="K10" t="s">
        <v>205</v>
      </c>
      <c r="L10">
        <v>1354</v>
      </c>
      <c r="N10">
        <v>1010</v>
      </c>
      <c r="O10" t="s">
        <v>18</v>
      </c>
      <c r="P10" t="s">
        <v>18</v>
      </c>
      <c r="Q10">
        <v>1</v>
      </c>
      <c r="X10">
        <v>2</v>
      </c>
      <c r="Y10">
        <v>1.23</v>
      </c>
      <c r="Z10">
        <v>0</v>
      </c>
      <c r="AA10">
        <v>0</v>
      </c>
      <c r="AB10">
        <v>0</v>
      </c>
      <c r="AC10">
        <v>0</v>
      </c>
      <c r="AD10">
        <v>1</v>
      </c>
      <c r="AE10">
        <v>0</v>
      </c>
      <c r="AF10" t="s">
        <v>3</v>
      </c>
      <c r="AG10">
        <v>2</v>
      </c>
      <c r="AH10">
        <v>2</v>
      </c>
      <c r="AI10">
        <v>76396436</v>
      </c>
      <c r="AJ10">
        <v>10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</row>
    <row r="11" spans="1:44" x14ac:dyDescent="0.2">
      <c r="A11">
        <f>ROW(Source!A72)</f>
        <v>72</v>
      </c>
      <c r="B11">
        <v>76396446</v>
      </c>
      <c r="C11">
        <v>76396442</v>
      </c>
      <c r="D11">
        <v>75874090</v>
      </c>
      <c r="E11">
        <v>15872964</v>
      </c>
      <c r="F11">
        <v>1</v>
      </c>
      <c r="G11">
        <v>15872964</v>
      </c>
      <c r="H11">
        <v>1</v>
      </c>
      <c r="I11" t="s">
        <v>184</v>
      </c>
      <c r="J11" t="s">
        <v>3</v>
      </c>
      <c r="K11" t="s">
        <v>185</v>
      </c>
      <c r="L11">
        <v>1191</v>
      </c>
      <c r="N11">
        <v>1013</v>
      </c>
      <c r="O11" t="s">
        <v>186</v>
      </c>
      <c r="P11" t="s">
        <v>186</v>
      </c>
      <c r="Q11">
        <v>1</v>
      </c>
      <c r="X11">
        <v>10.7</v>
      </c>
      <c r="Y11">
        <v>0</v>
      </c>
      <c r="Z11">
        <v>0</v>
      </c>
      <c r="AA11">
        <v>0</v>
      </c>
      <c r="AB11">
        <v>0</v>
      </c>
      <c r="AC11">
        <v>0</v>
      </c>
      <c r="AD11">
        <v>1</v>
      </c>
      <c r="AE11">
        <v>1</v>
      </c>
      <c r="AF11" t="s">
        <v>3</v>
      </c>
      <c r="AG11">
        <v>10.7</v>
      </c>
      <c r="AH11">
        <v>2</v>
      </c>
      <c r="AI11">
        <v>76396443</v>
      </c>
      <c r="AJ11">
        <v>11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</row>
    <row r="12" spans="1:44" x14ac:dyDescent="0.2">
      <c r="A12">
        <f>ROW(Source!A72)</f>
        <v>72</v>
      </c>
      <c r="B12">
        <v>76396447</v>
      </c>
      <c r="C12">
        <v>76396442</v>
      </c>
      <c r="D12">
        <v>75875171</v>
      </c>
      <c r="E12">
        <v>1</v>
      </c>
      <c r="F12">
        <v>1</v>
      </c>
      <c r="G12">
        <v>15872964</v>
      </c>
      <c r="H12">
        <v>2</v>
      </c>
      <c r="I12" t="s">
        <v>206</v>
      </c>
      <c r="J12" t="s">
        <v>207</v>
      </c>
      <c r="K12" t="s">
        <v>208</v>
      </c>
      <c r="L12">
        <v>1368</v>
      </c>
      <c r="N12">
        <v>1011</v>
      </c>
      <c r="O12" t="s">
        <v>190</v>
      </c>
      <c r="P12" t="s">
        <v>190</v>
      </c>
      <c r="Q12">
        <v>1</v>
      </c>
      <c r="X12">
        <v>0.5</v>
      </c>
      <c r="Y12">
        <v>0</v>
      </c>
      <c r="Z12">
        <v>1509.66</v>
      </c>
      <c r="AA12">
        <v>837.61</v>
      </c>
      <c r="AB12">
        <v>0</v>
      </c>
      <c r="AC12">
        <v>0</v>
      </c>
      <c r="AD12">
        <v>1</v>
      </c>
      <c r="AE12">
        <v>0</v>
      </c>
      <c r="AF12" t="s">
        <v>3</v>
      </c>
      <c r="AG12">
        <v>0.5</v>
      </c>
      <c r="AH12">
        <v>2</v>
      </c>
      <c r="AI12">
        <v>76396444</v>
      </c>
      <c r="AJ12">
        <v>12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</row>
    <row r="13" spans="1:44" x14ac:dyDescent="0.2">
      <c r="A13">
        <f>ROW(Source!A72)</f>
        <v>72</v>
      </c>
      <c r="B13">
        <v>76396448</v>
      </c>
      <c r="C13">
        <v>76396442</v>
      </c>
      <c r="D13">
        <v>75874486</v>
      </c>
      <c r="E13">
        <v>15872964</v>
      </c>
      <c r="F13">
        <v>1</v>
      </c>
      <c r="G13">
        <v>15872964</v>
      </c>
      <c r="H13">
        <v>3</v>
      </c>
      <c r="I13" t="s">
        <v>209</v>
      </c>
      <c r="J13" t="s">
        <v>3</v>
      </c>
      <c r="K13" t="s">
        <v>210</v>
      </c>
      <c r="L13">
        <v>1348</v>
      </c>
      <c r="N13">
        <v>1009</v>
      </c>
      <c r="O13" t="s">
        <v>211</v>
      </c>
      <c r="P13" t="s">
        <v>211</v>
      </c>
      <c r="Q13">
        <v>1000</v>
      </c>
      <c r="X13">
        <v>1E-3</v>
      </c>
      <c r="Y13">
        <v>0</v>
      </c>
      <c r="Z13">
        <v>0</v>
      </c>
      <c r="AA13">
        <v>0</v>
      </c>
      <c r="AB13">
        <v>0</v>
      </c>
      <c r="AC13">
        <v>0</v>
      </c>
      <c r="AD13">
        <v>1</v>
      </c>
      <c r="AE13">
        <v>0</v>
      </c>
      <c r="AF13" t="s">
        <v>3</v>
      </c>
      <c r="AG13">
        <v>1E-3</v>
      </c>
      <c r="AH13">
        <v>2</v>
      </c>
      <c r="AI13">
        <v>76396445</v>
      </c>
      <c r="AJ13">
        <v>13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</row>
    <row r="14" spans="1:44" x14ac:dyDescent="0.2">
      <c r="A14">
        <f>ROW(Source!A73)</f>
        <v>73</v>
      </c>
      <c r="B14">
        <v>76396454</v>
      </c>
      <c r="C14">
        <v>76396449</v>
      </c>
      <c r="D14">
        <v>75874090</v>
      </c>
      <c r="E14">
        <v>15872964</v>
      </c>
      <c r="F14">
        <v>1</v>
      </c>
      <c r="G14">
        <v>15872964</v>
      </c>
      <c r="H14">
        <v>1</v>
      </c>
      <c r="I14" t="s">
        <v>184</v>
      </c>
      <c r="J14" t="s">
        <v>3</v>
      </c>
      <c r="K14" t="s">
        <v>185</v>
      </c>
      <c r="L14">
        <v>1191</v>
      </c>
      <c r="N14">
        <v>1013</v>
      </c>
      <c r="O14" t="s">
        <v>186</v>
      </c>
      <c r="P14" t="s">
        <v>186</v>
      </c>
      <c r="Q14">
        <v>1</v>
      </c>
      <c r="X14">
        <v>2.37</v>
      </c>
      <c r="Y14">
        <v>0</v>
      </c>
      <c r="Z14">
        <v>0</v>
      </c>
      <c r="AA14">
        <v>0</v>
      </c>
      <c r="AB14">
        <v>0</v>
      </c>
      <c r="AC14">
        <v>0</v>
      </c>
      <c r="AD14">
        <v>1</v>
      </c>
      <c r="AE14">
        <v>1</v>
      </c>
      <c r="AF14" t="s">
        <v>3</v>
      </c>
      <c r="AG14">
        <v>2.37</v>
      </c>
      <c r="AH14">
        <v>2</v>
      </c>
      <c r="AI14">
        <v>76396450</v>
      </c>
      <c r="AJ14">
        <v>14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</row>
    <row r="15" spans="1:44" x14ac:dyDescent="0.2">
      <c r="A15">
        <f>ROW(Source!A73)</f>
        <v>73</v>
      </c>
      <c r="B15">
        <v>76396455</v>
      </c>
      <c r="C15">
        <v>76396449</v>
      </c>
      <c r="D15">
        <v>75877624</v>
      </c>
      <c r="E15">
        <v>1</v>
      </c>
      <c r="F15">
        <v>1</v>
      </c>
      <c r="G15">
        <v>15872964</v>
      </c>
      <c r="H15">
        <v>3</v>
      </c>
      <c r="I15" t="s">
        <v>212</v>
      </c>
      <c r="J15" t="s">
        <v>213</v>
      </c>
      <c r="K15" t="s">
        <v>214</v>
      </c>
      <c r="L15">
        <v>1348</v>
      </c>
      <c r="N15">
        <v>1009</v>
      </c>
      <c r="O15" t="s">
        <v>211</v>
      </c>
      <c r="P15" t="s">
        <v>211</v>
      </c>
      <c r="Q15">
        <v>1000</v>
      </c>
      <c r="X15">
        <v>1E-3</v>
      </c>
      <c r="Y15">
        <v>32121.53</v>
      </c>
      <c r="Z15">
        <v>0</v>
      </c>
      <c r="AA15">
        <v>0</v>
      </c>
      <c r="AB15">
        <v>0</v>
      </c>
      <c r="AC15">
        <v>0</v>
      </c>
      <c r="AD15">
        <v>1</v>
      </c>
      <c r="AE15">
        <v>0</v>
      </c>
      <c r="AF15" t="s">
        <v>3</v>
      </c>
      <c r="AG15">
        <v>1E-3</v>
      </c>
      <c r="AH15">
        <v>2</v>
      </c>
      <c r="AI15">
        <v>76396451</v>
      </c>
      <c r="AJ15">
        <v>15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</row>
    <row r="16" spans="1:44" x14ac:dyDescent="0.2">
      <c r="A16">
        <f>ROW(Source!A73)</f>
        <v>73</v>
      </c>
      <c r="B16">
        <v>76396456</v>
      </c>
      <c r="C16">
        <v>76396449</v>
      </c>
      <c r="D16">
        <v>75877638</v>
      </c>
      <c r="E16">
        <v>1</v>
      </c>
      <c r="F16">
        <v>1</v>
      </c>
      <c r="G16">
        <v>15872964</v>
      </c>
      <c r="H16">
        <v>3</v>
      </c>
      <c r="I16" t="s">
        <v>215</v>
      </c>
      <c r="J16" t="s">
        <v>216</v>
      </c>
      <c r="K16" t="s">
        <v>217</v>
      </c>
      <c r="L16">
        <v>1346</v>
      </c>
      <c r="N16">
        <v>1009</v>
      </c>
      <c r="O16" t="s">
        <v>202</v>
      </c>
      <c r="P16" t="s">
        <v>202</v>
      </c>
      <c r="Q16">
        <v>1</v>
      </c>
      <c r="X16">
        <v>0.11</v>
      </c>
      <c r="Y16">
        <v>43.58</v>
      </c>
      <c r="Z16">
        <v>0</v>
      </c>
      <c r="AA16">
        <v>0</v>
      </c>
      <c r="AB16">
        <v>0</v>
      </c>
      <c r="AC16">
        <v>0</v>
      </c>
      <c r="AD16">
        <v>1</v>
      </c>
      <c r="AE16">
        <v>0</v>
      </c>
      <c r="AF16" t="s">
        <v>3</v>
      </c>
      <c r="AG16">
        <v>0.11</v>
      </c>
      <c r="AH16">
        <v>2</v>
      </c>
      <c r="AI16">
        <v>76396452</v>
      </c>
      <c r="AJ16">
        <v>16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</row>
    <row r="17" spans="1:44" x14ac:dyDescent="0.2">
      <c r="A17">
        <f>ROW(Source!A73)</f>
        <v>73</v>
      </c>
      <c r="B17">
        <v>76396457</v>
      </c>
      <c r="C17">
        <v>76396449</v>
      </c>
      <c r="D17">
        <v>75877925</v>
      </c>
      <c r="E17">
        <v>1</v>
      </c>
      <c r="F17">
        <v>1</v>
      </c>
      <c r="G17">
        <v>15872964</v>
      </c>
      <c r="H17">
        <v>3</v>
      </c>
      <c r="I17" t="s">
        <v>218</v>
      </c>
      <c r="J17" t="s">
        <v>219</v>
      </c>
      <c r="K17" t="s">
        <v>220</v>
      </c>
      <c r="L17">
        <v>1296</v>
      </c>
      <c r="N17">
        <v>1002</v>
      </c>
      <c r="O17" t="s">
        <v>221</v>
      </c>
      <c r="P17" t="s">
        <v>221</v>
      </c>
      <c r="Q17">
        <v>1</v>
      </c>
      <c r="X17">
        <v>2.8</v>
      </c>
      <c r="Y17">
        <v>25.47</v>
      </c>
      <c r="Z17">
        <v>0</v>
      </c>
      <c r="AA17">
        <v>0</v>
      </c>
      <c r="AB17">
        <v>0</v>
      </c>
      <c r="AC17">
        <v>0</v>
      </c>
      <c r="AD17">
        <v>1</v>
      </c>
      <c r="AE17">
        <v>0</v>
      </c>
      <c r="AF17" t="s">
        <v>3</v>
      </c>
      <c r="AG17">
        <v>2.8</v>
      </c>
      <c r="AH17">
        <v>2</v>
      </c>
      <c r="AI17">
        <v>76396453</v>
      </c>
      <c r="AJ17">
        <v>17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</row>
    <row r="18" spans="1:44" x14ac:dyDescent="0.2">
      <c r="A18">
        <f>ROW(Source!A74)</f>
        <v>74</v>
      </c>
      <c r="B18">
        <v>76396460</v>
      </c>
      <c r="C18">
        <v>76396458</v>
      </c>
      <c r="D18">
        <v>75874090</v>
      </c>
      <c r="E18">
        <v>15872964</v>
      </c>
      <c r="F18">
        <v>1</v>
      </c>
      <c r="G18">
        <v>15872964</v>
      </c>
      <c r="H18">
        <v>1</v>
      </c>
      <c r="I18" t="s">
        <v>184</v>
      </c>
      <c r="J18" t="s">
        <v>3</v>
      </c>
      <c r="K18" t="s">
        <v>185</v>
      </c>
      <c r="L18">
        <v>1191</v>
      </c>
      <c r="N18">
        <v>1013</v>
      </c>
      <c r="O18" t="s">
        <v>186</v>
      </c>
      <c r="P18" t="s">
        <v>186</v>
      </c>
      <c r="Q18">
        <v>1</v>
      </c>
      <c r="X18">
        <v>2.2999999999999998</v>
      </c>
      <c r="Y18">
        <v>0</v>
      </c>
      <c r="Z18">
        <v>0</v>
      </c>
      <c r="AA18">
        <v>0</v>
      </c>
      <c r="AB18">
        <v>0</v>
      </c>
      <c r="AC18">
        <v>0</v>
      </c>
      <c r="AD18">
        <v>1</v>
      </c>
      <c r="AE18">
        <v>1</v>
      </c>
      <c r="AF18" t="s">
        <v>3</v>
      </c>
      <c r="AG18">
        <v>2.2999999999999998</v>
      </c>
      <c r="AH18">
        <v>2</v>
      </c>
      <c r="AI18">
        <v>76396459</v>
      </c>
      <c r="AJ18">
        <v>18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</row>
    <row r="19" spans="1:44" x14ac:dyDescent="0.2">
      <c r="A19">
        <f>ROW(Source!A75)</f>
        <v>75</v>
      </c>
      <c r="B19">
        <v>76396482</v>
      </c>
      <c r="C19">
        <v>76396461</v>
      </c>
      <c r="D19">
        <v>75874090</v>
      </c>
      <c r="E19">
        <v>15872964</v>
      </c>
      <c r="F19">
        <v>1</v>
      </c>
      <c r="G19">
        <v>15872964</v>
      </c>
      <c r="H19">
        <v>1</v>
      </c>
      <c r="I19" t="s">
        <v>184</v>
      </c>
      <c r="J19" t="s">
        <v>3</v>
      </c>
      <c r="K19" t="s">
        <v>185</v>
      </c>
      <c r="L19">
        <v>1191</v>
      </c>
      <c r="N19">
        <v>1013</v>
      </c>
      <c r="O19" t="s">
        <v>186</v>
      </c>
      <c r="P19" t="s">
        <v>186</v>
      </c>
      <c r="Q19">
        <v>1</v>
      </c>
      <c r="X19">
        <v>46.78</v>
      </c>
      <c r="Y19">
        <v>0</v>
      </c>
      <c r="Z19">
        <v>0</v>
      </c>
      <c r="AA19">
        <v>0</v>
      </c>
      <c r="AB19">
        <v>0</v>
      </c>
      <c r="AC19">
        <v>0</v>
      </c>
      <c r="AD19">
        <v>1</v>
      </c>
      <c r="AE19">
        <v>1</v>
      </c>
      <c r="AF19" t="s">
        <v>3</v>
      </c>
      <c r="AG19">
        <v>46.78</v>
      </c>
      <c r="AH19">
        <v>2</v>
      </c>
      <c r="AI19">
        <v>76396462</v>
      </c>
      <c r="AJ19">
        <v>19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</row>
    <row r="20" spans="1:44" x14ac:dyDescent="0.2">
      <c r="A20">
        <f>ROW(Source!A75)</f>
        <v>75</v>
      </c>
      <c r="B20">
        <v>76396483</v>
      </c>
      <c r="C20">
        <v>76396461</v>
      </c>
      <c r="D20">
        <v>75875824</v>
      </c>
      <c r="E20">
        <v>1</v>
      </c>
      <c r="F20">
        <v>1</v>
      </c>
      <c r="G20">
        <v>15872964</v>
      </c>
      <c r="H20">
        <v>2</v>
      </c>
      <c r="I20" t="s">
        <v>194</v>
      </c>
      <c r="J20" t="s">
        <v>195</v>
      </c>
      <c r="K20" t="s">
        <v>196</v>
      </c>
      <c r="L20">
        <v>1368</v>
      </c>
      <c r="N20">
        <v>1011</v>
      </c>
      <c r="O20" t="s">
        <v>190</v>
      </c>
      <c r="P20" t="s">
        <v>190</v>
      </c>
      <c r="Q20">
        <v>1</v>
      </c>
      <c r="X20">
        <v>13</v>
      </c>
      <c r="Y20">
        <v>0</v>
      </c>
      <c r="Z20">
        <v>5.13</v>
      </c>
      <c r="AA20">
        <v>7.0000000000000007E-2</v>
      </c>
      <c r="AB20">
        <v>0</v>
      </c>
      <c r="AC20">
        <v>0</v>
      </c>
      <c r="AD20">
        <v>1</v>
      </c>
      <c r="AE20">
        <v>0</v>
      </c>
      <c r="AF20" t="s">
        <v>3</v>
      </c>
      <c r="AG20">
        <v>13</v>
      </c>
      <c r="AH20">
        <v>2</v>
      </c>
      <c r="AI20">
        <v>76396463</v>
      </c>
      <c r="AJ20">
        <v>20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</row>
    <row r="21" spans="1:44" x14ac:dyDescent="0.2">
      <c r="A21">
        <f>ROW(Source!A75)</f>
        <v>75</v>
      </c>
      <c r="B21">
        <v>76396484</v>
      </c>
      <c r="C21">
        <v>76396461</v>
      </c>
      <c r="D21">
        <v>75875897</v>
      </c>
      <c r="E21">
        <v>1</v>
      </c>
      <c r="F21">
        <v>1</v>
      </c>
      <c r="G21">
        <v>15872964</v>
      </c>
      <c r="H21">
        <v>2</v>
      </c>
      <c r="I21" t="s">
        <v>191</v>
      </c>
      <c r="J21" t="s">
        <v>192</v>
      </c>
      <c r="K21" t="s">
        <v>193</v>
      </c>
      <c r="L21">
        <v>1368</v>
      </c>
      <c r="N21">
        <v>1011</v>
      </c>
      <c r="O21" t="s">
        <v>190</v>
      </c>
      <c r="P21" t="s">
        <v>190</v>
      </c>
      <c r="Q21">
        <v>1</v>
      </c>
      <c r="X21">
        <v>0.15</v>
      </c>
      <c r="Y21">
        <v>0</v>
      </c>
      <c r="Z21">
        <v>4.72</v>
      </c>
      <c r="AA21">
        <v>0.1</v>
      </c>
      <c r="AB21">
        <v>0</v>
      </c>
      <c r="AC21">
        <v>0</v>
      </c>
      <c r="AD21">
        <v>1</v>
      </c>
      <c r="AE21">
        <v>0</v>
      </c>
      <c r="AF21" t="s">
        <v>3</v>
      </c>
      <c r="AG21">
        <v>0.15</v>
      </c>
      <c r="AH21">
        <v>2</v>
      </c>
      <c r="AI21">
        <v>76396464</v>
      </c>
      <c r="AJ21">
        <v>21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</row>
    <row r="22" spans="1:44" x14ac:dyDescent="0.2">
      <c r="A22">
        <f>ROW(Source!A75)</f>
        <v>75</v>
      </c>
      <c r="B22">
        <v>76396485</v>
      </c>
      <c r="C22">
        <v>76396461</v>
      </c>
      <c r="D22">
        <v>75877050</v>
      </c>
      <c r="E22">
        <v>1</v>
      </c>
      <c r="F22">
        <v>1</v>
      </c>
      <c r="G22">
        <v>15872964</v>
      </c>
      <c r="H22">
        <v>3</v>
      </c>
      <c r="I22" t="s">
        <v>200</v>
      </c>
      <c r="J22" t="s">
        <v>222</v>
      </c>
      <c r="K22" t="s">
        <v>201</v>
      </c>
      <c r="L22">
        <v>1348</v>
      </c>
      <c r="N22">
        <v>1009</v>
      </c>
      <c r="O22" t="s">
        <v>211</v>
      </c>
      <c r="P22" t="s">
        <v>211</v>
      </c>
      <c r="Q22">
        <v>1000</v>
      </c>
      <c r="X22">
        <v>7.3999999999999999E-4</v>
      </c>
      <c r="Y22">
        <v>190540.34</v>
      </c>
      <c r="Z22">
        <v>0</v>
      </c>
      <c r="AA22">
        <v>0</v>
      </c>
      <c r="AB22">
        <v>0</v>
      </c>
      <c r="AC22">
        <v>0</v>
      </c>
      <c r="AD22">
        <v>1</v>
      </c>
      <c r="AE22">
        <v>0</v>
      </c>
      <c r="AF22" t="s">
        <v>3</v>
      </c>
      <c r="AG22">
        <v>7.3999999999999999E-4</v>
      </c>
      <c r="AH22">
        <v>2</v>
      </c>
      <c r="AI22">
        <v>76396465</v>
      </c>
      <c r="AJ22">
        <v>22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</row>
    <row r="23" spans="1:44" x14ac:dyDescent="0.2">
      <c r="A23">
        <f>ROW(Source!A75)</f>
        <v>75</v>
      </c>
      <c r="B23">
        <v>76396486</v>
      </c>
      <c r="C23">
        <v>76396461</v>
      </c>
      <c r="D23">
        <v>75877023</v>
      </c>
      <c r="E23">
        <v>1</v>
      </c>
      <c r="F23">
        <v>1</v>
      </c>
      <c r="G23">
        <v>15872964</v>
      </c>
      <c r="H23">
        <v>3</v>
      </c>
      <c r="I23" t="s">
        <v>223</v>
      </c>
      <c r="J23" t="s">
        <v>224</v>
      </c>
      <c r="K23" t="s">
        <v>225</v>
      </c>
      <c r="L23">
        <v>1355</v>
      </c>
      <c r="N23">
        <v>1010</v>
      </c>
      <c r="O23" t="s">
        <v>226</v>
      </c>
      <c r="P23" t="s">
        <v>226</v>
      </c>
      <c r="Q23">
        <v>100</v>
      </c>
      <c r="X23">
        <v>4</v>
      </c>
      <c r="Y23">
        <v>997.35</v>
      </c>
      <c r="Z23">
        <v>0</v>
      </c>
      <c r="AA23">
        <v>0</v>
      </c>
      <c r="AB23">
        <v>0</v>
      </c>
      <c r="AC23">
        <v>0</v>
      </c>
      <c r="AD23">
        <v>1</v>
      </c>
      <c r="AE23">
        <v>0</v>
      </c>
      <c r="AF23" t="s">
        <v>3</v>
      </c>
      <c r="AG23">
        <v>4</v>
      </c>
      <c r="AH23">
        <v>2</v>
      </c>
      <c r="AI23">
        <v>76396466</v>
      </c>
      <c r="AJ23">
        <v>23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</row>
    <row r="24" spans="1:44" x14ac:dyDescent="0.2">
      <c r="A24">
        <f>ROW(Source!A75)</f>
        <v>75</v>
      </c>
      <c r="B24">
        <v>76396487</v>
      </c>
      <c r="C24">
        <v>76396461</v>
      </c>
      <c r="D24">
        <v>75878431</v>
      </c>
      <c r="E24">
        <v>1</v>
      </c>
      <c r="F24">
        <v>1</v>
      </c>
      <c r="G24">
        <v>15872964</v>
      </c>
      <c r="H24">
        <v>3</v>
      </c>
      <c r="I24" t="s">
        <v>113</v>
      </c>
      <c r="J24" t="s">
        <v>116</v>
      </c>
      <c r="K24" t="s">
        <v>114</v>
      </c>
      <c r="L24">
        <v>1301</v>
      </c>
      <c r="N24">
        <v>1003</v>
      </c>
      <c r="O24" t="s">
        <v>115</v>
      </c>
      <c r="P24" t="s">
        <v>115</v>
      </c>
      <c r="Q24">
        <v>1</v>
      </c>
      <c r="X24">
        <v>100</v>
      </c>
      <c r="Y24">
        <v>45.22</v>
      </c>
      <c r="Z24">
        <v>0</v>
      </c>
      <c r="AA24">
        <v>0</v>
      </c>
      <c r="AB24">
        <v>0</v>
      </c>
      <c r="AC24">
        <v>0</v>
      </c>
      <c r="AD24">
        <v>1</v>
      </c>
      <c r="AE24">
        <v>0</v>
      </c>
      <c r="AF24" t="s">
        <v>3</v>
      </c>
      <c r="AG24">
        <v>100</v>
      </c>
      <c r="AH24">
        <v>2</v>
      </c>
      <c r="AI24">
        <v>76396467</v>
      </c>
      <c r="AJ24">
        <v>24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</row>
    <row r="25" spans="1:44" x14ac:dyDescent="0.2">
      <c r="A25">
        <f>ROW(Source!A75)</f>
        <v>75</v>
      </c>
      <c r="B25">
        <v>76396488</v>
      </c>
      <c r="C25">
        <v>76396461</v>
      </c>
      <c r="D25">
        <v>75878432</v>
      </c>
      <c r="E25">
        <v>1</v>
      </c>
      <c r="F25">
        <v>1</v>
      </c>
      <c r="G25">
        <v>15872964</v>
      </c>
      <c r="H25">
        <v>3</v>
      </c>
      <c r="I25" t="s">
        <v>118</v>
      </c>
      <c r="J25" t="s">
        <v>121</v>
      </c>
      <c r="K25" t="s">
        <v>119</v>
      </c>
      <c r="L25">
        <v>1356</v>
      </c>
      <c r="N25">
        <v>1010</v>
      </c>
      <c r="O25" t="s">
        <v>120</v>
      </c>
      <c r="P25" t="s">
        <v>120</v>
      </c>
      <c r="Q25">
        <v>1000</v>
      </c>
      <c r="X25">
        <v>2E-3</v>
      </c>
      <c r="Y25">
        <v>46130.16</v>
      </c>
      <c r="Z25">
        <v>0</v>
      </c>
      <c r="AA25">
        <v>0</v>
      </c>
      <c r="AB25">
        <v>0</v>
      </c>
      <c r="AC25">
        <v>0</v>
      </c>
      <c r="AD25">
        <v>1</v>
      </c>
      <c r="AE25">
        <v>0</v>
      </c>
      <c r="AF25" t="s">
        <v>3</v>
      </c>
      <c r="AG25">
        <v>2E-3</v>
      </c>
      <c r="AH25">
        <v>2</v>
      </c>
      <c r="AI25">
        <v>76396469</v>
      </c>
      <c r="AJ25">
        <v>26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</row>
    <row r="26" spans="1:44" x14ac:dyDescent="0.2">
      <c r="A26">
        <f>ROW(Source!A75)</f>
        <v>75</v>
      </c>
      <c r="B26">
        <v>76396489</v>
      </c>
      <c r="C26">
        <v>76396461</v>
      </c>
      <c r="D26">
        <v>75878433</v>
      </c>
      <c r="E26">
        <v>1</v>
      </c>
      <c r="F26">
        <v>1</v>
      </c>
      <c r="G26">
        <v>15872964</v>
      </c>
      <c r="H26">
        <v>3</v>
      </c>
      <c r="I26" t="s">
        <v>123</v>
      </c>
      <c r="J26" t="s">
        <v>125</v>
      </c>
      <c r="K26" t="s">
        <v>124</v>
      </c>
      <c r="L26">
        <v>1356</v>
      </c>
      <c r="N26">
        <v>1010</v>
      </c>
      <c r="O26" t="s">
        <v>120</v>
      </c>
      <c r="P26" t="s">
        <v>120</v>
      </c>
      <c r="Q26">
        <v>1000</v>
      </c>
      <c r="X26">
        <v>1.4999999999999999E-2</v>
      </c>
      <c r="Y26">
        <v>47663.58</v>
      </c>
      <c r="Z26">
        <v>0</v>
      </c>
      <c r="AA26">
        <v>0</v>
      </c>
      <c r="AB26">
        <v>0</v>
      </c>
      <c r="AC26">
        <v>0</v>
      </c>
      <c r="AD26">
        <v>1</v>
      </c>
      <c r="AE26">
        <v>0</v>
      </c>
      <c r="AF26" t="s">
        <v>3</v>
      </c>
      <c r="AG26">
        <v>1.4999999999999999E-2</v>
      </c>
      <c r="AH26">
        <v>2</v>
      </c>
      <c r="AI26">
        <v>76396471</v>
      </c>
      <c r="AJ26">
        <v>28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</row>
    <row r="27" spans="1:44" x14ac:dyDescent="0.2">
      <c r="A27">
        <f>ROW(Source!A75)</f>
        <v>75</v>
      </c>
      <c r="B27">
        <v>76396490</v>
      </c>
      <c r="C27">
        <v>76396461</v>
      </c>
      <c r="D27">
        <v>75878434</v>
      </c>
      <c r="E27">
        <v>1</v>
      </c>
      <c r="F27">
        <v>1</v>
      </c>
      <c r="G27">
        <v>15872964</v>
      </c>
      <c r="H27">
        <v>3</v>
      </c>
      <c r="I27" t="s">
        <v>127</v>
      </c>
      <c r="J27" t="s">
        <v>129</v>
      </c>
      <c r="K27" t="s">
        <v>128</v>
      </c>
      <c r="L27">
        <v>1356</v>
      </c>
      <c r="N27">
        <v>1010</v>
      </c>
      <c r="O27" t="s">
        <v>120</v>
      </c>
      <c r="P27" t="s">
        <v>120</v>
      </c>
      <c r="Q27">
        <v>1000</v>
      </c>
      <c r="X27">
        <v>2E-3</v>
      </c>
      <c r="Y27">
        <v>49894.85</v>
      </c>
      <c r="Z27">
        <v>0</v>
      </c>
      <c r="AA27">
        <v>0</v>
      </c>
      <c r="AB27">
        <v>0</v>
      </c>
      <c r="AC27">
        <v>0</v>
      </c>
      <c r="AD27">
        <v>1</v>
      </c>
      <c r="AE27">
        <v>0</v>
      </c>
      <c r="AF27" t="s">
        <v>3</v>
      </c>
      <c r="AG27">
        <v>2E-3</v>
      </c>
      <c r="AH27">
        <v>2</v>
      </c>
      <c r="AI27">
        <v>76396473</v>
      </c>
      <c r="AJ27">
        <v>30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</row>
    <row r="28" spans="1:44" x14ac:dyDescent="0.2">
      <c r="A28">
        <f>ROW(Source!A75)</f>
        <v>75</v>
      </c>
      <c r="B28">
        <v>76396491</v>
      </c>
      <c r="C28">
        <v>76396461</v>
      </c>
      <c r="D28">
        <v>75878435</v>
      </c>
      <c r="E28">
        <v>1</v>
      </c>
      <c r="F28">
        <v>1</v>
      </c>
      <c r="G28">
        <v>15872964</v>
      </c>
      <c r="H28">
        <v>3</v>
      </c>
      <c r="I28" t="s">
        <v>131</v>
      </c>
      <c r="J28" t="s">
        <v>133</v>
      </c>
      <c r="K28" t="s">
        <v>132</v>
      </c>
      <c r="L28">
        <v>1356</v>
      </c>
      <c r="N28">
        <v>1010</v>
      </c>
      <c r="O28" t="s">
        <v>120</v>
      </c>
      <c r="P28" t="s">
        <v>120</v>
      </c>
      <c r="Q28">
        <v>1000</v>
      </c>
      <c r="X28">
        <v>1.4999999999999999E-2</v>
      </c>
      <c r="Y28">
        <v>35547.599999999999</v>
      </c>
      <c r="Z28">
        <v>0</v>
      </c>
      <c r="AA28">
        <v>0</v>
      </c>
      <c r="AB28">
        <v>0</v>
      </c>
      <c r="AC28">
        <v>0</v>
      </c>
      <c r="AD28">
        <v>1</v>
      </c>
      <c r="AE28">
        <v>0</v>
      </c>
      <c r="AF28" t="s">
        <v>3</v>
      </c>
      <c r="AG28">
        <v>1.4999999999999999E-2</v>
      </c>
      <c r="AH28">
        <v>2</v>
      </c>
      <c r="AI28">
        <v>76396475</v>
      </c>
      <c r="AJ28">
        <v>32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</row>
    <row r="29" spans="1:44" x14ac:dyDescent="0.2">
      <c r="A29">
        <f>ROW(Source!A75)</f>
        <v>75</v>
      </c>
      <c r="B29">
        <v>76396492</v>
      </c>
      <c r="C29">
        <v>76396461</v>
      </c>
      <c r="D29">
        <v>75878436</v>
      </c>
      <c r="E29">
        <v>1</v>
      </c>
      <c r="F29">
        <v>1</v>
      </c>
      <c r="G29">
        <v>15872964</v>
      </c>
      <c r="H29">
        <v>3</v>
      </c>
      <c r="I29" t="s">
        <v>135</v>
      </c>
      <c r="J29" t="s">
        <v>137</v>
      </c>
      <c r="K29" t="s">
        <v>136</v>
      </c>
      <c r="L29">
        <v>1356</v>
      </c>
      <c r="N29">
        <v>1010</v>
      </c>
      <c r="O29" t="s">
        <v>120</v>
      </c>
      <c r="P29" t="s">
        <v>120</v>
      </c>
      <c r="Q29">
        <v>1000</v>
      </c>
      <c r="X29">
        <v>2E-3</v>
      </c>
      <c r="Y29">
        <v>50599.41</v>
      </c>
      <c r="Z29">
        <v>0</v>
      </c>
      <c r="AA29">
        <v>0</v>
      </c>
      <c r="AB29">
        <v>0</v>
      </c>
      <c r="AC29">
        <v>0</v>
      </c>
      <c r="AD29">
        <v>1</v>
      </c>
      <c r="AE29">
        <v>0</v>
      </c>
      <c r="AF29" t="s">
        <v>3</v>
      </c>
      <c r="AG29">
        <v>2E-3</v>
      </c>
      <c r="AH29">
        <v>2</v>
      </c>
      <c r="AI29">
        <v>76396477</v>
      </c>
      <c r="AJ29">
        <v>34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</row>
    <row r="30" spans="1:44" x14ac:dyDescent="0.2">
      <c r="A30">
        <f>ROW(Source!A75)</f>
        <v>75</v>
      </c>
      <c r="B30">
        <v>76396493</v>
      </c>
      <c r="C30">
        <v>76396461</v>
      </c>
      <c r="D30">
        <v>75878437</v>
      </c>
      <c r="E30">
        <v>1</v>
      </c>
      <c r="F30">
        <v>1</v>
      </c>
      <c r="G30">
        <v>15872964</v>
      </c>
      <c r="H30">
        <v>3</v>
      </c>
      <c r="I30" t="s">
        <v>139</v>
      </c>
      <c r="J30" t="s">
        <v>141</v>
      </c>
      <c r="K30" t="s">
        <v>140</v>
      </c>
      <c r="L30">
        <v>1356</v>
      </c>
      <c r="N30">
        <v>1010</v>
      </c>
      <c r="O30" t="s">
        <v>120</v>
      </c>
      <c r="P30" t="s">
        <v>120</v>
      </c>
      <c r="Q30">
        <v>1000</v>
      </c>
      <c r="X30">
        <v>4.0000000000000001E-3</v>
      </c>
      <c r="Y30">
        <v>20680.189999999999</v>
      </c>
      <c r="Z30">
        <v>0</v>
      </c>
      <c r="AA30">
        <v>0</v>
      </c>
      <c r="AB30">
        <v>0</v>
      </c>
      <c r="AC30">
        <v>0</v>
      </c>
      <c r="AD30">
        <v>1</v>
      </c>
      <c r="AE30">
        <v>0</v>
      </c>
      <c r="AF30" t="s">
        <v>3</v>
      </c>
      <c r="AG30">
        <v>4.0000000000000001E-3</v>
      </c>
      <c r="AH30">
        <v>2</v>
      </c>
      <c r="AI30">
        <v>76396479</v>
      </c>
      <c r="AJ30">
        <v>36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</row>
    <row r="31" spans="1:44" x14ac:dyDescent="0.2">
      <c r="A31">
        <f>ROW(Source!A75)</f>
        <v>75</v>
      </c>
      <c r="B31">
        <v>76396494</v>
      </c>
      <c r="C31">
        <v>76396461</v>
      </c>
      <c r="D31">
        <v>75880318</v>
      </c>
      <c r="E31">
        <v>1</v>
      </c>
      <c r="F31">
        <v>1</v>
      </c>
      <c r="G31">
        <v>15872964</v>
      </c>
      <c r="H31">
        <v>3</v>
      </c>
      <c r="I31" t="s">
        <v>227</v>
      </c>
      <c r="J31" t="s">
        <v>228</v>
      </c>
      <c r="K31" t="s">
        <v>229</v>
      </c>
      <c r="L31">
        <v>1354</v>
      </c>
      <c r="N31">
        <v>1010</v>
      </c>
      <c r="O31" t="s">
        <v>18</v>
      </c>
      <c r="P31" t="s">
        <v>18</v>
      </c>
      <c r="Q31">
        <v>1</v>
      </c>
      <c r="X31">
        <v>4</v>
      </c>
      <c r="Y31">
        <v>1555.5</v>
      </c>
      <c r="Z31">
        <v>0</v>
      </c>
      <c r="AA31">
        <v>0</v>
      </c>
      <c r="AB31">
        <v>0</v>
      </c>
      <c r="AC31">
        <v>0</v>
      </c>
      <c r="AD31">
        <v>1</v>
      </c>
      <c r="AE31">
        <v>0</v>
      </c>
      <c r="AF31" t="s">
        <v>3</v>
      </c>
      <c r="AG31">
        <v>4</v>
      </c>
      <c r="AH31">
        <v>2</v>
      </c>
      <c r="AI31">
        <v>76396481</v>
      </c>
      <c r="AJ31">
        <v>38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</row>
    <row r="32" spans="1:44" x14ac:dyDescent="0.2">
      <c r="A32">
        <f>ROW(Source!A83)</f>
        <v>83</v>
      </c>
      <c r="B32">
        <v>76396512</v>
      </c>
      <c r="C32">
        <v>76396502</v>
      </c>
      <c r="D32">
        <v>75874090</v>
      </c>
      <c r="E32">
        <v>15872964</v>
      </c>
      <c r="F32">
        <v>1</v>
      </c>
      <c r="G32">
        <v>15872964</v>
      </c>
      <c r="H32">
        <v>1</v>
      </c>
      <c r="I32" t="s">
        <v>184</v>
      </c>
      <c r="J32" t="s">
        <v>3</v>
      </c>
      <c r="K32" t="s">
        <v>185</v>
      </c>
      <c r="L32">
        <v>1191</v>
      </c>
      <c r="N32">
        <v>1013</v>
      </c>
      <c r="O32" t="s">
        <v>186</v>
      </c>
      <c r="P32" t="s">
        <v>186</v>
      </c>
      <c r="Q32">
        <v>1</v>
      </c>
      <c r="X32">
        <v>3.55</v>
      </c>
      <c r="Y32">
        <v>0</v>
      </c>
      <c r="Z32">
        <v>0</v>
      </c>
      <c r="AA32">
        <v>0</v>
      </c>
      <c r="AB32">
        <v>0</v>
      </c>
      <c r="AC32">
        <v>0</v>
      </c>
      <c r="AD32">
        <v>1</v>
      </c>
      <c r="AE32">
        <v>1</v>
      </c>
      <c r="AF32" t="s">
        <v>3</v>
      </c>
      <c r="AG32">
        <v>3.55</v>
      </c>
      <c r="AH32">
        <v>2</v>
      </c>
      <c r="AI32">
        <v>76396503</v>
      </c>
      <c r="AJ32">
        <v>39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</row>
    <row r="33" spans="1:44" x14ac:dyDescent="0.2">
      <c r="A33">
        <f>ROW(Source!A83)</f>
        <v>83</v>
      </c>
      <c r="B33">
        <v>76396513</v>
      </c>
      <c r="C33">
        <v>76396502</v>
      </c>
      <c r="D33">
        <v>75877711</v>
      </c>
      <c r="E33">
        <v>1</v>
      </c>
      <c r="F33">
        <v>1</v>
      </c>
      <c r="G33">
        <v>15872964</v>
      </c>
      <c r="H33">
        <v>3</v>
      </c>
      <c r="I33" t="s">
        <v>230</v>
      </c>
      <c r="J33" t="s">
        <v>231</v>
      </c>
      <c r="K33" t="s">
        <v>232</v>
      </c>
      <c r="L33">
        <v>1346</v>
      </c>
      <c r="N33">
        <v>1009</v>
      </c>
      <c r="O33" t="s">
        <v>202</v>
      </c>
      <c r="P33" t="s">
        <v>202</v>
      </c>
      <c r="Q33">
        <v>1</v>
      </c>
      <c r="X33">
        <v>0.16</v>
      </c>
      <c r="Y33">
        <v>363.22</v>
      </c>
      <c r="Z33">
        <v>0</v>
      </c>
      <c r="AA33">
        <v>0</v>
      </c>
      <c r="AB33">
        <v>0</v>
      </c>
      <c r="AC33">
        <v>0</v>
      </c>
      <c r="AD33">
        <v>1</v>
      </c>
      <c r="AE33">
        <v>0</v>
      </c>
      <c r="AF33" t="s">
        <v>3</v>
      </c>
      <c r="AG33">
        <v>0.16</v>
      </c>
      <c r="AH33">
        <v>2</v>
      </c>
      <c r="AI33">
        <v>76396504</v>
      </c>
      <c r="AJ33">
        <v>40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</row>
    <row r="34" spans="1:44" x14ac:dyDescent="0.2">
      <c r="A34">
        <f>ROW(Source!A83)</f>
        <v>83</v>
      </c>
      <c r="B34">
        <v>76396514</v>
      </c>
      <c r="C34">
        <v>76396502</v>
      </c>
      <c r="D34">
        <v>75885001</v>
      </c>
      <c r="E34">
        <v>1</v>
      </c>
      <c r="F34">
        <v>1</v>
      </c>
      <c r="G34">
        <v>15872964</v>
      </c>
      <c r="H34">
        <v>3</v>
      </c>
      <c r="I34" t="s">
        <v>233</v>
      </c>
      <c r="J34" t="s">
        <v>234</v>
      </c>
      <c r="K34" t="s">
        <v>235</v>
      </c>
      <c r="L34">
        <v>1301</v>
      </c>
      <c r="N34">
        <v>1003</v>
      </c>
      <c r="O34" t="s">
        <v>115</v>
      </c>
      <c r="P34" t="s">
        <v>115</v>
      </c>
      <c r="Q34">
        <v>1</v>
      </c>
      <c r="X34">
        <v>5</v>
      </c>
      <c r="Y34">
        <v>5.71</v>
      </c>
      <c r="Z34">
        <v>0</v>
      </c>
      <c r="AA34">
        <v>0</v>
      </c>
      <c r="AB34">
        <v>0</v>
      </c>
      <c r="AC34">
        <v>0</v>
      </c>
      <c r="AD34">
        <v>1</v>
      </c>
      <c r="AE34">
        <v>0</v>
      </c>
      <c r="AF34" t="s">
        <v>3</v>
      </c>
      <c r="AG34">
        <v>5</v>
      </c>
      <c r="AH34">
        <v>2</v>
      </c>
      <c r="AI34">
        <v>76396505</v>
      </c>
      <c r="AJ34">
        <v>41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</row>
    <row r="35" spans="1:44" x14ac:dyDescent="0.2">
      <c r="A35">
        <f>ROW(Source!A83)</f>
        <v>83</v>
      </c>
      <c r="B35">
        <v>76396515</v>
      </c>
      <c r="C35">
        <v>76396502</v>
      </c>
      <c r="D35">
        <v>75884898</v>
      </c>
      <c r="E35">
        <v>1</v>
      </c>
      <c r="F35">
        <v>1</v>
      </c>
      <c r="G35">
        <v>15872964</v>
      </c>
      <c r="H35">
        <v>3</v>
      </c>
      <c r="I35" t="s">
        <v>236</v>
      </c>
      <c r="J35" t="s">
        <v>237</v>
      </c>
      <c r="K35" t="s">
        <v>238</v>
      </c>
      <c r="L35">
        <v>1356</v>
      </c>
      <c r="N35">
        <v>1010</v>
      </c>
      <c r="O35" t="s">
        <v>120</v>
      </c>
      <c r="P35" t="s">
        <v>120</v>
      </c>
      <c r="Q35">
        <v>1000</v>
      </c>
      <c r="X35">
        <v>5.0000000000000001E-3</v>
      </c>
      <c r="Y35">
        <v>718.56</v>
      </c>
      <c r="Z35">
        <v>0</v>
      </c>
      <c r="AA35">
        <v>0</v>
      </c>
      <c r="AB35">
        <v>0</v>
      </c>
      <c r="AC35">
        <v>0</v>
      </c>
      <c r="AD35">
        <v>1</v>
      </c>
      <c r="AE35">
        <v>0</v>
      </c>
      <c r="AF35" t="s">
        <v>3</v>
      </c>
      <c r="AG35">
        <v>5.0000000000000001E-3</v>
      </c>
      <c r="AH35">
        <v>2</v>
      </c>
      <c r="AI35">
        <v>76396506</v>
      </c>
      <c r="AJ35">
        <v>42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</row>
    <row r="36" spans="1:44" x14ac:dyDescent="0.2">
      <c r="A36">
        <f>ROW(Source!A83)</f>
        <v>83</v>
      </c>
      <c r="B36">
        <v>76396516</v>
      </c>
      <c r="C36">
        <v>76396502</v>
      </c>
      <c r="D36">
        <v>75885182</v>
      </c>
      <c r="E36">
        <v>1</v>
      </c>
      <c r="F36">
        <v>1</v>
      </c>
      <c r="G36">
        <v>15872964</v>
      </c>
      <c r="H36">
        <v>3</v>
      </c>
      <c r="I36" t="s">
        <v>239</v>
      </c>
      <c r="J36" t="s">
        <v>240</v>
      </c>
      <c r="K36" t="s">
        <v>241</v>
      </c>
      <c r="L36">
        <v>1354</v>
      </c>
      <c r="N36">
        <v>1010</v>
      </c>
      <c r="O36" t="s">
        <v>18</v>
      </c>
      <c r="P36" t="s">
        <v>18</v>
      </c>
      <c r="Q36">
        <v>1</v>
      </c>
      <c r="X36">
        <v>10</v>
      </c>
      <c r="Y36">
        <v>29.36</v>
      </c>
      <c r="Z36">
        <v>0</v>
      </c>
      <c r="AA36">
        <v>0</v>
      </c>
      <c r="AB36">
        <v>0</v>
      </c>
      <c r="AC36">
        <v>0</v>
      </c>
      <c r="AD36">
        <v>1</v>
      </c>
      <c r="AE36">
        <v>0</v>
      </c>
      <c r="AF36" t="s">
        <v>3</v>
      </c>
      <c r="AG36">
        <v>10</v>
      </c>
      <c r="AH36">
        <v>2</v>
      </c>
      <c r="AI36">
        <v>76396507</v>
      </c>
      <c r="AJ36">
        <v>43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</row>
    <row r="37" spans="1:44" x14ac:dyDescent="0.2">
      <c r="A37">
        <f>ROW(Source!A83)</f>
        <v>83</v>
      </c>
      <c r="B37">
        <v>76396517</v>
      </c>
      <c r="C37">
        <v>76396502</v>
      </c>
      <c r="D37">
        <v>75885213</v>
      </c>
      <c r="E37">
        <v>1</v>
      </c>
      <c r="F37">
        <v>1</v>
      </c>
      <c r="G37">
        <v>15872964</v>
      </c>
      <c r="H37">
        <v>3</v>
      </c>
      <c r="I37" t="s">
        <v>242</v>
      </c>
      <c r="J37" t="s">
        <v>243</v>
      </c>
      <c r="K37" t="s">
        <v>244</v>
      </c>
      <c r="L37">
        <v>1355</v>
      </c>
      <c r="N37">
        <v>1010</v>
      </c>
      <c r="O37" t="s">
        <v>226</v>
      </c>
      <c r="P37" t="s">
        <v>226</v>
      </c>
      <c r="Q37">
        <v>100</v>
      </c>
      <c r="X37">
        <v>0.26</v>
      </c>
      <c r="Y37">
        <v>127.48</v>
      </c>
      <c r="Z37">
        <v>0</v>
      </c>
      <c r="AA37">
        <v>0</v>
      </c>
      <c r="AB37">
        <v>0</v>
      </c>
      <c r="AC37">
        <v>0</v>
      </c>
      <c r="AD37">
        <v>1</v>
      </c>
      <c r="AE37">
        <v>0</v>
      </c>
      <c r="AF37" t="s">
        <v>3</v>
      </c>
      <c r="AG37">
        <v>0.26</v>
      </c>
      <c r="AH37">
        <v>2</v>
      </c>
      <c r="AI37">
        <v>76396508</v>
      </c>
      <c r="AJ37">
        <v>44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</row>
    <row r="38" spans="1:44" x14ac:dyDescent="0.2">
      <c r="A38">
        <f>ROW(Source!A83)</f>
        <v>83</v>
      </c>
      <c r="B38">
        <v>76396518</v>
      </c>
      <c r="C38">
        <v>76396502</v>
      </c>
      <c r="D38">
        <v>75884935</v>
      </c>
      <c r="E38">
        <v>1</v>
      </c>
      <c r="F38">
        <v>1</v>
      </c>
      <c r="G38">
        <v>15872964</v>
      </c>
      <c r="H38">
        <v>3</v>
      </c>
      <c r="I38" t="s">
        <v>245</v>
      </c>
      <c r="J38" t="s">
        <v>246</v>
      </c>
      <c r="K38" t="s">
        <v>247</v>
      </c>
      <c r="L38">
        <v>1356</v>
      </c>
      <c r="N38">
        <v>1010</v>
      </c>
      <c r="O38" t="s">
        <v>120</v>
      </c>
      <c r="P38" t="s">
        <v>120</v>
      </c>
      <c r="Q38">
        <v>1000</v>
      </c>
      <c r="X38">
        <v>0.02</v>
      </c>
      <c r="Y38">
        <v>258.44</v>
      </c>
      <c r="Z38">
        <v>0</v>
      </c>
      <c r="AA38">
        <v>0</v>
      </c>
      <c r="AB38">
        <v>0</v>
      </c>
      <c r="AC38">
        <v>0</v>
      </c>
      <c r="AD38">
        <v>1</v>
      </c>
      <c r="AE38">
        <v>0</v>
      </c>
      <c r="AF38" t="s">
        <v>3</v>
      </c>
      <c r="AG38">
        <v>0.02</v>
      </c>
      <c r="AH38">
        <v>2</v>
      </c>
      <c r="AI38">
        <v>76396509</v>
      </c>
      <c r="AJ38">
        <v>45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</row>
    <row r="39" spans="1:44" x14ac:dyDescent="0.2">
      <c r="A39">
        <f>ROW(Source!A83)</f>
        <v>83</v>
      </c>
      <c r="B39">
        <v>76396519</v>
      </c>
      <c r="C39">
        <v>76396502</v>
      </c>
      <c r="D39">
        <v>75886288</v>
      </c>
      <c r="E39">
        <v>1</v>
      </c>
      <c r="F39">
        <v>1</v>
      </c>
      <c r="G39">
        <v>15872964</v>
      </c>
      <c r="H39">
        <v>3</v>
      </c>
      <c r="I39" t="s">
        <v>147</v>
      </c>
      <c r="J39" t="s">
        <v>150</v>
      </c>
      <c r="K39" t="s">
        <v>148</v>
      </c>
      <c r="L39">
        <v>1303</v>
      </c>
      <c r="N39">
        <v>1003</v>
      </c>
      <c r="O39" t="s">
        <v>149</v>
      </c>
      <c r="P39" t="s">
        <v>149</v>
      </c>
      <c r="Q39">
        <v>1000</v>
      </c>
      <c r="X39">
        <v>0.10299999999999999</v>
      </c>
      <c r="Y39">
        <v>99643.05</v>
      </c>
      <c r="Z39">
        <v>0</v>
      </c>
      <c r="AA39">
        <v>0</v>
      </c>
      <c r="AB39">
        <v>0</v>
      </c>
      <c r="AC39">
        <v>0</v>
      </c>
      <c r="AD39">
        <v>1</v>
      </c>
      <c r="AE39">
        <v>0</v>
      </c>
      <c r="AF39" t="s">
        <v>3</v>
      </c>
      <c r="AG39">
        <v>0.10299999999999999</v>
      </c>
      <c r="AH39">
        <v>2</v>
      </c>
      <c r="AI39">
        <v>76396510</v>
      </c>
      <c r="AJ39">
        <v>46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</row>
    <row r="40" spans="1:44" x14ac:dyDescent="0.2">
      <c r="A40">
        <f>ROW(Source!A85)</f>
        <v>85</v>
      </c>
      <c r="B40">
        <v>76396532</v>
      </c>
      <c r="C40">
        <v>76396521</v>
      </c>
      <c r="D40">
        <v>75874090</v>
      </c>
      <c r="E40">
        <v>15872964</v>
      </c>
      <c r="F40">
        <v>1</v>
      </c>
      <c r="G40">
        <v>15872964</v>
      </c>
      <c r="H40">
        <v>1</v>
      </c>
      <c r="I40" t="s">
        <v>184</v>
      </c>
      <c r="J40" t="s">
        <v>3</v>
      </c>
      <c r="K40" t="s">
        <v>185</v>
      </c>
      <c r="L40">
        <v>1191</v>
      </c>
      <c r="N40">
        <v>1013</v>
      </c>
      <c r="O40" t="s">
        <v>186</v>
      </c>
      <c r="P40" t="s">
        <v>186</v>
      </c>
      <c r="Q40">
        <v>1</v>
      </c>
      <c r="X40">
        <v>44.46</v>
      </c>
      <c r="Y40">
        <v>0</v>
      </c>
      <c r="Z40">
        <v>0</v>
      </c>
      <c r="AA40">
        <v>0</v>
      </c>
      <c r="AB40">
        <v>0</v>
      </c>
      <c r="AC40">
        <v>0</v>
      </c>
      <c r="AD40">
        <v>1</v>
      </c>
      <c r="AE40">
        <v>1</v>
      </c>
      <c r="AF40" t="s">
        <v>3</v>
      </c>
      <c r="AG40">
        <v>44.46</v>
      </c>
      <c r="AH40">
        <v>2</v>
      </c>
      <c r="AI40">
        <v>76396522</v>
      </c>
      <c r="AJ40">
        <v>48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</row>
    <row r="41" spans="1:44" x14ac:dyDescent="0.2">
      <c r="A41">
        <f>ROW(Source!A85)</f>
        <v>85</v>
      </c>
      <c r="B41">
        <v>76396533</v>
      </c>
      <c r="C41">
        <v>76396521</v>
      </c>
      <c r="D41">
        <v>75875824</v>
      </c>
      <c r="E41">
        <v>1</v>
      </c>
      <c r="F41">
        <v>1</v>
      </c>
      <c r="G41">
        <v>15872964</v>
      </c>
      <c r="H41">
        <v>2</v>
      </c>
      <c r="I41" t="s">
        <v>194</v>
      </c>
      <c r="J41" t="s">
        <v>195</v>
      </c>
      <c r="K41" t="s">
        <v>196</v>
      </c>
      <c r="L41">
        <v>1368</v>
      </c>
      <c r="N41">
        <v>1011</v>
      </c>
      <c r="O41" t="s">
        <v>190</v>
      </c>
      <c r="P41" t="s">
        <v>190</v>
      </c>
      <c r="Q41">
        <v>1</v>
      </c>
      <c r="X41">
        <v>24.16</v>
      </c>
      <c r="Y41">
        <v>0</v>
      </c>
      <c r="Z41">
        <v>5.13</v>
      </c>
      <c r="AA41">
        <v>7.0000000000000007E-2</v>
      </c>
      <c r="AB41">
        <v>0</v>
      </c>
      <c r="AC41">
        <v>0</v>
      </c>
      <c r="AD41">
        <v>1</v>
      </c>
      <c r="AE41">
        <v>0</v>
      </c>
      <c r="AF41" t="s">
        <v>3</v>
      </c>
      <c r="AG41">
        <v>24.16</v>
      </c>
      <c r="AH41">
        <v>2</v>
      </c>
      <c r="AI41">
        <v>76396523</v>
      </c>
      <c r="AJ41">
        <v>49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</row>
    <row r="42" spans="1:44" x14ac:dyDescent="0.2">
      <c r="A42">
        <f>ROW(Source!A85)</f>
        <v>85</v>
      </c>
      <c r="B42">
        <v>76396534</v>
      </c>
      <c r="C42">
        <v>76396521</v>
      </c>
      <c r="D42">
        <v>75876675</v>
      </c>
      <c r="E42">
        <v>1</v>
      </c>
      <c r="F42">
        <v>1</v>
      </c>
      <c r="G42">
        <v>15872964</v>
      </c>
      <c r="H42">
        <v>3</v>
      </c>
      <c r="I42" t="s">
        <v>248</v>
      </c>
      <c r="J42" t="s">
        <v>249</v>
      </c>
      <c r="K42" t="s">
        <v>250</v>
      </c>
      <c r="L42">
        <v>1348</v>
      </c>
      <c r="N42">
        <v>1009</v>
      </c>
      <c r="O42" t="s">
        <v>211</v>
      </c>
      <c r="P42" t="s">
        <v>211</v>
      </c>
      <c r="Q42">
        <v>1000</v>
      </c>
      <c r="X42">
        <v>2.06E-2</v>
      </c>
      <c r="Y42">
        <v>75003.520000000004</v>
      </c>
      <c r="Z42">
        <v>0</v>
      </c>
      <c r="AA42">
        <v>0</v>
      </c>
      <c r="AB42">
        <v>0</v>
      </c>
      <c r="AC42">
        <v>0</v>
      </c>
      <c r="AD42">
        <v>1</v>
      </c>
      <c r="AE42">
        <v>0</v>
      </c>
      <c r="AF42" t="s">
        <v>3</v>
      </c>
      <c r="AG42">
        <v>2.06E-2</v>
      </c>
      <c r="AH42">
        <v>2</v>
      </c>
      <c r="AI42">
        <v>76396524</v>
      </c>
      <c r="AJ42">
        <v>50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</row>
    <row r="43" spans="1:44" x14ac:dyDescent="0.2">
      <c r="A43">
        <f>ROW(Source!A85)</f>
        <v>85</v>
      </c>
      <c r="B43">
        <v>76396535</v>
      </c>
      <c r="C43">
        <v>76396521</v>
      </c>
      <c r="D43">
        <v>75877070</v>
      </c>
      <c r="E43">
        <v>1</v>
      </c>
      <c r="F43">
        <v>1</v>
      </c>
      <c r="G43">
        <v>15872964</v>
      </c>
      <c r="H43">
        <v>3</v>
      </c>
      <c r="I43" t="s">
        <v>251</v>
      </c>
      <c r="J43" t="s">
        <v>252</v>
      </c>
      <c r="K43" t="s">
        <v>253</v>
      </c>
      <c r="L43">
        <v>1346</v>
      </c>
      <c r="N43">
        <v>1009</v>
      </c>
      <c r="O43" t="s">
        <v>202</v>
      </c>
      <c r="P43" t="s">
        <v>202</v>
      </c>
      <c r="Q43">
        <v>1</v>
      </c>
      <c r="X43">
        <v>0.96599999999999997</v>
      </c>
      <c r="Y43">
        <v>139.9</v>
      </c>
      <c r="Z43">
        <v>0</v>
      </c>
      <c r="AA43">
        <v>0</v>
      </c>
      <c r="AB43">
        <v>0</v>
      </c>
      <c r="AC43">
        <v>0</v>
      </c>
      <c r="AD43">
        <v>1</v>
      </c>
      <c r="AE43">
        <v>0</v>
      </c>
      <c r="AF43" t="s">
        <v>3</v>
      </c>
      <c r="AG43">
        <v>0.96599999999999997</v>
      </c>
      <c r="AH43">
        <v>2</v>
      </c>
      <c r="AI43">
        <v>76396525</v>
      </c>
      <c r="AJ43">
        <v>51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</row>
    <row r="44" spans="1:44" x14ac:dyDescent="0.2">
      <c r="A44">
        <f>ROW(Source!A85)</f>
        <v>85</v>
      </c>
      <c r="B44">
        <v>76396536</v>
      </c>
      <c r="C44">
        <v>76396521</v>
      </c>
      <c r="D44">
        <v>75877140</v>
      </c>
      <c r="E44">
        <v>1</v>
      </c>
      <c r="F44">
        <v>1</v>
      </c>
      <c r="G44">
        <v>15872964</v>
      </c>
      <c r="H44">
        <v>3</v>
      </c>
      <c r="I44" t="s">
        <v>203</v>
      </c>
      <c r="J44" t="s">
        <v>204</v>
      </c>
      <c r="K44" t="s">
        <v>205</v>
      </c>
      <c r="L44">
        <v>1354</v>
      </c>
      <c r="N44">
        <v>1010</v>
      </c>
      <c r="O44" t="s">
        <v>18</v>
      </c>
      <c r="P44" t="s">
        <v>18</v>
      </c>
      <c r="Q44">
        <v>1</v>
      </c>
      <c r="X44">
        <v>580</v>
      </c>
      <c r="Y44">
        <v>1.23</v>
      </c>
      <c r="Z44">
        <v>0</v>
      </c>
      <c r="AA44">
        <v>0</v>
      </c>
      <c r="AB44">
        <v>0</v>
      </c>
      <c r="AC44">
        <v>0</v>
      </c>
      <c r="AD44">
        <v>1</v>
      </c>
      <c r="AE44">
        <v>0</v>
      </c>
      <c r="AF44" t="s">
        <v>3</v>
      </c>
      <c r="AG44">
        <v>580</v>
      </c>
      <c r="AH44">
        <v>2</v>
      </c>
      <c r="AI44">
        <v>76396526</v>
      </c>
      <c r="AJ44">
        <v>52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</row>
    <row r="45" spans="1:44" x14ac:dyDescent="0.2">
      <c r="A45">
        <f>ROW(Source!A85)</f>
        <v>85</v>
      </c>
      <c r="B45">
        <v>76396537</v>
      </c>
      <c r="C45">
        <v>76396521</v>
      </c>
      <c r="D45">
        <v>75881998</v>
      </c>
      <c r="E45">
        <v>1</v>
      </c>
      <c r="F45">
        <v>1</v>
      </c>
      <c r="G45">
        <v>15872964</v>
      </c>
      <c r="H45">
        <v>3</v>
      </c>
      <c r="I45" t="s">
        <v>156</v>
      </c>
      <c r="J45" t="s">
        <v>158</v>
      </c>
      <c r="K45" t="s">
        <v>157</v>
      </c>
      <c r="L45">
        <v>1301</v>
      </c>
      <c r="N45">
        <v>1003</v>
      </c>
      <c r="O45" t="s">
        <v>115</v>
      </c>
      <c r="P45" t="s">
        <v>115</v>
      </c>
      <c r="Q45">
        <v>1</v>
      </c>
      <c r="X45">
        <v>102</v>
      </c>
      <c r="Y45">
        <v>33.31</v>
      </c>
      <c r="Z45">
        <v>0</v>
      </c>
      <c r="AA45">
        <v>0</v>
      </c>
      <c r="AB45">
        <v>0</v>
      </c>
      <c r="AC45">
        <v>0</v>
      </c>
      <c r="AD45">
        <v>1</v>
      </c>
      <c r="AE45">
        <v>0</v>
      </c>
      <c r="AF45" t="s">
        <v>3</v>
      </c>
      <c r="AG45">
        <v>102</v>
      </c>
      <c r="AH45">
        <v>2</v>
      </c>
      <c r="AI45">
        <v>76396527</v>
      </c>
      <c r="AJ45">
        <v>53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</row>
    <row r="46" spans="1:44" x14ac:dyDescent="0.2">
      <c r="A46">
        <f>ROW(Source!A85)</f>
        <v>85</v>
      </c>
      <c r="B46">
        <v>76396538</v>
      </c>
      <c r="C46">
        <v>76396521</v>
      </c>
      <c r="D46">
        <v>75885189</v>
      </c>
      <c r="E46">
        <v>1</v>
      </c>
      <c r="F46">
        <v>1</v>
      </c>
      <c r="G46">
        <v>15872964</v>
      </c>
      <c r="H46">
        <v>3</v>
      </c>
      <c r="I46" t="s">
        <v>254</v>
      </c>
      <c r="J46" t="s">
        <v>255</v>
      </c>
      <c r="K46" t="s">
        <v>256</v>
      </c>
      <c r="L46">
        <v>1354</v>
      </c>
      <c r="N46">
        <v>1010</v>
      </c>
      <c r="O46" t="s">
        <v>18</v>
      </c>
      <c r="P46" t="s">
        <v>18</v>
      </c>
      <c r="Q46">
        <v>1</v>
      </c>
      <c r="X46">
        <v>290</v>
      </c>
      <c r="Y46">
        <v>3.44</v>
      </c>
      <c r="Z46">
        <v>0</v>
      </c>
      <c r="AA46">
        <v>0</v>
      </c>
      <c r="AB46">
        <v>0</v>
      </c>
      <c r="AC46">
        <v>0</v>
      </c>
      <c r="AD46">
        <v>1</v>
      </c>
      <c r="AE46">
        <v>0</v>
      </c>
      <c r="AF46" t="s">
        <v>3</v>
      </c>
      <c r="AG46">
        <v>290</v>
      </c>
      <c r="AH46">
        <v>2</v>
      </c>
      <c r="AI46">
        <v>76396529</v>
      </c>
      <c r="AJ46">
        <v>55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</row>
    <row r="47" spans="1:44" x14ac:dyDescent="0.2">
      <c r="A47">
        <f>ROW(Source!A85)</f>
        <v>85</v>
      </c>
      <c r="B47">
        <v>76396539</v>
      </c>
      <c r="C47">
        <v>76396521</v>
      </c>
      <c r="D47">
        <v>75884951</v>
      </c>
      <c r="E47">
        <v>1</v>
      </c>
      <c r="F47">
        <v>1</v>
      </c>
      <c r="G47">
        <v>15872964</v>
      </c>
      <c r="H47">
        <v>3</v>
      </c>
      <c r="I47" t="s">
        <v>257</v>
      </c>
      <c r="J47" t="s">
        <v>258</v>
      </c>
      <c r="K47" t="s">
        <v>259</v>
      </c>
      <c r="L47">
        <v>1354</v>
      </c>
      <c r="N47">
        <v>1010</v>
      </c>
      <c r="O47" t="s">
        <v>18</v>
      </c>
      <c r="P47" t="s">
        <v>18</v>
      </c>
      <c r="Q47">
        <v>1</v>
      </c>
      <c r="X47">
        <v>10</v>
      </c>
      <c r="Y47">
        <v>58.95</v>
      </c>
      <c r="Z47">
        <v>0</v>
      </c>
      <c r="AA47">
        <v>0</v>
      </c>
      <c r="AB47">
        <v>0</v>
      </c>
      <c r="AC47">
        <v>0</v>
      </c>
      <c r="AD47">
        <v>1</v>
      </c>
      <c r="AE47">
        <v>0</v>
      </c>
      <c r="AF47" t="s">
        <v>3</v>
      </c>
      <c r="AG47">
        <v>10</v>
      </c>
      <c r="AH47">
        <v>2</v>
      </c>
      <c r="AI47">
        <v>76396530</v>
      </c>
      <c r="AJ47">
        <v>56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</row>
    <row r="48" spans="1:44" x14ac:dyDescent="0.2">
      <c r="A48">
        <f>ROW(Source!A85)</f>
        <v>85</v>
      </c>
      <c r="B48">
        <v>76396540</v>
      </c>
      <c r="C48">
        <v>76396521</v>
      </c>
      <c r="D48">
        <v>75880266</v>
      </c>
      <c r="E48">
        <v>1</v>
      </c>
      <c r="F48">
        <v>1</v>
      </c>
      <c r="G48">
        <v>15872964</v>
      </c>
      <c r="H48">
        <v>3</v>
      </c>
      <c r="I48" t="s">
        <v>260</v>
      </c>
      <c r="J48" t="s">
        <v>261</v>
      </c>
      <c r="K48" t="s">
        <v>262</v>
      </c>
      <c r="L48">
        <v>1354</v>
      </c>
      <c r="N48">
        <v>1010</v>
      </c>
      <c r="O48" t="s">
        <v>18</v>
      </c>
      <c r="P48" t="s">
        <v>18</v>
      </c>
      <c r="Q48">
        <v>1</v>
      </c>
      <c r="X48">
        <v>7.25</v>
      </c>
      <c r="Y48">
        <v>371.45</v>
      </c>
      <c r="Z48">
        <v>0</v>
      </c>
      <c r="AA48">
        <v>0</v>
      </c>
      <c r="AB48">
        <v>0</v>
      </c>
      <c r="AC48">
        <v>0</v>
      </c>
      <c r="AD48">
        <v>1</v>
      </c>
      <c r="AE48">
        <v>0</v>
      </c>
      <c r="AF48" t="s">
        <v>3</v>
      </c>
      <c r="AG48">
        <v>7.25</v>
      </c>
      <c r="AH48">
        <v>2</v>
      </c>
      <c r="AI48">
        <v>76396531</v>
      </c>
      <c r="AJ48">
        <v>57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</row>
    <row r="49" spans="1:44" x14ac:dyDescent="0.2">
      <c r="A49">
        <f>ROW(Source!A87)</f>
        <v>87</v>
      </c>
      <c r="B49">
        <v>76396544</v>
      </c>
      <c r="C49">
        <v>76396542</v>
      </c>
      <c r="D49">
        <v>75874090</v>
      </c>
      <c r="E49">
        <v>15872964</v>
      </c>
      <c r="F49">
        <v>1</v>
      </c>
      <c r="G49">
        <v>15872964</v>
      </c>
      <c r="H49">
        <v>1</v>
      </c>
      <c r="I49" t="s">
        <v>184</v>
      </c>
      <c r="J49" t="s">
        <v>3</v>
      </c>
      <c r="K49" t="s">
        <v>185</v>
      </c>
      <c r="L49">
        <v>1191</v>
      </c>
      <c r="N49">
        <v>1013</v>
      </c>
      <c r="O49" t="s">
        <v>186</v>
      </c>
      <c r="P49" t="s">
        <v>186</v>
      </c>
      <c r="Q49">
        <v>1</v>
      </c>
      <c r="X49">
        <v>5.92</v>
      </c>
      <c r="Y49">
        <v>0</v>
      </c>
      <c r="Z49">
        <v>0</v>
      </c>
      <c r="AA49">
        <v>0</v>
      </c>
      <c r="AB49">
        <v>0</v>
      </c>
      <c r="AC49">
        <v>0</v>
      </c>
      <c r="AD49">
        <v>1</v>
      </c>
      <c r="AE49">
        <v>1</v>
      </c>
      <c r="AF49" t="s">
        <v>3</v>
      </c>
      <c r="AG49">
        <v>5.92</v>
      </c>
      <c r="AH49">
        <v>2</v>
      </c>
      <c r="AI49">
        <v>76396543</v>
      </c>
      <c r="AJ49">
        <v>58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</row>
    <row r="50" spans="1:44" x14ac:dyDescent="0.2">
      <c r="A50">
        <f>ROW(Source!A88)</f>
        <v>88</v>
      </c>
      <c r="B50">
        <v>76396547</v>
      </c>
      <c r="C50">
        <v>76396545</v>
      </c>
      <c r="D50">
        <v>75874090</v>
      </c>
      <c r="E50">
        <v>15872964</v>
      </c>
      <c r="F50">
        <v>1</v>
      </c>
      <c r="G50">
        <v>15872964</v>
      </c>
      <c r="H50">
        <v>1</v>
      </c>
      <c r="I50" t="s">
        <v>184</v>
      </c>
      <c r="J50" t="s">
        <v>3</v>
      </c>
      <c r="K50" t="s">
        <v>185</v>
      </c>
      <c r="L50">
        <v>1191</v>
      </c>
      <c r="N50">
        <v>1013</v>
      </c>
      <c r="O50" t="s">
        <v>186</v>
      </c>
      <c r="P50" t="s">
        <v>186</v>
      </c>
      <c r="Q50">
        <v>1</v>
      </c>
      <c r="X50">
        <v>7.11</v>
      </c>
      <c r="Y50">
        <v>0</v>
      </c>
      <c r="Z50">
        <v>0</v>
      </c>
      <c r="AA50">
        <v>0</v>
      </c>
      <c r="AB50">
        <v>0</v>
      </c>
      <c r="AC50">
        <v>0</v>
      </c>
      <c r="AD50">
        <v>1</v>
      </c>
      <c r="AE50">
        <v>1</v>
      </c>
      <c r="AF50" t="s">
        <v>3</v>
      </c>
      <c r="AG50">
        <v>7.11</v>
      </c>
      <c r="AH50">
        <v>2</v>
      </c>
      <c r="AI50">
        <v>76396546</v>
      </c>
      <c r="AJ50">
        <v>59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</row>
    <row r="51" spans="1:44" x14ac:dyDescent="0.2">
      <c r="A51">
        <f>ROW(Source!A89)</f>
        <v>89</v>
      </c>
      <c r="B51">
        <v>76396551</v>
      </c>
      <c r="C51">
        <v>76396548</v>
      </c>
      <c r="D51">
        <v>75874090</v>
      </c>
      <c r="E51">
        <v>15872964</v>
      </c>
      <c r="F51">
        <v>1</v>
      </c>
      <c r="G51">
        <v>15872964</v>
      </c>
      <c r="H51">
        <v>1</v>
      </c>
      <c r="I51" t="s">
        <v>184</v>
      </c>
      <c r="J51" t="s">
        <v>3</v>
      </c>
      <c r="K51" t="s">
        <v>185</v>
      </c>
      <c r="L51">
        <v>1191</v>
      </c>
      <c r="N51">
        <v>1013</v>
      </c>
      <c r="O51" t="s">
        <v>186</v>
      </c>
      <c r="P51" t="s">
        <v>186</v>
      </c>
      <c r="Q51">
        <v>1</v>
      </c>
      <c r="X51">
        <v>173.2</v>
      </c>
      <c r="Y51">
        <v>0</v>
      </c>
      <c r="Z51">
        <v>0</v>
      </c>
      <c r="AA51">
        <v>0</v>
      </c>
      <c r="AB51">
        <v>0</v>
      </c>
      <c r="AC51">
        <v>0</v>
      </c>
      <c r="AD51">
        <v>1</v>
      </c>
      <c r="AE51">
        <v>1</v>
      </c>
      <c r="AF51" t="s">
        <v>3</v>
      </c>
      <c r="AG51">
        <v>173.2</v>
      </c>
      <c r="AH51">
        <v>2</v>
      </c>
      <c r="AI51">
        <v>76396549</v>
      </c>
      <c r="AJ51">
        <v>60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</row>
    <row r="52" spans="1:44" x14ac:dyDescent="0.2">
      <c r="A52">
        <f>ROW(Source!A89)</f>
        <v>89</v>
      </c>
      <c r="B52">
        <v>76396552</v>
      </c>
      <c r="C52">
        <v>76396548</v>
      </c>
      <c r="D52">
        <v>75875358</v>
      </c>
      <c r="E52">
        <v>1</v>
      </c>
      <c r="F52">
        <v>1</v>
      </c>
      <c r="G52">
        <v>15872964</v>
      </c>
      <c r="H52">
        <v>2</v>
      </c>
      <c r="I52" t="s">
        <v>263</v>
      </c>
      <c r="J52" t="s">
        <v>264</v>
      </c>
      <c r="K52" t="s">
        <v>265</v>
      </c>
      <c r="L52">
        <v>1368</v>
      </c>
      <c r="N52">
        <v>1011</v>
      </c>
      <c r="O52" t="s">
        <v>190</v>
      </c>
      <c r="P52" t="s">
        <v>190</v>
      </c>
      <c r="Q52">
        <v>1</v>
      </c>
      <c r="X52">
        <v>25.04</v>
      </c>
      <c r="Y52">
        <v>0</v>
      </c>
      <c r="Z52">
        <v>1906.73</v>
      </c>
      <c r="AA52">
        <v>943.69</v>
      </c>
      <c r="AB52">
        <v>0</v>
      </c>
      <c r="AC52">
        <v>0</v>
      </c>
      <c r="AD52">
        <v>1</v>
      </c>
      <c r="AE52">
        <v>0</v>
      </c>
      <c r="AF52" t="s">
        <v>3</v>
      </c>
      <c r="AG52">
        <v>25.04</v>
      </c>
      <c r="AH52">
        <v>2</v>
      </c>
      <c r="AI52">
        <v>76396550</v>
      </c>
      <c r="AJ52">
        <v>61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</row>
    <row r="53" spans="1:44" x14ac:dyDescent="0.2">
      <c r="A53">
        <f>ROW(Source!A90)</f>
        <v>90</v>
      </c>
      <c r="B53">
        <v>76396555</v>
      </c>
      <c r="C53">
        <v>76396553</v>
      </c>
      <c r="D53">
        <v>75874090</v>
      </c>
      <c r="E53">
        <v>15872964</v>
      </c>
      <c r="F53">
        <v>1</v>
      </c>
      <c r="G53">
        <v>15872964</v>
      </c>
      <c r="H53">
        <v>1</v>
      </c>
      <c r="I53" t="s">
        <v>184</v>
      </c>
      <c r="J53" t="s">
        <v>3</v>
      </c>
      <c r="K53" t="s">
        <v>185</v>
      </c>
      <c r="L53">
        <v>1191</v>
      </c>
      <c r="N53">
        <v>1013</v>
      </c>
      <c r="O53" t="s">
        <v>186</v>
      </c>
      <c r="P53" t="s">
        <v>186</v>
      </c>
      <c r="Q53">
        <v>1</v>
      </c>
      <c r="X53">
        <v>25.76</v>
      </c>
      <c r="Y53">
        <v>0</v>
      </c>
      <c r="Z53">
        <v>0</v>
      </c>
      <c r="AA53">
        <v>0</v>
      </c>
      <c r="AB53">
        <v>0</v>
      </c>
      <c r="AC53">
        <v>0</v>
      </c>
      <c r="AD53">
        <v>1</v>
      </c>
      <c r="AE53">
        <v>1</v>
      </c>
      <c r="AF53" t="s">
        <v>3</v>
      </c>
      <c r="AG53">
        <v>25.76</v>
      </c>
      <c r="AH53">
        <v>2</v>
      </c>
      <c r="AI53">
        <v>76396554</v>
      </c>
      <c r="AJ53">
        <v>62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</row>
    <row r="54" spans="1:44" x14ac:dyDescent="0.2">
      <c r="A54">
        <f>ROW(Source!A126)</f>
        <v>126</v>
      </c>
      <c r="B54">
        <v>76396558</v>
      </c>
      <c r="C54">
        <v>76396556</v>
      </c>
      <c r="D54">
        <v>75874090</v>
      </c>
      <c r="E54">
        <v>15872964</v>
      </c>
      <c r="F54">
        <v>1</v>
      </c>
      <c r="G54">
        <v>15872964</v>
      </c>
      <c r="H54">
        <v>1</v>
      </c>
      <c r="I54" t="s">
        <v>184</v>
      </c>
      <c r="J54" t="s">
        <v>3</v>
      </c>
      <c r="K54" t="s">
        <v>185</v>
      </c>
      <c r="L54">
        <v>1191</v>
      </c>
      <c r="N54">
        <v>1013</v>
      </c>
      <c r="O54" t="s">
        <v>186</v>
      </c>
      <c r="P54" t="s">
        <v>186</v>
      </c>
      <c r="Q54">
        <v>1</v>
      </c>
      <c r="X54">
        <v>6.3</v>
      </c>
      <c r="Y54">
        <v>0</v>
      </c>
      <c r="Z54">
        <v>0</v>
      </c>
      <c r="AA54">
        <v>0</v>
      </c>
      <c r="AB54">
        <v>0</v>
      </c>
      <c r="AC54">
        <v>0</v>
      </c>
      <c r="AD54">
        <v>1</v>
      </c>
      <c r="AE54">
        <v>1</v>
      </c>
      <c r="AF54" t="s">
        <v>3</v>
      </c>
      <c r="AG54">
        <v>6.3</v>
      </c>
      <c r="AH54">
        <v>2</v>
      </c>
      <c r="AI54">
        <v>76396557</v>
      </c>
      <c r="AJ54">
        <v>63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/>
  </sheetViews>
  <sheetFormatPr defaultColWidth="9.140625" defaultRowHeight="12.75" x14ac:dyDescent="0.2"/>
  <cols>
    <col min="1" max="256" width="9.140625" customWidth="1"/>
  </cols>
  <sheetData/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6</vt:i4>
      </vt:variant>
    </vt:vector>
  </HeadingPairs>
  <TitlesOfParts>
    <vt:vector size="16" baseType="lpstr">
      <vt:lpstr>Смета СН-2012 по гл. 1-5</vt:lpstr>
      <vt:lpstr>Дефектная ведомость</vt:lpstr>
      <vt:lpstr>RV_DATA</vt:lpstr>
      <vt:lpstr>Расчет стоимости ресурсов</vt:lpstr>
      <vt:lpstr>Source</vt:lpstr>
      <vt:lpstr>SourceObSm</vt:lpstr>
      <vt:lpstr>SmtRes</vt:lpstr>
      <vt:lpstr>EtalonRes</vt:lpstr>
      <vt:lpstr>SrcPoprs</vt:lpstr>
      <vt:lpstr>SrcKA</vt:lpstr>
      <vt:lpstr>'Дефектная ведомость'!Заголовки_для_печати</vt:lpstr>
      <vt:lpstr>'Расчет стоимости ресурсов'!Заголовки_для_печати</vt:lpstr>
      <vt:lpstr>'Смета СН-2012 по гл. 1-5'!Заголовки_для_печати</vt:lpstr>
      <vt:lpstr>'Дефектная ведомость'!Область_печати</vt:lpstr>
      <vt:lpstr>'Расчет стоимости ресурсов'!Область_печати</vt:lpstr>
      <vt:lpstr>'Смета СН-2012 по гл. 1-5'!Область_печати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Шибаев Леонид Анатольевич</cp:lastModifiedBy>
  <dcterms:created xsi:type="dcterms:W3CDTF">2026-07-31T07:40:34Z</dcterms:created>
  <dcterms:modified xsi:type="dcterms:W3CDTF">2026-08-05T08:51:18Z</dcterms:modified>
</cp:coreProperties>
</file>