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DCCDBB7-E3FC-497D-9AB0-87C443A6F59D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НМЦК (223-ФЗ)" sheetId="3" r:id="rId1"/>
    <sheet name="НМЦК (44-ФЗ)" sheetId="1" r:id="rId2"/>
    <sheet name="НМЦК (44-ФЗ) (2)" sheetId="5" r:id="rId3"/>
    <sheet name="Лист1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J9" i="1"/>
  <c r="I9" i="1"/>
  <c r="P25" i="5" l="1"/>
  <c r="G25" i="5"/>
  <c r="F25" i="5"/>
  <c r="E25" i="5"/>
  <c r="R24" i="5"/>
  <c r="Q24" i="5"/>
  <c r="T24" i="5" s="1"/>
  <c r="J24" i="5"/>
  <c r="K24" i="5" s="1"/>
  <c r="I24" i="5"/>
  <c r="R23" i="5"/>
  <c r="Q23" i="5"/>
  <c r="T23" i="5" s="1"/>
  <c r="L23" i="5"/>
  <c r="M23" i="5" s="1"/>
  <c r="J23" i="5"/>
  <c r="I23" i="5"/>
  <c r="R22" i="5"/>
  <c r="S22" i="5" s="1"/>
  <c r="Q22" i="5"/>
  <c r="L22" i="5"/>
  <c r="M22" i="5" s="1"/>
  <c r="J22" i="5"/>
  <c r="K22" i="5" s="1"/>
  <c r="I22" i="5"/>
  <c r="R21" i="5"/>
  <c r="Q21" i="5"/>
  <c r="T21" i="5" s="1"/>
  <c r="J21" i="5"/>
  <c r="I21" i="5"/>
  <c r="R20" i="5"/>
  <c r="Q20" i="5"/>
  <c r="T20" i="5" s="1"/>
  <c r="J20" i="5"/>
  <c r="I20" i="5"/>
  <c r="R19" i="5"/>
  <c r="Q19" i="5"/>
  <c r="T19" i="5" s="1"/>
  <c r="J19" i="5"/>
  <c r="K19" i="5" s="1"/>
  <c r="I19" i="5"/>
  <c r="R18" i="5"/>
  <c r="Q18" i="5"/>
  <c r="T18" i="5" s="1"/>
  <c r="L18" i="5"/>
  <c r="M18" i="5" s="1"/>
  <c r="M26" i="5" s="1"/>
  <c r="J18" i="5"/>
  <c r="I18" i="5"/>
  <c r="R17" i="5"/>
  <c r="T17" i="5" s="1"/>
  <c r="Q17" i="5"/>
  <c r="J17" i="5"/>
  <c r="I17" i="5"/>
  <c r="R16" i="5"/>
  <c r="Q16" i="5"/>
  <c r="T16" i="5" s="1"/>
  <c r="J16" i="5"/>
  <c r="I16" i="5"/>
  <c r="T15" i="5"/>
  <c r="R15" i="5"/>
  <c r="S15" i="5" s="1"/>
  <c r="Q15" i="5"/>
  <c r="J15" i="5"/>
  <c r="I15" i="5"/>
  <c r="R14" i="5"/>
  <c r="Q14" i="5"/>
  <c r="T14" i="5" s="1"/>
  <c r="R13" i="5"/>
  <c r="Q13" i="5"/>
  <c r="S13" i="5" s="1"/>
  <c r="R12" i="5"/>
  <c r="Q12" i="5"/>
  <c r="T12" i="5" s="1"/>
  <c r="R11" i="5"/>
  <c r="Q11" i="5"/>
  <c r="T11" i="5" s="1"/>
  <c r="T10" i="5"/>
  <c r="R10" i="5"/>
  <c r="Q10" i="5"/>
  <c r="S10" i="5" s="1"/>
  <c r="R9" i="5"/>
  <c r="R25" i="5" s="1"/>
  <c r="Q9" i="5"/>
  <c r="S9" i="5" s="1"/>
  <c r="L9" i="5"/>
  <c r="M9" i="5" s="1"/>
  <c r="J9" i="5"/>
  <c r="K9" i="5" s="1"/>
  <c r="I9" i="5"/>
  <c r="S17" i="5" l="1"/>
  <c r="U17" i="5" s="1"/>
  <c r="T22" i="5"/>
  <c r="U22" i="5" s="1"/>
  <c r="T13" i="5"/>
  <c r="U13" i="5" s="1"/>
  <c r="K18" i="5"/>
  <c r="K21" i="5"/>
  <c r="K16" i="5"/>
  <c r="T9" i="5"/>
  <c r="U9" i="5" s="1"/>
  <c r="S14" i="5"/>
  <c r="U14" i="5" s="1"/>
  <c r="S16" i="5"/>
  <c r="U16" i="5" s="1"/>
  <c r="K23" i="5"/>
  <c r="U15" i="5"/>
  <c r="K20" i="5"/>
  <c r="U10" i="5"/>
  <c r="K15" i="5"/>
  <c r="K17" i="5"/>
  <c r="S11" i="5"/>
  <c r="U11" i="5" s="1"/>
  <c r="K9" i="1"/>
  <c r="U21" i="5"/>
  <c r="Q25" i="5"/>
  <c r="S12" i="5"/>
  <c r="U12" i="5" s="1"/>
  <c r="S18" i="5"/>
  <c r="U18" i="5" s="1"/>
  <c r="S19" i="5"/>
  <c r="U19" i="5" s="1"/>
  <c r="S20" i="5"/>
  <c r="U20" i="5" s="1"/>
  <c r="S21" i="5"/>
  <c r="S23" i="5"/>
  <c r="U23" i="5" s="1"/>
  <c r="S24" i="5"/>
  <c r="U24" i="5" s="1"/>
  <c r="M9" i="1"/>
  <c r="M26" i="1" s="1"/>
  <c r="G5" i="3" l="1"/>
  <c r="H5" i="3" s="1"/>
  <c r="I5" i="3" s="1"/>
  <c r="I9" i="3" s="1"/>
  <c r="F5" i="3"/>
  <c r="E5" i="3"/>
</calcChain>
</file>

<file path=xl/sharedStrings.xml><?xml version="1.0" encoding="utf-8"?>
<sst xmlns="http://schemas.openxmlformats.org/spreadsheetml/2006/main" count="99" uniqueCount="54">
  <si>
    <t>№ п/п</t>
  </si>
  <si>
    <t>Наименование товара</t>
  </si>
  <si>
    <t>Ед. изм.</t>
  </si>
  <si>
    <t>Среднее квадратичное отклонение</t>
  </si>
  <si>
    <t>Коэфф. вариации (%)</t>
  </si>
  <si>
    <t>Итого:</t>
  </si>
  <si>
    <t>РАСЧЕТ НАЧАЛЬНОЙ (МАКСИМАЛЬНОЙ) ЦЕНЫ КОНТРАКТА</t>
  </si>
  <si>
    <t>Сумма</t>
  </si>
  <si>
    <t>Цена включает в себя стоимость Товара, расходы, связанные с погрузоразгрузочными работами, транспортировкой, доставкой Товара до места передачи Заказчику, оформлением всех необходимых документов на Товар, оплату таможенных пошлин, налогов, сборов и другие обязательные платежи, связанные с исполнением Контракта.</t>
  </si>
  <si>
    <t>Кол-во</t>
  </si>
  <si>
    <t>Цена за единицу с НДС</t>
  </si>
  <si>
    <r>
      <t xml:space="preserve">Используемый метод определения начальной (максимальной) цены договора (цены договора с единственным поставщиком (исполнителем, подрядчиком): метод сопоставимых рыночных цен (анализ рынка) в соответствии с п. 6.1 раздела 3 главы II Положения о закупке ИГ СО РАН от «25» апреля 2022 г.
В целях применения метода сопоставимых рыночных цен (анализ рынка) использованы источники ценовой информации, полученные по запросу заказчика у поставщиков (подрядчиков, исполнителей).
Расчет начальной (максимальной) цены договора проводился по формуле:
где:
v - количество (объем) закупаемого товара (работы, услуги);
n - количество источников ценовой информации, используемых 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
</t>
    </r>
    <r>
      <rPr>
        <b/>
        <sz val="11"/>
        <color theme="1"/>
        <rFont val="Times New Roman"/>
        <family val="1"/>
        <charset val="204"/>
      </rPr>
      <t>Цена договора, заключаемого с единственным поставщиком (исполнителем, подрядчиком), должна соответствовать наименьшему ценовому предложению</t>
    </r>
  </si>
  <si>
    <r>
      <t xml:space="preserve">Цена договора с ед.поставщиком составила: </t>
    </r>
    <r>
      <rPr>
        <b/>
        <sz val="11"/>
        <color theme="1"/>
        <rFont val="Times New Roman"/>
        <family val="1"/>
        <charset val="204"/>
      </rPr>
      <t>182 724 (Сто восемьдесят две тысячи семьсот двадцать четыре)  руб. 00  коп.</t>
    </r>
  </si>
  <si>
    <t>Начальная (максимальная) цена контракта, цена контракта, заключаемого с единственным поставщиком (подрядчиком, исполнителем) определяются посредством использования метода сопоставимых рыночных цен (анализа рынка) в соответствии с частями 2 - 6 статьи 22 Федерального закона от 05.04.2013г. № 44-ФЗ "О контрактной системе в сфере закупок товаров, работ, услуг для обеспечения государственных и муниципальных нужд".</t>
  </si>
  <si>
    <t>Расчет начальной (максимальной) цены контракта (НМЦК) осуществляется по формуле:
 где:</t>
  </si>
  <si>
    <t xml:space="preserve">              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
В целях определения однородности совокупности значений выявленных цен, используемых в расчете НМЦК, заказчиком определяется коэффициент вариации по следующей формуле:</t>
  </si>
  <si>
    <t>где: V - коэффициент вариации;   
                                                - среднее квадратичное отклонение; 
 Цi  - цена единицы товара, работы, услуги, указанная в источнике с номером i;
&lt;ц&gt; - средняя арифметическая величина цены единицы товара, работы, услуги;
   n - количество значений, используемых в расчете.</t>
  </si>
  <si>
    <t>Источник ценовой информации № 3 (КП бн от 26.12.24)</t>
  </si>
  <si>
    <t>Средняя арифм. Цена</t>
  </si>
  <si>
    <t>шт</t>
  </si>
  <si>
    <t>РАСЧЕТ НАЧАЛЬНОЙ (МАКСИМАЛЬНОЙ) ЦЕНЫ ДОГОВОРА</t>
  </si>
  <si>
    <t>КП № 1 (№38 от 12.12.24)</t>
  </si>
  <si>
    <t>КП № 2 (№128/24-СВВ от 18.12.24)</t>
  </si>
  <si>
    <t>КП № 3 (№65766864 от 23.12.24)</t>
  </si>
  <si>
    <t>Цена за единицу (минимальное значение)</t>
  </si>
  <si>
    <t>Оказание услуг по техническому обслуживанию систем Заказчика</t>
  </si>
  <si>
    <t>мес</t>
  </si>
  <si>
    <t>Источник ценовой информации № 1 (сч.ГРУТ-000160 от 10.02.25)</t>
  </si>
  <si>
    <t>Источник ценовой информации № 2 (КП бн от 10.02.25)</t>
  </si>
  <si>
    <t>Источник ценовой информации № 3 (КП бн от 10.02.25)</t>
  </si>
  <si>
    <r>
      <t xml:space="preserve">В результате проведенного расчета НМЦК составила: </t>
    </r>
    <r>
      <rPr>
        <b/>
        <sz val="11"/>
        <color theme="1"/>
        <rFont val="Times New Roman"/>
        <family val="1"/>
        <charset val="204"/>
      </rPr>
      <t xml:space="preserve"> 148 331 (Сто сорок восемь тысяч триста тридцать один) руб. 84  коп.</t>
    </r>
  </si>
  <si>
    <t>HP CF244A</t>
  </si>
  <si>
    <t>CE410A 305A</t>
  </si>
  <si>
    <t>HP CE311A</t>
  </si>
  <si>
    <t>CE310A</t>
  </si>
  <si>
    <t>CE312A</t>
  </si>
  <si>
    <t>CE313A</t>
  </si>
  <si>
    <t>CE285A</t>
  </si>
  <si>
    <t>Q2612A</t>
  </si>
  <si>
    <t>CB435A</t>
  </si>
  <si>
    <t>Pantum PC-211EV</t>
  </si>
  <si>
    <t>Pantum PC-212EV</t>
  </si>
  <si>
    <t>CF218A</t>
  </si>
  <si>
    <t>CE278A</t>
  </si>
  <si>
    <t>CE505A</t>
  </si>
  <si>
    <t>MLT-D111S</t>
  </si>
  <si>
    <t>E-30/E-16</t>
  </si>
  <si>
    <t>Бумага офисная А4, класс С, масса бумаги площадью 80 г/м2, 500л в пачке</t>
  </si>
  <si>
    <t>пачка</t>
  </si>
  <si>
    <t xml:space="preserve">Цена Контракта включает в себя: стоимость Товара, расходы, связанные с доставкой, разгрузкой - погрузкой, размещением в местах хранения Заказчика, сборку, установку Товара, стоимость упаковки (тары), маркировки, страхование, таможенные платежи (пошлины), НДС, другие установленные налоги, сборы и иные расходы, связанные с исполнением Контракта. </t>
  </si>
  <si>
    <t>Постановление Правительства Российской Федерации от 23 декабря 2024 г. N 1875: товар попадает под запрет закупок товаров, происходящих из иностранных государств (Прил.1 позиция 10), данный запрет не применяется в соответствии с пп. "и" п. 5 ПП 1875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300 тыс. рублей</t>
  </si>
  <si>
    <t>Источник ценовой информации № 1 (КП № УТ-31238 от 03.08.26)</t>
  </si>
  <si>
    <t>Источник ценовой информации № 2 (КП №б/н 03.08.26)</t>
  </si>
  <si>
    <t>Источник ценовой информации № 3 (КП №б/н 03.08.26)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</si>
</sst>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justify" wrapText="1"/>
    </xf>
    <xf numFmtId="164" fontId="0" fillId="0" borderId="0" xfId="0" applyNumberFormat="1"/>
    <xf numFmtId="4" fontId="5" fillId="0" borderId="7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2" borderId="0" xfId="0" applyFont="1" applyFill="1" applyAlignment="1">
      <alignment horizontal="left"/>
    </xf>
    <xf numFmtId="0" fontId="4" fillId="3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justify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309561</xdr:colOff>
      <xdr:row>2</xdr:row>
      <xdr:rowOff>1238249</xdr:rowOff>
    </xdr:from>
    <xdr:to>
      <xdr:col>8</xdr:col>
      <xdr:colOff>7144</xdr:colOff>
      <xdr:row>2</xdr:row>
      <xdr:rowOff>1695449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9155" y="1643062"/>
          <a:ext cx="134064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752475</xdr:colOff>
      <xdr:row>3</xdr:row>
      <xdr:rowOff>1500188</xdr:rowOff>
    </xdr:from>
    <xdr:to>
      <xdr:col>8</xdr:col>
      <xdr:colOff>323850</xdr:colOff>
      <xdr:row>4</xdr:row>
      <xdr:rowOff>133350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6694" y="3226594"/>
          <a:ext cx="119062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5</xdr:row>
      <xdr:rowOff>171450</xdr:rowOff>
    </xdr:from>
    <xdr:to>
      <xdr:col>1</xdr:col>
      <xdr:colOff>1333500</xdr:colOff>
      <xdr:row>5</xdr:row>
      <xdr:rowOff>714375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991100"/>
          <a:ext cx="1590675" cy="5429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661987</xdr:colOff>
      <xdr:row>1</xdr:row>
      <xdr:rowOff>834629</xdr:rowOff>
    </xdr:from>
    <xdr:ext cx="1369093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5555456" y="1156098"/>
              <a:ext cx="1369093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555456" y="1156098"/>
              <a:ext cx="1369093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НМЦК〗^рын=</a:t>
              </a:r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/</a:t>
              </a:r>
              <a:r>
                <a:rPr lang="en-US" sz="1100" b="0" i="0">
                  <a:latin typeface="Cambria Math" panose="02040503050406030204" pitchFamily="18" charset="0"/>
                </a:rPr>
                <a:t>𝑛∗∑24_(𝑖=1)^𝑛▒</a:t>
              </a:r>
              <a:r>
                <a:rPr lang="ru-RU" sz="1100" b="0" i="0">
                  <a:latin typeface="Cambria Math" panose="02040503050406030204" pitchFamily="18" charset="0"/>
                </a:rPr>
                <a:t>Ц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0</xdr:col>
      <xdr:colOff>7144</xdr:colOff>
      <xdr:row>3</xdr:row>
      <xdr:rowOff>36909</xdr:rowOff>
    </xdr:from>
    <xdr:ext cx="63094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 txBox="1"/>
          </xdr:nvSpPr>
          <xdr:spPr>
            <a:xfrm>
              <a:off x="7144" y="1691878"/>
              <a:ext cx="6309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7144" y="1691878"/>
              <a:ext cx="6309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НМЦК〗^рын</a:t>
              </a:r>
              <a:endParaRPr lang="ru-RU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752475</xdr:colOff>
      <xdr:row>3</xdr:row>
      <xdr:rowOff>1500188</xdr:rowOff>
    </xdr:from>
    <xdr:to>
      <xdr:col>8</xdr:col>
      <xdr:colOff>323850</xdr:colOff>
      <xdr:row>4</xdr:row>
      <xdr:rowOff>133350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224213"/>
          <a:ext cx="1190625" cy="4143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5</xdr:row>
      <xdr:rowOff>171450</xdr:rowOff>
    </xdr:from>
    <xdr:to>
      <xdr:col>1</xdr:col>
      <xdr:colOff>1333500</xdr:colOff>
      <xdr:row>5</xdr:row>
      <xdr:rowOff>714375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48100"/>
          <a:ext cx="1581150" cy="5429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661987</xdr:colOff>
      <xdr:row>1</xdr:row>
      <xdr:rowOff>834629</xdr:rowOff>
    </xdr:from>
    <xdr:ext cx="1369093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 txBox="1"/>
          </xdr:nvSpPr>
          <xdr:spPr>
            <a:xfrm>
              <a:off x="5548312" y="1158479"/>
              <a:ext cx="1369093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5548312" y="1158479"/>
              <a:ext cx="1369093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НМЦК〗^рын=</a:t>
              </a:r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/</a:t>
              </a:r>
              <a:r>
                <a:rPr lang="en-US" sz="1100" b="0" i="0">
                  <a:latin typeface="Cambria Math" panose="02040503050406030204" pitchFamily="18" charset="0"/>
                </a:rPr>
                <a:t>𝑛∗∑_(𝑖=1)^𝑛</a:t>
              </a:r>
              <a:r>
                <a:rPr lang="ru-RU" sz="1100" b="0" i="0">
                  <a:latin typeface="Cambria Math" panose="02040503050406030204" pitchFamily="18" charset="0"/>
                </a:rPr>
                <a:t>▒Ц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0</xdr:col>
      <xdr:colOff>7144</xdr:colOff>
      <xdr:row>3</xdr:row>
      <xdr:rowOff>36909</xdr:rowOff>
    </xdr:from>
    <xdr:ext cx="63094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SpPr txBox="1"/>
          </xdr:nvSpPr>
          <xdr:spPr>
            <a:xfrm>
              <a:off x="7144" y="1760934"/>
              <a:ext cx="6309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144" y="1760934"/>
              <a:ext cx="63094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100" i="0">
                  <a:latin typeface="Cambria Math" panose="02040503050406030204" pitchFamily="18" charset="0"/>
                </a:rPr>
                <a:t>〖</a:t>
              </a:r>
              <a:r>
                <a:rPr lang="ru-RU" sz="1100" b="0" i="0">
                  <a:latin typeface="Cambria Math" panose="02040503050406030204" pitchFamily="18" charset="0"/>
                </a:rPr>
                <a:t>НМЦК〗^рын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zoomScale="80" zoomScaleNormal="80" workbookViewId="0">
      <selection activeCell="O13" sqref="O13"/>
    </sheetView>
  </sheetViews>
  <sheetFormatPr defaultRowHeight="15" x14ac:dyDescent="0.25"/>
  <cols>
    <col min="1" max="1" width="4.85546875" customWidth="1"/>
    <col min="2" max="2" width="20.42578125" customWidth="1"/>
    <col min="3" max="3" width="9.42578125" customWidth="1"/>
    <col min="4" max="4" width="6.7109375" customWidth="1"/>
    <col min="5" max="5" width="12" customWidth="1"/>
    <col min="6" max="7" width="12.140625" customWidth="1"/>
    <col min="8" max="8" width="12.42578125" customWidth="1"/>
    <col min="9" max="9" width="11.85546875" customWidth="1"/>
    <col min="10" max="10" width="8.42578125" customWidth="1"/>
    <col min="11" max="11" width="12.28515625" customWidth="1"/>
    <col min="12" max="12" width="14" customWidth="1"/>
    <col min="13" max="13" width="2.7109375" customWidth="1"/>
  </cols>
  <sheetData>
    <row r="1" spans="1:13" ht="15.75" customHeight="1" x14ac:dyDescent="0.25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297" customHeight="1" x14ac:dyDescent="0.25">
      <c r="A3" s="35" t="s">
        <v>11</v>
      </c>
      <c r="B3" s="35"/>
      <c r="C3" s="35"/>
      <c r="D3" s="35"/>
      <c r="E3" s="35"/>
      <c r="F3" s="35"/>
      <c r="G3" s="35"/>
      <c r="H3" s="35"/>
      <c r="I3" s="35"/>
      <c r="J3" s="1"/>
    </row>
    <row r="4" spans="1:13" s="10" customFormat="1" ht="65.25" customHeight="1" x14ac:dyDescent="0.25">
      <c r="A4" s="9" t="s">
        <v>0</v>
      </c>
      <c r="B4" s="11" t="s">
        <v>1</v>
      </c>
      <c r="C4" s="9" t="s">
        <v>2</v>
      </c>
      <c r="D4" s="9" t="s">
        <v>9</v>
      </c>
      <c r="E4" s="9" t="s">
        <v>21</v>
      </c>
      <c r="F4" s="9" t="s">
        <v>22</v>
      </c>
      <c r="G4" s="9" t="s">
        <v>23</v>
      </c>
      <c r="H4" s="6" t="s">
        <v>24</v>
      </c>
      <c r="I4" s="6" t="s">
        <v>7</v>
      </c>
    </row>
    <row r="5" spans="1:13" s="13" customFormat="1" ht="59.25" customHeight="1" x14ac:dyDescent="0.25">
      <c r="A5" s="6">
        <v>1</v>
      </c>
      <c r="B5" s="6" t="s">
        <v>25</v>
      </c>
      <c r="C5" s="6" t="s">
        <v>26</v>
      </c>
      <c r="D5" s="6">
        <v>12</v>
      </c>
      <c r="E5" s="7">
        <f>33120+6624</f>
        <v>39744</v>
      </c>
      <c r="F5" s="7">
        <f>354240/12</f>
        <v>29520</v>
      </c>
      <c r="G5" s="7">
        <f>192000/12</f>
        <v>16000</v>
      </c>
      <c r="H5" s="12">
        <f>G5</f>
        <v>16000</v>
      </c>
      <c r="I5" s="7">
        <f>H5*D5</f>
        <v>192000</v>
      </c>
    </row>
    <row r="6" spans="1:13" s="13" customFormat="1" ht="42" hidden="1" customHeight="1" x14ac:dyDescent="0.25">
      <c r="A6" s="6"/>
      <c r="B6" s="6"/>
      <c r="C6" s="6"/>
      <c r="D6" s="6"/>
      <c r="E6" s="7"/>
      <c r="F6" s="7"/>
      <c r="G6" s="7"/>
      <c r="H6" s="12"/>
      <c r="I6" s="12"/>
    </row>
    <row r="7" spans="1:13" s="13" customFormat="1" ht="51" hidden="1" customHeight="1" x14ac:dyDescent="0.25">
      <c r="A7" s="6"/>
      <c r="B7" s="6"/>
      <c r="C7" s="6"/>
      <c r="D7" s="6"/>
      <c r="E7" s="7"/>
      <c r="F7" s="7"/>
      <c r="G7" s="7"/>
      <c r="H7" s="12"/>
      <c r="I7" s="12"/>
    </row>
    <row r="8" spans="1:13" s="13" customFormat="1" ht="10.5" hidden="1" customHeight="1" x14ac:dyDescent="0.25">
      <c r="A8" s="6"/>
      <c r="B8" s="6"/>
      <c r="C8" s="6"/>
      <c r="D8" s="6"/>
      <c r="E8" s="7"/>
      <c r="F8" s="7"/>
      <c r="G8" s="7"/>
      <c r="H8" s="12"/>
      <c r="I8" s="12"/>
    </row>
    <row r="9" spans="1:13" ht="15" customHeight="1" x14ac:dyDescent="0.25">
      <c r="A9" s="36" t="s">
        <v>5</v>
      </c>
      <c r="B9" s="37"/>
      <c r="C9" s="37"/>
      <c r="D9" s="37"/>
      <c r="E9" s="37"/>
      <c r="F9" s="37"/>
      <c r="G9" s="37"/>
      <c r="H9" s="38"/>
      <c r="I9" s="14">
        <f>SUM(I5:I8)</f>
        <v>192000</v>
      </c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</row>
    <row r="11" spans="1:13" x14ac:dyDescent="0.25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8"/>
      <c r="M11" s="8"/>
    </row>
    <row r="12" spans="1:1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50.25" customHeight="1" x14ac:dyDescent="0.25">
      <c r="A13" s="33" t="s">
        <v>8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"/>
      <c r="M13" s="5"/>
    </row>
    <row r="14" spans="1:13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</sheetData>
  <mergeCells count="5">
    <mergeCell ref="A11:K11"/>
    <mergeCell ref="A13:K13"/>
    <mergeCell ref="A1:J1"/>
    <mergeCell ref="A3:I3"/>
    <mergeCell ref="A9:H9"/>
  </mergeCells>
  <pageMargins left="0.39370078740157483" right="0.39370078740157483" top="0.39370078740157483" bottom="0.39370078740157483" header="0.51181102362204722" footer="0.5118110236220472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abSelected="1" zoomScale="80" zoomScaleNormal="80" workbookViewId="0">
      <selection activeCell="M6" sqref="M6"/>
    </sheetView>
  </sheetViews>
  <sheetFormatPr defaultRowHeight="15" x14ac:dyDescent="0.25"/>
  <cols>
    <col min="1" max="1" width="4.85546875" customWidth="1"/>
    <col min="2" max="2" width="20.42578125" customWidth="1"/>
    <col min="3" max="3" width="5.140625" customWidth="1"/>
    <col min="4" max="4" width="6.7109375" customWidth="1"/>
    <col min="5" max="5" width="12" customWidth="1"/>
    <col min="6" max="7" width="12.140625" customWidth="1"/>
    <col min="8" max="8" width="12.140625" hidden="1" customWidth="1"/>
    <col min="9" max="9" width="9.7109375" customWidth="1"/>
    <col min="10" max="10" width="11.85546875" customWidth="1"/>
    <col min="11" max="11" width="8.42578125" customWidth="1"/>
    <col min="12" max="12" width="12.28515625" customWidth="1"/>
    <col min="13" max="13" width="12.42578125" customWidth="1"/>
  </cols>
  <sheetData>
    <row r="1" spans="1:13" ht="25.5" customHeight="1" x14ac:dyDescent="0.25">
      <c r="A1" s="40" t="s">
        <v>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16"/>
    </row>
    <row r="2" spans="1:13" ht="67.5" customHeight="1" x14ac:dyDescent="0.25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5"/>
    </row>
    <row r="3" spans="1:13" ht="43.15" customHeight="1" x14ac:dyDescent="0.25">
      <c r="A3" s="43" t="s">
        <v>14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15"/>
    </row>
    <row r="4" spans="1:13" ht="140.25" customHeight="1" x14ac:dyDescent="0.25">
      <c r="A4" s="43" t="s">
        <v>15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15"/>
    </row>
    <row r="5" spans="1:13" ht="13.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34.25" customHeight="1" x14ac:dyDescent="0.25">
      <c r="A6" s="41" t="s">
        <v>16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5"/>
    </row>
    <row r="7" spans="1:13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s="10" customFormat="1" ht="108" customHeight="1" x14ac:dyDescent="0.25">
      <c r="A8" s="9" t="s">
        <v>0</v>
      </c>
      <c r="B8" s="20" t="s">
        <v>1</v>
      </c>
      <c r="C8" s="9" t="s">
        <v>2</v>
      </c>
      <c r="D8" s="20" t="s">
        <v>9</v>
      </c>
      <c r="E8" s="9" t="s">
        <v>51</v>
      </c>
      <c r="F8" s="9" t="s">
        <v>52</v>
      </c>
      <c r="G8" s="9" t="s">
        <v>53</v>
      </c>
      <c r="H8" s="9" t="s">
        <v>17</v>
      </c>
      <c r="I8" s="6" t="s">
        <v>18</v>
      </c>
      <c r="J8" s="6" t="s">
        <v>3</v>
      </c>
      <c r="K8" s="6" t="s">
        <v>4</v>
      </c>
      <c r="L8" s="6" t="s">
        <v>10</v>
      </c>
      <c r="M8" s="6" t="s">
        <v>7</v>
      </c>
    </row>
    <row r="9" spans="1:13" s="10" customFormat="1" ht="55.5" customHeight="1" x14ac:dyDescent="0.25">
      <c r="A9" s="11">
        <v>1</v>
      </c>
      <c r="B9" s="31" t="s">
        <v>47</v>
      </c>
      <c r="C9" s="22" t="s">
        <v>48</v>
      </c>
      <c r="D9" s="21">
        <v>350</v>
      </c>
      <c r="E9" s="19">
        <v>330.53</v>
      </c>
      <c r="F9" s="9">
        <v>550</v>
      </c>
      <c r="G9" s="9">
        <v>389</v>
      </c>
      <c r="H9" s="9"/>
      <c r="I9" s="12">
        <f>ROUND(AVERAGE(E9:G9),2)</f>
        <v>423.18</v>
      </c>
      <c r="J9" s="12">
        <f>STDEV(E9:G9)</f>
        <v>113.65651601792702</v>
      </c>
      <c r="K9" s="12">
        <f>J9/I9*100</f>
        <v>26.857723904231534</v>
      </c>
      <c r="L9" s="12">
        <f>E9</f>
        <v>330.53</v>
      </c>
      <c r="M9" s="7">
        <f>L9*D9</f>
        <v>115685.49999999999</v>
      </c>
    </row>
    <row r="10" spans="1:13" s="10" customFormat="1" ht="21" hidden="1" customHeight="1" x14ac:dyDescent="0.25">
      <c r="A10" s="11"/>
      <c r="B10" s="21"/>
      <c r="C10" s="22"/>
      <c r="D10" s="21"/>
      <c r="E10" s="19"/>
      <c r="F10" s="9"/>
      <c r="G10" s="9"/>
      <c r="H10" s="9"/>
      <c r="I10" s="12"/>
      <c r="J10" s="12"/>
      <c r="K10" s="12"/>
      <c r="L10" s="6"/>
      <c r="M10" s="6"/>
    </row>
    <row r="11" spans="1:13" s="10" customFormat="1" ht="21" hidden="1" customHeight="1" x14ac:dyDescent="0.25">
      <c r="A11" s="11"/>
      <c r="B11" s="21"/>
      <c r="C11" s="22"/>
      <c r="D11" s="21"/>
      <c r="E11" s="19"/>
      <c r="F11" s="9"/>
      <c r="G11" s="9"/>
      <c r="H11" s="9"/>
      <c r="I11" s="12"/>
      <c r="J11" s="12"/>
      <c r="K11" s="12"/>
      <c r="L11" s="6"/>
      <c r="M11" s="6"/>
    </row>
    <row r="12" spans="1:13" s="10" customFormat="1" ht="21" hidden="1" customHeight="1" x14ac:dyDescent="0.25">
      <c r="A12" s="11"/>
      <c r="B12" s="21"/>
      <c r="C12" s="22"/>
      <c r="D12" s="21"/>
      <c r="E12" s="19"/>
      <c r="F12" s="9"/>
      <c r="G12" s="9"/>
      <c r="H12" s="9"/>
      <c r="I12" s="12"/>
      <c r="J12" s="12"/>
      <c r="K12" s="12"/>
      <c r="L12" s="6"/>
      <c r="M12" s="6"/>
    </row>
    <row r="13" spans="1:13" s="10" customFormat="1" ht="21" hidden="1" customHeight="1" x14ac:dyDescent="0.25">
      <c r="A13" s="11"/>
      <c r="B13" s="21"/>
      <c r="C13" s="22"/>
      <c r="D13" s="21"/>
      <c r="E13" s="19"/>
      <c r="F13" s="9"/>
      <c r="G13" s="9"/>
      <c r="H13" s="9"/>
      <c r="I13" s="12"/>
      <c r="J13" s="12"/>
      <c r="K13" s="12"/>
      <c r="L13" s="6"/>
      <c r="M13" s="6"/>
    </row>
    <row r="14" spans="1:13" s="10" customFormat="1" ht="21" hidden="1" customHeight="1" x14ac:dyDescent="0.25">
      <c r="A14" s="11"/>
      <c r="B14" s="21"/>
      <c r="C14" s="22"/>
      <c r="D14" s="21"/>
      <c r="E14" s="19"/>
      <c r="F14" s="9"/>
      <c r="G14" s="9"/>
      <c r="H14" s="9"/>
      <c r="I14" s="12"/>
      <c r="J14" s="12"/>
      <c r="K14" s="12"/>
      <c r="L14" s="6"/>
      <c r="M14" s="6"/>
    </row>
    <row r="15" spans="1:13" s="10" customFormat="1" ht="21" hidden="1" customHeight="1" x14ac:dyDescent="0.25">
      <c r="A15" s="11"/>
      <c r="B15" s="21"/>
      <c r="C15" s="22"/>
      <c r="D15" s="21"/>
      <c r="E15" s="19"/>
      <c r="F15" s="9"/>
      <c r="G15" s="9"/>
      <c r="H15" s="9"/>
      <c r="I15" s="12"/>
      <c r="J15" s="12"/>
      <c r="K15" s="12"/>
      <c r="L15" s="6"/>
      <c r="M15" s="6"/>
    </row>
    <row r="16" spans="1:13" s="10" customFormat="1" ht="21" hidden="1" customHeight="1" x14ac:dyDescent="0.25">
      <c r="A16" s="11"/>
      <c r="B16" s="21"/>
      <c r="C16" s="22"/>
      <c r="D16" s="21"/>
      <c r="E16" s="19"/>
      <c r="F16" s="9"/>
      <c r="G16" s="9"/>
      <c r="H16" s="9"/>
      <c r="I16" s="12"/>
      <c r="J16" s="12"/>
      <c r="K16" s="12"/>
      <c r="L16" s="6"/>
      <c r="M16" s="6"/>
    </row>
    <row r="17" spans="1:15" s="10" customFormat="1" ht="21" hidden="1" customHeight="1" x14ac:dyDescent="0.25">
      <c r="A17" s="11"/>
      <c r="B17" s="21"/>
      <c r="C17" s="22"/>
      <c r="D17" s="21"/>
      <c r="E17" s="19"/>
      <c r="F17" s="9"/>
      <c r="G17" s="9"/>
      <c r="H17" s="9"/>
      <c r="I17" s="12"/>
      <c r="J17" s="12"/>
      <c r="K17" s="12"/>
      <c r="L17" s="6"/>
      <c r="M17" s="6"/>
    </row>
    <row r="18" spans="1:15" s="13" customFormat="1" ht="21" hidden="1" customHeight="1" x14ac:dyDescent="0.25">
      <c r="A18" s="11"/>
      <c r="B18" s="21"/>
      <c r="C18" s="22"/>
      <c r="D18" s="21"/>
      <c r="E18" s="23"/>
      <c r="F18" s="7"/>
      <c r="G18" s="7"/>
      <c r="H18" s="7"/>
      <c r="I18" s="12"/>
      <c r="J18" s="12"/>
      <c r="K18" s="12"/>
      <c r="L18" s="12"/>
      <c r="M18" s="7"/>
      <c r="O18" s="10"/>
    </row>
    <row r="19" spans="1:15" s="13" customFormat="1" ht="21" hidden="1" customHeight="1" x14ac:dyDescent="0.25">
      <c r="A19" s="11"/>
      <c r="B19" s="21"/>
      <c r="C19" s="22"/>
      <c r="D19" s="21"/>
      <c r="E19" s="23"/>
      <c r="F19" s="7"/>
      <c r="G19" s="7"/>
      <c r="H19" s="7"/>
      <c r="I19" s="12"/>
      <c r="J19" s="12"/>
      <c r="K19" s="12"/>
      <c r="L19" s="12"/>
      <c r="M19" s="7"/>
      <c r="O19" s="10"/>
    </row>
    <row r="20" spans="1:15" s="13" customFormat="1" ht="21" hidden="1" customHeight="1" x14ac:dyDescent="0.25">
      <c r="A20" s="11"/>
      <c r="B20" s="21"/>
      <c r="C20" s="22"/>
      <c r="D20" s="21"/>
      <c r="E20" s="23"/>
      <c r="F20" s="7"/>
      <c r="G20" s="7"/>
      <c r="H20" s="7"/>
      <c r="I20" s="12"/>
      <c r="J20" s="12"/>
      <c r="K20" s="12"/>
      <c r="L20" s="12"/>
      <c r="M20" s="7"/>
      <c r="O20" s="10"/>
    </row>
    <row r="21" spans="1:15" s="13" customFormat="1" ht="21" hidden="1" customHeight="1" x14ac:dyDescent="0.25">
      <c r="A21" s="11"/>
      <c r="B21" s="21"/>
      <c r="C21" s="22"/>
      <c r="D21" s="21"/>
      <c r="E21" s="23"/>
      <c r="F21" s="7"/>
      <c r="G21" s="7"/>
      <c r="H21" s="7"/>
      <c r="I21" s="12"/>
      <c r="J21" s="12"/>
      <c r="K21" s="12"/>
      <c r="L21" s="12"/>
      <c r="M21" s="7"/>
      <c r="O21" s="10"/>
    </row>
    <row r="22" spans="1:15" s="13" customFormat="1" ht="21" hidden="1" customHeight="1" x14ac:dyDescent="0.25">
      <c r="A22" s="11"/>
      <c r="B22" s="21"/>
      <c r="C22" s="22"/>
      <c r="D22" s="21"/>
      <c r="E22" s="23"/>
      <c r="F22" s="7"/>
      <c r="G22" s="7"/>
      <c r="H22" s="7"/>
      <c r="I22" s="12"/>
      <c r="J22" s="12"/>
      <c r="K22" s="12"/>
      <c r="L22" s="12"/>
      <c r="M22" s="7"/>
      <c r="O22" s="10"/>
    </row>
    <row r="23" spans="1:15" s="13" customFormat="1" ht="21" hidden="1" customHeight="1" x14ac:dyDescent="0.25">
      <c r="A23" s="11"/>
      <c r="B23" s="21"/>
      <c r="C23" s="22"/>
      <c r="D23" s="21"/>
      <c r="E23" s="23"/>
      <c r="F23" s="7"/>
      <c r="G23" s="7"/>
      <c r="H23" s="7"/>
      <c r="I23" s="12"/>
      <c r="J23" s="12"/>
      <c r="K23" s="12"/>
      <c r="L23" s="12"/>
      <c r="M23" s="7"/>
      <c r="O23" s="10"/>
    </row>
    <row r="24" spans="1:15" s="13" customFormat="1" ht="26.25" hidden="1" customHeight="1" x14ac:dyDescent="0.25">
      <c r="A24" s="11"/>
      <c r="B24" s="21"/>
      <c r="C24" s="22"/>
      <c r="D24" s="21"/>
      <c r="E24" s="23"/>
      <c r="F24" s="7"/>
      <c r="G24" s="7"/>
      <c r="H24" s="7"/>
      <c r="I24" s="12"/>
      <c r="J24" s="12"/>
      <c r="K24" s="12"/>
      <c r="L24" s="12"/>
      <c r="M24" s="7"/>
      <c r="O24" s="10"/>
    </row>
    <row r="25" spans="1:15" s="13" customFormat="1" ht="21" hidden="1" customHeight="1" x14ac:dyDescent="0.25">
      <c r="A25" s="25"/>
      <c r="B25" s="26"/>
      <c r="C25" s="27"/>
      <c r="D25" s="26"/>
      <c r="E25" s="28"/>
      <c r="F25" s="28"/>
      <c r="G25" s="28"/>
      <c r="H25" s="28"/>
      <c r="I25" s="29"/>
      <c r="J25" s="29"/>
      <c r="K25" s="29"/>
      <c r="L25" s="29"/>
      <c r="M25" s="30"/>
    </row>
    <row r="26" spans="1:15" ht="15" customHeight="1" x14ac:dyDescent="0.25">
      <c r="A26" s="42" t="s">
        <v>5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18">
        <f>SUM(M9:M18)</f>
        <v>115685.49999999999</v>
      </c>
    </row>
    <row r="27" spans="1: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5" ht="3.75" customHeight="1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5" hidden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5" ht="50.25" hidden="1" customHeight="1" x14ac:dyDescent="0.25">
      <c r="A30" s="41" t="s">
        <v>8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5"/>
    </row>
    <row r="31" spans="1:15" ht="52.5" customHeight="1" x14ac:dyDescent="0.25">
      <c r="A31" s="5"/>
      <c r="B31" s="39" t="s">
        <v>49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3" spans="2:13" ht="83.25" customHeight="1" x14ac:dyDescent="0.25">
      <c r="B33" s="39" t="s">
        <v>50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</row>
  </sheetData>
  <mergeCells count="10">
    <mergeCell ref="B33:M33"/>
    <mergeCell ref="B31:M31"/>
    <mergeCell ref="A1:L1"/>
    <mergeCell ref="A30:L30"/>
    <mergeCell ref="A2:L2"/>
    <mergeCell ref="A26:L26"/>
    <mergeCell ref="A4:L4"/>
    <mergeCell ref="A3:L3"/>
    <mergeCell ref="A6:L6"/>
    <mergeCell ref="A28:M28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1"/>
  <sheetViews>
    <sheetView zoomScale="80" zoomScaleNormal="80" workbookViewId="0">
      <selection activeCell="G12" sqref="G12"/>
    </sheetView>
  </sheetViews>
  <sheetFormatPr defaultRowHeight="15" x14ac:dyDescent="0.25"/>
  <cols>
    <col min="1" max="1" width="4.85546875" customWidth="1"/>
    <col min="2" max="2" width="20.42578125" customWidth="1"/>
    <col min="3" max="3" width="5.140625" customWidth="1"/>
    <col min="4" max="4" width="6.7109375" customWidth="1"/>
    <col min="5" max="5" width="12" customWidth="1"/>
    <col min="6" max="7" width="12.140625" customWidth="1"/>
    <col min="8" max="8" width="12.140625" hidden="1" customWidth="1"/>
    <col min="9" max="9" width="9.7109375" customWidth="1"/>
    <col min="10" max="10" width="11.85546875" customWidth="1"/>
    <col min="11" max="11" width="8.42578125" customWidth="1"/>
    <col min="12" max="12" width="12.28515625" customWidth="1"/>
    <col min="13" max="13" width="12.42578125" customWidth="1"/>
  </cols>
  <sheetData>
    <row r="1" spans="1:21" ht="25.5" customHeight="1" x14ac:dyDescent="0.25">
      <c r="A1" s="40" t="s">
        <v>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16"/>
    </row>
    <row r="2" spans="1:21" ht="67.5" customHeight="1" x14ac:dyDescent="0.25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5"/>
    </row>
    <row r="3" spans="1:21" ht="43.15" customHeight="1" x14ac:dyDescent="0.25">
      <c r="A3" s="43" t="s">
        <v>14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15"/>
    </row>
    <row r="4" spans="1:21" ht="140.25" customHeight="1" x14ac:dyDescent="0.25">
      <c r="A4" s="43" t="s">
        <v>15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15"/>
    </row>
    <row r="5" spans="1:21" ht="13.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21" ht="134.25" customHeight="1" x14ac:dyDescent="0.25">
      <c r="A6" s="41" t="s">
        <v>16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5"/>
    </row>
    <row r="7" spans="1:21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1" s="10" customFormat="1" ht="108" customHeight="1" x14ac:dyDescent="0.25">
      <c r="A8" s="9" t="s">
        <v>0</v>
      </c>
      <c r="B8" s="20" t="s">
        <v>1</v>
      </c>
      <c r="C8" s="9" t="s">
        <v>2</v>
      </c>
      <c r="D8" s="20" t="s">
        <v>9</v>
      </c>
      <c r="E8" s="9" t="s">
        <v>27</v>
      </c>
      <c r="F8" s="9" t="s">
        <v>28</v>
      </c>
      <c r="G8" s="9" t="s">
        <v>29</v>
      </c>
      <c r="H8" s="9" t="s">
        <v>17</v>
      </c>
      <c r="I8" s="6" t="s">
        <v>18</v>
      </c>
      <c r="J8" s="6" t="s">
        <v>3</v>
      </c>
      <c r="K8" s="6" t="s">
        <v>4</v>
      </c>
      <c r="L8" s="6" t="s">
        <v>10</v>
      </c>
      <c r="M8" s="6" t="s">
        <v>7</v>
      </c>
      <c r="P8" s="9" t="s">
        <v>27</v>
      </c>
      <c r="Q8" s="9" t="s">
        <v>28</v>
      </c>
      <c r="R8" s="9" t="s">
        <v>29</v>
      </c>
      <c r="S8" s="6" t="s">
        <v>18</v>
      </c>
      <c r="T8" s="6" t="s">
        <v>3</v>
      </c>
      <c r="U8" s="6" t="s">
        <v>4</v>
      </c>
    </row>
    <row r="9" spans="1:21" s="10" customFormat="1" ht="21" customHeight="1" x14ac:dyDescent="0.25">
      <c r="A9" s="11">
        <v>1</v>
      </c>
      <c r="B9" s="21" t="s">
        <v>31</v>
      </c>
      <c r="C9" s="22" t="s">
        <v>19</v>
      </c>
      <c r="D9" s="21">
        <v>2</v>
      </c>
      <c r="E9" s="19">
        <v>220</v>
      </c>
      <c r="F9" s="9">
        <v>350</v>
      </c>
      <c r="G9" s="9">
        <v>450</v>
      </c>
      <c r="H9" s="9"/>
      <c r="I9" s="12">
        <f>ROUND(AVERAGE(E9:G9),2)</f>
        <v>340</v>
      </c>
      <c r="J9" s="12">
        <f>STDEV(E9:G9)</f>
        <v>115.32562594670796</v>
      </c>
      <c r="K9" s="24">
        <f>J9/I9*100</f>
        <v>33.919301749031753</v>
      </c>
      <c r="L9" s="12">
        <f>E9</f>
        <v>220</v>
      </c>
      <c r="M9" s="7">
        <f>L9*D9</f>
        <v>440</v>
      </c>
      <c r="P9" s="19">
        <v>550</v>
      </c>
      <c r="Q9" s="9">
        <f>350+250+150+250+150+250</f>
        <v>1400</v>
      </c>
      <c r="R9" s="9">
        <f>450+250+150+250+150+250</f>
        <v>1500</v>
      </c>
      <c r="S9" s="12">
        <f>ROUND(AVERAGE(P9:R9),2)</f>
        <v>1150</v>
      </c>
      <c r="T9" s="12">
        <f>STDEV(P9:R9)</f>
        <v>522.01532544552754</v>
      </c>
      <c r="U9" s="24">
        <f>T9/S9*100</f>
        <v>45.392636995263267</v>
      </c>
    </row>
    <row r="10" spans="1:21" s="10" customFormat="1" ht="21" customHeight="1" x14ac:dyDescent="0.25">
      <c r="A10" s="11">
        <v>2</v>
      </c>
      <c r="B10" s="21" t="s">
        <v>32</v>
      </c>
      <c r="C10" s="22" t="s">
        <v>19</v>
      </c>
      <c r="D10" s="21">
        <v>1</v>
      </c>
      <c r="E10" s="19"/>
      <c r="F10" s="9"/>
      <c r="G10" s="9"/>
      <c r="H10" s="9"/>
      <c r="I10" s="12"/>
      <c r="J10" s="12"/>
      <c r="K10" s="12"/>
      <c r="L10" s="6"/>
      <c r="M10" s="6"/>
      <c r="P10" s="19">
        <v>1500</v>
      </c>
      <c r="Q10" s="9">
        <f>1200+350+180+300+300+500</f>
        <v>2830</v>
      </c>
      <c r="R10" s="9">
        <f>1350+350+180+300+300+500</f>
        <v>2980</v>
      </c>
      <c r="S10" s="12">
        <f t="shared" ref="S10:S24" si="0">ROUND(AVERAGE(P10:R10),2)</f>
        <v>2436.67</v>
      </c>
      <c r="T10" s="12">
        <f t="shared" ref="T10:T24" si="1">STDEV(P10:R10)</f>
        <v>814.63693344540548</v>
      </c>
      <c r="U10" s="24">
        <f t="shared" ref="U10:U24" si="2">T10/S10*100</f>
        <v>33.4323865540022</v>
      </c>
    </row>
    <row r="11" spans="1:21" s="10" customFormat="1" ht="21" customHeight="1" x14ac:dyDescent="0.25">
      <c r="A11" s="11">
        <v>3</v>
      </c>
      <c r="B11" s="21" t="s">
        <v>33</v>
      </c>
      <c r="C11" s="22" t="s">
        <v>19</v>
      </c>
      <c r="D11" s="21">
        <v>2</v>
      </c>
      <c r="E11" s="19"/>
      <c r="F11" s="9"/>
      <c r="G11" s="9"/>
      <c r="H11" s="9"/>
      <c r="I11" s="12"/>
      <c r="J11" s="12"/>
      <c r="K11" s="12"/>
      <c r="L11" s="6"/>
      <c r="M11" s="6"/>
      <c r="P11" s="19">
        <v>1100</v>
      </c>
      <c r="Q11" s="9">
        <f>700+300</f>
        <v>1000</v>
      </c>
      <c r="R11" s="9">
        <f>1000+300</f>
        <v>1300</v>
      </c>
      <c r="S11" s="12">
        <f t="shared" si="0"/>
        <v>1133.33</v>
      </c>
      <c r="T11" s="12">
        <f t="shared" si="1"/>
        <v>152.75252316519442</v>
      </c>
      <c r="U11" s="12">
        <f t="shared" si="2"/>
        <v>13.478203450468481</v>
      </c>
    </row>
    <row r="12" spans="1:21" s="10" customFormat="1" ht="21" customHeight="1" x14ac:dyDescent="0.25">
      <c r="A12" s="11">
        <v>4</v>
      </c>
      <c r="B12" s="21" t="s">
        <v>34</v>
      </c>
      <c r="C12" s="22" t="s">
        <v>19</v>
      </c>
      <c r="D12" s="21">
        <v>3</v>
      </c>
      <c r="E12" s="19"/>
      <c r="F12" s="9"/>
      <c r="G12" s="9"/>
      <c r="H12" s="9"/>
      <c r="I12" s="12"/>
      <c r="J12" s="12"/>
      <c r="K12" s="12"/>
      <c r="L12" s="6"/>
      <c r="M12" s="6"/>
      <c r="P12" s="19">
        <v>1100</v>
      </c>
      <c r="Q12" s="9">
        <f>700+300</f>
        <v>1000</v>
      </c>
      <c r="R12" s="9">
        <f>1000+300</f>
        <v>1300</v>
      </c>
      <c r="S12" s="12">
        <f t="shared" si="0"/>
        <v>1133.33</v>
      </c>
      <c r="T12" s="12">
        <f t="shared" si="1"/>
        <v>152.75252316519442</v>
      </c>
      <c r="U12" s="12">
        <f t="shared" si="2"/>
        <v>13.478203450468481</v>
      </c>
    </row>
    <row r="13" spans="1:21" s="10" customFormat="1" ht="21" customHeight="1" x14ac:dyDescent="0.25">
      <c r="A13" s="11">
        <v>5</v>
      </c>
      <c r="B13" s="21" t="s">
        <v>35</v>
      </c>
      <c r="C13" s="22" t="s">
        <v>19</v>
      </c>
      <c r="D13" s="21">
        <v>2</v>
      </c>
      <c r="E13" s="19"/>
      <c r="F13" s="9"/>
      <c r="G13" s="9"/>
      <c r="H13" s="9"/>
      <c r="I13" s="12"/>
      <c r="J13" s="12"/>
      <c r="K13" s="12"/>
      <c r="L13" s="6"/>
      <c r="M13" s="6"/>
      <c r="P13" s="19">
        <v>1100</v>
      </c>
      <c r="Q13" s="9">
        <f>700+300</f>
        <v>1000</v>
      </c>
      <c r="R13" s="9">
        <f>1000+300</f>
        <v>1300</v>
      </c>
      <c r="S13" s="12">
        <f t="shared" si="0"/>
        <v>1133.33</v>
      </c>
      <c r="T13" s="12">
        <f t="shared" si="1"/>
        <v>152.75252316519442</v>
      </c>
      <c r="U13" s="12">
        <f t="shared" si="2"/>
        <v>13.478203450468481</v>
      </c>
    </row>
    <row r="14" spans="1:21" s="10" customFormat="1" ht="21" customHeight="1" x14ac:dyDescent="0.25">
      <c r="A14" s="11">
        <v>6</v>
      </c>
      <c r="B14" s="21" t="s">
        <v>36</v>
      </c>
      <c r="C14" s="22" t="s">
        <v>19</v>
      </c>
      <c r="D14" s="21">
        <v>2</v>
      </c>
      <c r="E14" s="19"/>
      <c r="F14" s="9"/>
      <c r="G14" s="9"/>
      <c r="H14" s="9"/>
      <c r="I14" s="12"/>
      <c r="J14" s="12"/>
      <c r="K14" s="12"/>
      <c r="L14" s="6"/>
      <c r="M14" s="6"/>
      <c r="P14" s="19">
        <v>1100</v>
      </c>
      <c r="Q14" s="9">
        <f>700+300</f>
        <v>1000</v>
      </c>
      <c r="R14" s="9">
        <f>1000+300</f>
        <v>1300</v>
      </c>
      <c r="S14" s="12">
        <f t="shared" si="0"/>
        <v>1133.33</v>
      </c>
      <c r="T14" s="12">
        <f t="shared" si="1"/>
        <v>152.75252316519442</v>
      </c>
      <c r="U14" s="12">
        <f t="shared" si="2"/>
        <v>13.478203450468481</v>
      </c>
    </row>
    <row r="15" spans="1:21" s="10" customFormat="1" ht="21" customHeight="1" x14ac:dyDescent="0.25">
      <c r="A15" s="11">
        <v>7</v>
      </c>
      <c r="B15" s="21" t="s">
        <v>37</v>
      </c>
      <c r="C15" s="22" t="s">
        <v>19</v>
      </c>
      <c r="D15" s="21">
        <v>5</v>
      </c>
      <c r="E15" s="19">
        <v>240</v>
      </c>
      <c r="F15" s="9">
        <v>350</v>
      </c>
      <c r="G15" s="9">
        <v>400</v>
      </c>
      <c r="H15" s="9"/>
      <c r="I15" s="12">
        <f t="shared" ref="I15:I24" si="3">ROUND(AVERAGE(E15:G15),2)</f>
        <v>330</v>
      </c>
      <c r="J15" s="12">
        <f t="shared" ref="J15:J24" si="4">STDEV(E15:G15)</f>
        <v>81.853527718724493</v>
      </c>
      <c r="K15" s="12">
        <f t="shared" ref="K15:K24" si="5">J15/I15*100</f>
        <v>24.804099308704391</v>
      </c>
      <c r="L15" s="6"/>
      <c r="M15" s="6"/>
      <c r="P15" s="19">
        <v>460</v>
      </c>
      <c r="Q15" s="9">
        <f>350+250+150+250+150+250</f>
        <v>1400</v>
      </c>
      <c r="R15" s="9">
        <f>400+250+200+250+200+250</f>
        <v>1550</v>
      </c>
      <c r="S15" s="12">
        <f t="shared" si="0"/>
        <v>1136.67</v>
      </c>
      <c r="T15" s="12">
        <f t="shared" si="1"/>
        <v>590.79043097644467</v>
      </c>
      <c r="U15" s="24">
        <f t="shared" si="2"/>
        <v>51.975545318909141</v>
      </c>
    </row>
    <row r="16" spans="1:21" s="10" customFormat="1" ht="21" customHeight="1" x14ac:dyDescent="0.25">
      <c r="A16" s="11">
        <v>8</v>
      </c>
      <c r="B16" s="21" t="s">
        <v>38</v>
      </c>
      <c r="C16" s="22" t="s">
        <v>19</v>
      </c>
      <c r="D16" s="21">
        <v>7</v>
      </c>
      <c r="E16" s="19">
        <v>260</v>
      </c>
      <c r="F16" s="9">
        <v>350</v>
      </c>
      <c r="G16" s="9">
        <v>400</v>
      </c>
      <c r="H16" s="9"/>
      <c r="I16" s="12">
        <f t="shared" si="3"/>
        <v>336.67</v>
      </c>
      <c r="J16" s="12">
        <f t="shared" si="4"/>
        <v>70.945988845975947</v>
      </c>
      <c r="K16" s="12">
        <f t="shared" si="5"/>
        <v>21.072857351702243</v>
      </c>
      <c r="L16" s="6"/>
      <c r="M16" s="6"/>
      <c r="P16" s="19">
        <v>480</v>
      </c>
      <c r="Q16" s="9">
        <f>350+250+150+250+150+250</f>
        <v>1400</v>
      </c>
      <c r="R16" s="9">
        <f>400+250+150+250+150+250</f>
        <v>1450</v>
      </c>
      <c r="S16" s="12">
        <f t="shared" si="0"/>
        <v>1110</v>
      </c>
      <c r="T16" s="12">
        <f t="shared" si="1"/>
        <v>546.16847217685495</v>
      </c>
      <c r="U16" s="24">
        <f t="shared" si="2"/>
        <v>49.204366862779722</v>
      </c>
    </row>
    <row r="17" spans="1:21" s="10" customFormat="1" ht="21" customHeight="1" x14ac:dyDescent="0.25">
      <c r="A17" s="11">
        <v>9</v>
      </c>
      <c r="B17" s="21" t="s">
        <v>39</v>
      </c>
      <c r="C17" s="22" t="s">
        <v>19</v>
      </c>
      <c r="D17" s="21">
        <v>5</v>
      </c>
      <c r="E17" s="19">
        <v>240</v>
      </c>
      <c r="F17" s="9">
        <v>350</v>
      </c>
      <c r="G17" s="9">
        <v>450</v>
      </c>
      <c r="H17" s="9"/>
      <c r="I17" s="12">
        <f t="shared" si="3"/>
        <v>346.67</v>
      </c>
      <c r="J17" s="12">
        <f t="shared" si="4"/>
        <v>105.03967504392492</v>
      </c>
      <c r="K17" s="12">
        <f t="shared" si="5"/>
        <v>30.299614920219494</v>
      </c>
      <c r="L17" s="6"/>
      <c r="M17" s="6"/>
      <c r="P17" s="19">
        <v>460</v>
      </c>
      <c r="Q17" s="9">
        <f>350+250+150+250+150+250</f>
        <v>1400</v>
      </c>
      <c r="R17" s="9">
        <f>450+250+200+250+200+250</f>
        <v>1600</v>
      </c>
      <c r="S17" s="12">
        <f t="shared" si="0"/>
        <v>1153.33</v>
      </c>
      <c r="T17" s="12">
        <f t="shared" si="1"/>
        <v>608.71449246205179</v>
      </c>
      <c r="U17" s="24">
        <f t="shared" si="2"/>
        <v>52.778865759327495</v>
      </c>
    </row>
    <row r="18" spans="1:21" s="13" customFormat="1" ht="21" customHeight="1" x14ac:dyDescent="0.25">
      <c r="A18" s="11">
        <v>10</v>
      </c>
      <c r="B18" s="21" t="s">
        <v>40</v>
      </c>
      <c r="C18" s="22" t="s">
        <v>19</v>
      </c>
      <c r="D18" s="21">
        <v>2</v>
      </c>
      <c r="E18" s="23">
        <v>520</v>
      </c>
      <c r="F18" s="7">
        <v>350</v>
      </c>
      <c r="G18" s="7">
        <v>500</v>
      </c>
      <c r="H18" s="7"/>
      <c r="I18" s="12">
        <f t="shared" si="3"/>
        <v>456.67</v>
      </c>
      <c r="J18" s="12">
        <f t="shared" si="4"/>
        <v>92.915732431775595</v>
      </c>
      <c r="K18" s="12">
        <f t="shared" si="5"/>
        <v>20.346362237890727</v>
      </c>
      <c r="L18" s="12">
        <f>E18</f>
        <v>520</v>
      </c>
      <c r="M18" s="7">
        <f>L18*D18</f>
        <v>1040</v>
      </c>
      <c r="O18" s="10"/>
      <c r="P18" s="23">
        <v>890</v>
      </c>
      <c r="Q18" s="7">
        <f>350+150+350+200</f>
        <v>1050</v>
      </c>
      <c r="R18" s="7">
        <f>500+150+350+200</f>
        <v>1200</v>
      </c>
      <c r="S18" s="12">
        <f t="shared" si="0"/>
        <v>1046.67</v>
      </c>
      <c r="T18" s="12">
        <f t="shared" si="1"/>
        <v>155.02687938977954</v>
      </c>
      <c r="U18" s="12">
        <f t="shared" si="2"/>
        <v>14.811438121832051</v>
      </c>
    </row>
    <row r="19" spans="1:21" s="13" customFormat="1" ht="21" customHeight="1" x14ac:dyDescent="0.25">
      <c r="A19" s="11">
        <v>11</v>
      </c>
      <c r="B19" s="21" t="s">
        <v>41</v>
      </c>
      <c r="C19" s="22" t="s">
        <v>19</v>
      </c>
      <c r="D19" s="21">
        <v>2</v>
      </c>
      <c r="E19" s="23">
        <v>520</v>
      </c>
      <c r="F19" s="7">
        <v>350</v>
      </c>
      <c r="G19" s="7">
        <v>450</v>
      </c>
      <c r="H19" s="7"/>
      <c r="I19" s="12">
        <f t="shared" si="3"/>
        <v>440</v>
      </c>
      <c r="J19" s="12">
        <f t="shared" si="4"/>
        <v>85.440037453175307</v>
      </c>
      <c r="K19" s="12">
        <f t="shared" si="5"/>
        <v>19.418190330267116</v>
      </c>
      <c r="L19" s="12"/>
      <c r="M19" s="7"/>
      <c r="O19" s="10"/>
      <c r="P19" s="23">
        <v>890</v>
      </c>
      <c r="Q19" s="7">
        <f>350+150+350+200</f>
        <v>1050</v>
      </c>
      <c r="R19" s="7">
        <f>450+150+350+200</f>
        <v>1150</v>
      </c>
      <c r="S19" s="12">
        <f t="shared" si="0"/>
        <v>1030</v>
      </c>
      <c r="T19" s="12">
        <f t="shared" si="1"/>
        <v>131.14877048604001</v>
      </c>
      <c r="U19" s="12">
        <f t="shared" si="2"/>
        <v>12.732890338450487</v>
      </c>
    </row>
    <row r="20" spans="1:21" s="13" customFormat="1" ht="21" customHeight="1" x14ac:dyDescent="0.25">
      <c r="A20" s="11">
        <v>12</v>
      </c>
      <c r="B20" s="21" t="s">
        <v>42</v>
      </c>
      <c r="C20" s="22" t="s">
        <v>19</v>
      </c>
      <c r="D20" s="21">
        <v>3</v>
      </c>
      <c r="E20" s="23">
        <v>275</v>
      </c>
      <c r="F20" s="7">
        <v>350</v>
      </c>
      <c r="G20" s="7">
        <v>400</v>
      </c>
      <c r="H20" s="7"/>
      <c r="I20" s="12">
        <f t="shared" si="3"/>
        <v>341.67</v>
      </c>
      <c r="J20" s="12">
        <f t="shared" si="4"/>
        <v>62.915286960589661</v>
      </c>
      <c r="K20" s="12">
        <f t="shared" si="5"/>
        <v>18.414050680653748</v>
      </c>
      <c r="L20" s="12"/>
      <c r="M20" s="7"/>
      <c r="O20" s="10"/>
      <c r="P20" s="23">
        <v>565</v>
      </c>
      <c r="Q20" s="7">
        <f>350</f>
        <v>350</v>
      </c>
      <c r="R20" s="7">
        <f>400</f>
        <v>400</v>
      </c>
      <c r="S20" s="12">
        <f t="shared" si="0"/>
        <v>438.33</v>
      </c>
      <c r="T20" s="12">
        <f t="shared" si="1"/>
        <v>112.50925887825106</v>
      </c>
      <c r="U20" s="12">
        <f t="shared" si="2"/>
        <v>25.667706722846045</v>
      </c>
    </row>
    <row r="21" spans="1:21" s="13" customFormat="1" ht="21" customHeight="1" x14ac:dyDescent="0.25">
      <c r="A21" s="11">
        <v>13</v>
      </c>
      <c r="B21" s="21" t="s">
        <v>43</v>
      </c>
      <c r="C21" s="22" t="s">
        <v>19</v>
      </c>
      <c r="D21" s="21">
        <v>1</v>
      </c>
      <c r="E21" s="23">
        <v>240</v>
      </c>
      <c r="F21" s="7">
        <v>350</v>
      </c>
      <c r="G21" s="7">
        <v>450</v>
      </c>
      <c r="H21" s="7"/>
      <c r="I21" s="12">
        <f t="shared" si="3"/>
        <v>346.67</v>
      </c>
      <c r="J21" s="12">
        <f t="shared" si="4"/>
        <v>105.03967504392492</v>
      </c>
      <c r="K21" s="12">
        <f t="shared" si="5"/>
        <v>30.299614920219494</v>
      </c>
      <c r="L21" s="12"/>
      <c r="M21" s="7"/>
      <c r="O21" s="10"/>
      <c r="P21" s="23">
        <v>460</v>
      </c>
      <c r="Q21" s="7">
        <f>350+250+150+250+150+250</f>
        <v>1400</v>
      </c>
      <c r="R21" s="7">
        <f>450+250+150+250+150+250</f>
        <v>1500</v>
      </c>
      <c r="S21" s="12">
        <f t="shared" si="0"/>
        <v>1120</v>
      </c>
      <c r="T21" s="12">
        <f t="shared" si="1"/>
        <v>573.75953151124213</v>
      </c>
      <c r="U21" s="24">
        <f t="shared" si="2"/>
        <v>51.228529599218042</v>
      </c>
    </row>
    <row r="22" spans="1:21" s="13" customFormat="1" ht="21" customHeight="1" x14ac:dyDescent="0.25">
      <c r="A22" s="11">
        <v>14</v>
      </c>
      <c r="B22" s="21" t="s">
        <v>44</v>
      </c>
      <c r="C22" s="22" t="s">
        <v>19</v>
      </c>
      <c r="D22" s="21">
        <v>1</v>
      </c>
      <c r="E22" s="23">
        <v>270</v>
      </c>
      <c r="F22" s="7">
        <v>350</v>
      </c>
      <c r="G22" s="7">
        <v>450</v>
      </c>
      <c r="H22" s="7"/>
      <c r="I22" s="12">
        <f t="shared" si="3"/>
        <v>356.67</v>
      </c>
      <c r="J22" s="12">
        <f t="shared" si="4"/>
        <v>90.184995056457936</v>
      </c>
      <c r="K22" s="12">
        <f t="shared" si="5"/>
        <v>25.285276321658095</v>
      </c>
      <c r="L22" s="12">
        <f t="shared" ref="L22:L23" si="6">E22</f>
        <v>270</v>
      </c>
      <c r="M22" s="7">
        <f t="shared" ref="M22:M23" si="7">L22*D22</f>
        <v>270</v>
      </c>
      <c r="O22" s="10"/>
      <c r="P22" s="23">
        <v>540</v>
      </c>
      <c r="Q22" s="7">
        <f>350+250+150+250+150+250</f>
        <v>1400</v>
      </c>
      <c r="R22" s="7">
        <f>450+250+150+250+150+250</f>
        <v>1500</v>
      </c>
      <c r="S22" s="12">
        <f t="shared" si="0"/>
        <v>1146.67</v>
      </c>
      <c r="T22" s="12">
        <f t="shared" si="1"/>
        <v>527.76257288039403</v>
      </c>
      <c r="U22" s="24">
        <f t="shared" si="2"/>
        <v>46.025671978894891</v>
      </c>
    </row>
    <row r="23" spans="1:21" s="13" customFormat="1" ht="21" customHeight="1" x14ac:dyDescent="0.25">
      <c r="A23" s="11">
        <v>15</v>
      </c>
      <c r="B23" s="21" t="s">
        <v>45</v>
      </c>
      <c r="C23" s="22" t="s">
        <v>19</v>
      </c>
      <c r="D23" s="21">
        <v>1</v>
      </c>
      <c r="E23" s="23">
        <v>370</v>
      </c>
      <c r="F23" s="7">
        <v>350</v>
      </c>
      <c r="G23" s="7">
        <v>550</v>
      </c>
      <c r="H23" s="7"/>
      <c r="I23" s="12">
        <f t="shared" si="3"/>
        <v>423.33</v>
      </c>
      <c r="J23" s="12">
        <f t="shared" si="4"/>
        <v>110.15141094572195</v>
      </c>
      <c r="K23" s="12">
        <f t="shared" si="5"/>
        <v>26.020223217282489</v>
      </c>
      <c r="L23" s="12">
        <f t="shared" si="6"/>
        <v>370</v>
      </c>
      <c r="M23" s="7">
        <f t="shared" si="7"/>
        <v>370</v>
      </c>
      <c r="O23" s="10"/>
      <c r="P23" s="23">
        <v>620</v>
      </c>
      <c r="Q23" s="7">
        <f>350+150+250+200+250+250+250</f>
        <v>1700</v>
      </c>
      <c r="R23" s="7">
        <f>550+150+250+200+250+250+250</f>
        <v>1900</v>
      </c>
      <c r="S23" s="12">
        <f t="shared" si="0"/>
        <v>1406.67</v>
      </c>
      <c r="T23" s="12">
        <f t="shared" si="1"/>
        <v>688.57340446268574</v>
      </c>
      <c r="U23" s="24">
        <f t="shared" si="2"/>
        <v>48.950599960380593</v>
      </c>
    </row>
    <row r="24" spans="1:21" s="13" customFormat="1" ht="21" customHeight="1" x14ac:dyDescent="0.25">
      <c r="A24" s="11">
        <v>16</v>
      </c>
      <c r="B24" s="21" t="s">
        <v>46</v>
      </c>
      <c r="C24" s="22" t="s">
        <v>19</v>
      </c>
      <c r="D24" s="21">
        <v>1</v>
      </c>
      <c r="E24" s="23">
        <v>300</v>
      </c>
      <c r="F24" s="7">
        <v>450</v>
      </c>
      <c r="G24" s="7">
        <v>500</v>
      </c>
      <c r="H24" s="7"/>
      <c r="I24" s="12">
        <f t="shared" si="3"/>
        <v>416.67</v>
      </c>
      <c r="J24" s="12">
        <f t="shared" si="4"/>
        <v>104.08329997330668</v>
      </c>
      <c r="K24" s="12">
        <f t="shared" si="5"/>
        <v>24.979792155256362</v>
      </c>
      <c r="L24" s="12"/>
      <c r="M24" s="7"/>
      <c r="O24" s="10"/>
      <c r="P24" s="23">
        <v>550</v>
      </c>
      <c r="Q24" s="7">
        <f>450+800</f>
        <v>1250</v>
      </c>
      <c r="R24" s="7">
        <f>500+800</f>
        <v>1300</v>
      </c>
      <c r="S24" s="12">
        <f t="shared" si="0"/>
        <v>1033.33</v>
      </c>
      <c r="T24" s="12">
        <f t="shared" si="1"/>
        <v>419.32485418030404</v>
      </c>
      <c r="U24" s="24">
        <f t="shared" si="2"/>
        <v>40.579955501176208</v>
      </c>
    </row>
    <row r="25" spans="1:21" s="13" customFormat="1" ht="21" customHeight="1" x14ac:dyDescent="0.25">
      <c r="A25" s="25"/>
      <c r="B25" s="26"/>
      <c r="C25" s="27"/>
      <c r="D25" s="26"/>
      <c r="E25" s="28">
        <f>SUMPRODUCT(D9:D24,E9:E24)</f>
        <v>8745</v>
      </c>
      <c r="F25" s="28">
        <f>SUMPRODUCT(D9:D24,F9:F24)</f>
        <v>10600</v>
      </c>
      <c r="G25" s="28">
        <f>SUMPRODUCT(D9:D24,G9:G24)</f>
        <v>13000</v>
      </c>
      <c r="H25" s="28"/>
      <c r="I25" s="29"/>
      <c r="J25" s="29"/>
      <c r="K25" s="29"/>
      <c r="L25" s="29"/>
      <c r="M25" s="30"/>
      <c r="P25" s="28">
        <f>SUMPRODUCT(D9:D24,P9:P24)</f>
        <v>27885</v>
      </c>
      <c r="Q25" s="28">
        <f>SUMPRODUCT(D9:D24,Q9:Q24)</f>
        <v>49430</v>
      </c>
      <c r="R25" s="28">
        <f>SUMPRODUCT(D9:D24,R9:R24)</f>
        <v>55680</v>
      </c>
      <c r="S25" s="29"/>
      <c r="T25" s="29"/>
      <c r="U25" s="29"/>
    </row>
    <row r="26" spans="1:21" ht="15" customHeight="1" x14ac:dyDescent="0.25">
      <c r="A26" s="42" t="s">
        <v>5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18">
        <f>SUM(M18:M24)</f>
        <v>1680</v>
      </c>
    </row>
    <row r="27" spans="1:2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21" ht="17.25" customHeight="1" x14ac:dyDescent="0.25">
      <c r="A28" s="44" t="s">
        <v>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2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21" ht="50.25" hidden="1" customHeight="1" x14ac:dyDescent="0.25">
      <c r="A30" s="41" t="s">
        <v>8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5"/>
    </row>
    <row r="31" spans="1:21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</sheetData>
  <mergeCells count="8">
    <mergeCell ref="A28:M28"/>
    <mergeCell ref="A30:L30"/>
    <mergeCell ref="A1:L1"/>
    <mergeCell ref="A2:L2"/>
    <mergeCell ref="A3:L3"/>
    <mergeCell ref="A4:L4"/>
    <mergeCell ref="A6:L6"/>
    <mergeCell ref="A26:L26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H11:H13"/>
  <sheetViews>
    <sheetView workbookViewId="0">
      <selection sqref="A1:XFD1048576"/>
    </sheetView>
  </sheetViews>
  <sheetFormatPr defaultRowHeight="15" x14ac:dyDescent="0.25"/>
  <cols>
    <col min="8" max="8" width="31" customWidth="1"/>
  </cols>
  <sheetData>
    <row r="11" spans="8:8" x14ac:dyDescent="0.25">
      <c r="H11" s="17"/>
    </row>
    <row r="12" spans="8:8" x14ac:dyDescent="0.25">
      <c r="H12" s="17"/>
    </row>
    <row r="13" spans="8:8" x14ac:dyDescent="0.25">
      <c r="H1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НМЦК (223-ФЗ)</vt:lpstr>
      <vt:lpstr>НМЦК (44-ФЗ)</vt:lpstr>
      <vt:lpstr>НМЦК (44-ФЗ) (2)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2026-08-05T05:22:13Z</dcterms:modified>
</cp:coreProperties>
</file>