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3.250\yarfgbu\Документы\Договора\2026 год\2. ЛИБП\Термопринтер\"/>
    </mc:Choice>
  </mc:AlternateContent>
  <bookViews>
    <workbookView xWindow="0" yWindow="0" windowWidth="28800" windowHeight="12435"/>
  </bookViews>
  <sheets>
    <sheet name="ОНМЦК " sheetId="4" r:id="rId1"/>
    <sheet name="Лист1" sheetId="5" state="hidden" r:id="rId2"/>
  </sheets>
  <definedNames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мил">{0,"овz";1,"z";2,"аz";5,"овz"}</definedName>
    <definedName name="_xlnm.Print_Area" localSheetId="0">'ОНМЦК '!$A$1:$P$21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P9" i="4" l="1"/>
  <c r="M9" i="4"/>
  <c r="J10" i="4"/>
  <c r="I10" i="4"/>
  <c r="P10" i="4" l="1"/>
  <c r="L9" i="4"/>
  <c r="N9" i="4" s="1"/>
  <c r="A22" i="5" l="1"/>
  <c r="B22" i="5" s="1"/>
  <c r="A21" i="5"/>
  <c r="B21" i="5" s="1"/>
  <c r="A20" i="5"/>
  <c r="B20" i="5" s="1"/>
  <c r="A19" i="5"/>
  <c r="B19" i="5" s="1"/>
  <c r="A18" i="5"/>
  <c r="B18" i="5" s="1"/>
  <c r="B16" i="5"/>
  <c r="B15" i="5"/>
  <c r="B14" i="5"/>
  <c r="B13" i="5"/>
  <c r="B12" i="5"/>
  <c r="B11" i="5"/>
  <c r="B10" i="5"/>
  <c r="B9" i="5"/>
  <c r="B8" i="5"/>
  <c r="B7" i="5"/>
  <c r="B6" i="5"/>
  <c r="A5" i="5"/>
  <c r="B5" i="5" s="1"/>
  <c r="H17" i="4" s="1"/>
</calcChain>
</file>

<file path=xl/sharedStrings.xml><?xml version="1.0" encoding="utf-8"?>
<sst xmlns="http://schemas.openxmlformats.org/spreadsheetml/2006/main" count="29" uniqueCount="29">
  <si>
    <t>№</t>
  </si>
  <si>
    <t>Среднее квадратичное отклонение</t>
  </si>
  <si>
    <t>Оценка однородности совокупности значений выявленных цен, используемых в расчете НМЦК</t>
  </si>
  <si>
    <t>Единица  измерения</t>
  </si>
  <si>
    <t>Количество</t>
  </si>
  <si>
    <t>Наименование товара</t>
  </si>
  <si>
    <t>Информация о валюте, используемой для формирования цены контракта и расчетов с Поставщиком (Подрядчиком, Исполнителем):
Российский рубль (код валюты - 643)</t>
  </si>
  <si>
    <t>Цена за единицу*, руб.</t>
  </si>
  <si>
    <t>НМЦК*, руб.</t>
  </si>
  <si>
    <t>Используемый метод определения начальной (максимальной) цены контракта с обоснованием</t>
  </si>
  <si>
    <t>Метод сопоставимых рыночных цен (анализа рынка), данный метод определения НМЦК является приоритетным.</t>
  </si>
  <si>
    <t xml:space="preserve">                                 ИТОГО</t>
  </si>
  <si>
    <t xml:space="preserve">Начальная (максимальная) цена контракта: </t>
  </si>
  <si>
    <t>Перевод числа в сумму прописью</t>
  </si>
  <si>
    <r>
      <t xml:space="preserve">Формат: </t>
    </r>
    <r>
      <rPr>
        <b/>
        <sz val="10"/>
        <color indexed="56"/>
        <rFont val="Arial"/>
        <family val="2"/>
        <charset val="204"/>
      </rPr>
      <t>"0 (пропись) рублей 00 копеек"</t>
    </r>
  </si>
  <si>
    <t>Примеры</t>
  </si>
  <si>
    <t>Результат преобразования</t>
  </si>
  <si>
    <t>Случайные примеры:</t>
  </si>
  <si>
    <t>Обоснование начальной (максимальной) цены Контракта</t>
  </si>
  <si>
    <t>Директор Ярославского филиала ФГБУ "ИМЦЭУАОСМП" Росздравнадзора                                                                  Р.Р. Галеев</t>
  </si>
  <si>
    <r>
      <t>Средняя арифметическая цена &lt;</t>
    </r>
    <r>
      <rPr>
        <i/>
        <sz val="12"/>
        <color indexed="8"/>
        <rFont val="Times New Roman"/>
        <family val="1"/>
        <charset val="204"/>
      </rPr>
      <t>ц</t>
    </r>
    <r>
      <rPr>
        <sz val="12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</si>
  <si>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</si>
  <si>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 xml:space="preserve">Обоснование начальной (максимальной) цены Контракта на поставку термотрансферного принтера в комплекте  для нужд Ярославского филиала  ФГБУ «ИМЦЭУАОСМП» Росздравнадзора
</t>
  </si>
  <si>
    <t>шт</t>
  </si>
  <si>
    <t xml:space="preserve">Термотрансферный принтер в комплекте </t>
  </si>
  <si>
    <t xml:space="preserve">Ответ на запрос ценовой информации №1 №2605-01 от 26.05.2026 г </t>
  </si>
  <si>
    <t>Ответ на запрос ценовой информации №2 №НФСТ-2275 от 25.05.2026 г.</t>
  </si>
  <si>
    <t>Запрос цен в ЕИС №03731000033626000052 от 01.06.2026. Без ответа</t>
  </si>
  <si>
    <t xml:space="preserve">Заказчиком проведен анализ общедоступной информации о ценах в соответствии с ч. 18 ст. 22 Закона N 44-ФЗ (размещен запрос о предоставлении ценовой информации в ЕИС № 03731000033626000052 от 01.06.2026 -без ответа)           
*В связи с экономией бюджетных средств в 2026 году при определении максимального значения цены контракта использована минимальная величина цены из полученных коммерческих предложений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</si>
</sst>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name val="Arial"/>
      <family val="2"/>
    </font>
    <font>
      <b/>
      <sz val="10"/>
      <color indexed="56"/>
      <name val="Arial"/>
      <family val="2"/>
      <charset val="204"/>
    </font>
    <font>
      <b/>
      <sz val="10"/>
      <name val="Arial"/>
      <family val="2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0"/>
      <color theme="3"/>
      <name val="Arial"/>
      <family val="2"/>
      <charset val="204"/>
    </font>
    <font>
      <sz val="13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0" fillId="0" borderId="0" xfId="0" applyNumberFormat="1"/>
    <xf numFmtId="0" fontId="1" fillId="0" borderId="0" xfId="0" quotePrefix="1" applyFont="1"/>
    <xf numFmtId="4" fontId="5" fillId="0" borderId="0" xfId="0" applyNumberFormat="1" applyFont="1" applyAlignment="1">
      <alignment vertical="center"/>
    </xf>
    <xf numFmtId="0" fontId="1" fillId="0" borderId="0" xfId="0" quotePrefix="1" applyFont="1" applyAlignment="1">
      <alignment wrapText="1"/>
    </xf>
    <xf numFmtId="0" fontId="6" fillId="0" borderId="0" xfId="0" applyFont="1" applyFill="1" applyBorder="1" applyAlignment="1"/>
    <xf numFmtId="0" fontId="7" fillId="0" borderId="0" xfId="0" applyFont="1" applyFill="1" applyBorder="1"/>
    <xf numFmtId="0" fontId="7" fillId="0" borderId="0" xfId="0" applyFont="1" applyFill="1"/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9" fillId="0" borderId="0" xfId="0" applyFont="1" applyFill="1"/>
    <xf numFmtId="0" fontId="9" fillId="0" borderId="5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2" fillId="0" borderId="0" xfId="0" applyFont="1"/>
    <xf numFmtId="4" fontId="15" fillId="0" borderId="0" xfId="0" applyNumberFormat="1" applyFont="1" applyFill="1" applyAlignment="1"/>
    <xf numFmtId="0" fontId="14" fillId="0" borderId="0" xfId="0" applyFont="1" applyAlignment="1">
      <alignment horizontal="center" vertical="center" wrapText="1"/>
    </xf>
    <xf numFmtId="0" fontId="9" fillId="2" borderId="0" xfId="0" applyFont="1" applyFill="1" applyAlignment="1"/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/>
    </xf>
    <xf numFmtId="4" fontId="17" fillId="0" borderId="5" xfId="0" applyNumberFormat="1" applyFont="1" applyFill="1" applyBorder="1" applyAlignment="1">
      <alignment horizontal="center" vertical="center"/>
    </xf>
    <xf numFmtId="4" fontId="13" fillId="0" borderId="5" xfId="1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top" wrapText="1"/>
    </xf>
    <xf numFmtId="0" fontId="20" fillId="0" borderId="0" xfId="0" applyFont="1" applyFill="1" applyAlignment="1">
      <alignment horizontal="left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4" fontId="13" fillId="0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1" fillId="0" borderId="0" xfId="0" applyFont="1" applyAlignment="1"/>
    <xf numFmtId="0" fontId="13" fillId="0" borderId="6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2" fontId="13" fillId="0" borderId="5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 vertical="center" textRotation="90" wrapText="1"/>
    </xf>
    <xf numFmtId="0" fontId="17" fillId="0" borderId="5" xfId="0" applyFont="1" applyFill="1" applyBorder="1" applyAlignment="1">
      <alignment horizontal="center" vertical="center" wrapText="1"/>
    </xf>
    <xf numFmtId="2" fontId="13" fillId="0" borderId="12" xfId="0" applyNumberFormat="1" applyFont="1" applyFill="1" applyBorder="1" applyAlignment="1">
      <alignment horizontal="center" vertical="center" wrapText="1"/>
    </xf>
    <xf numFmtId="2" fontId="13" fillId="0" borderId="14" xfId="0" applyNumberFormat="1" applyFont="1" applyFill="1" applyBorder="1" applyAlignment="1">
      <alignment horizontal="center" vertical="center" wrapText="1"/>
    </xf>
    <xf numFmtId="2" fontId="13" fillId="0" borderId="13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7</xdr:row>
      <xdr:rowOff>1200150</xdr:rowOff>
    </xdr:from>
    <xdr:to>
      <xdr:col>13</xdr:col>
      <xdr:colOff>1247775</xdr:colOff>
      <xdr:row>7</xdr:row>
      <xdr:rowOff>1552575</xdr:rowOff>
    </xdr:to>
    <xdr:pic>
      <xdr:nvPicPr>
        <xdr:cNvPr id="11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87325" y="3876675"/>
          <a:ext cx="111442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38100</xdr:colOff>
      <xdr:row>7</xdr:row>
      <xdr:rowOff>895350</xdr:rowOff>
    </xdr:from>
    <xdr:to>
      <xdr:col>12</xdr:col>
      <xdr:colOff>1038225</xdr:colOff>
      <xdr:row>7</xdr:row>
      <xdr:rowOff>1333500</xdr:rowOff>
    </xdr:to>
    <xdr:pic>
      <xdr:nvPicPr>
        <xdr:cNvPr id="11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25275" y="35718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4:B22" totalsRowShown="0" headerRowDxfId="2">
  <tableColumns count="2">
    <tableColumn id="1" name="Примеры" dataDxfId="1"/>
    <tableColumn id="2" name="Результат преобразования" dataDxfId="0">
      <calculatedColumnFormula>SUBSTITUTE(TEXT(TRUNC(A5,0),"# ##0_ ") &amp; "(" &amp; SUBSTITUTE(PROPER(INDEX(n_4,MID(TEXT(A5,n0),1,1)+1)&amp;INDEX(n0x,MID(TEXT(A5,n0),2,1)+1,MID(TEXT(A5,n0),3,1)+1)&amp;IF(-MID(TEXT(A5,n0),1,3),"миллиард"&amp;VLOOKUP(MID(TEXT(A5,n0),3,1)*AND(MID(TEXT(A5,n0),2,1)-1),мил,2),"")&amp;INDEX(n_4,MID(TEXT(A5,n0),4,1)+1)&amp;INDEX(n0x,MID(TEXT(A5,n0),5,1)+1,MID(TEXT(A5,n0),6,1)+1)&amp;IF(-MID(TEXT(A5,n0),4,3),"миллион"&amp;VLOOKUP(MID(TEXT(A5,n0),6,1)*AND(MID(TEXT(A5,n0),5,1)-1),мил,2),"")&amp;INDEX(n_4,MID(TEXT(A5,n0),7,1)+1)&amp;INDEX(n1x,MID(TEXT(A5,n0),8,1)+1,MID(TEXT(A5,n0),9,1)+1)&amp;IF(-MID(TEXT(A5,n0),7,3),VLOOKUP(MID(TEXT(A5,n0),9,1)*AND(MID(TEXT(A5,n0),8,1)-1),тыс,2),"")&amp;INDEX(n_4,MID(TEXT(A5,n0),10,1)+1)&amp;INDEX(n0x,MID(TEXT(A5,n0),11,1)+1,MID(TEXT(A5,n0),12,1)+1)),"z"," ")&amp;IF(TRUNC(TEXT(A5,n0)),"","Ноль ")&amp;") рубл"&amp;VLOOKUP(MOD(MAX(MOD(MID(TEXT(A5,n0),11,2)-11,100),9),10),{0,"ь ";1,"я ";4,"ей "},2)&amp;RIGHT(TEXT(A5,n0),2)&amp;" копе"&amp;VLOOKUP(MOD(MAX(MOD(RIGHT(TEXT(A5,n0),2)-11,100),9),10),{0,"йка";1,"йки";4,"ек"},2)," )",")")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J21"/>
  <sheetViews>
    <sheetView tabSelected="1" showWhiteSpace="0" view="pageBreakPreview" zoomScale="90" zoomScaleNormal="90" zoomScaleSheetLayoutView="90" zoomScalePageLayoutView="77" workbookViewId="0">
      <selection activeCell="L10" sqref="L10:N10"/>
    </sheetView>
  </sheetViews>
  <sheetFormatPr defaultRowHeight="16.5" x14ac:dyDescent="0.25"/>
  <cols>
    <col min="1" max="1" width="3.140625" style="14" customWidth="1"/>
    <col min="2" max="2" width="44.28515625" style="14" customWidth="1"/>
    <col min="3" max="3" width="5.7109375" style="14" hidden="1" customWidth="1"/>
    <col min="4" max="4" width="5" style="14" hidden="1" customWidth="1"/>
    <col min="5" max="5" width="5.85546875" style="14" hidden="1" customWidth="1"/>
    <col min="6" max="6" width="7.85546875" style="14" hidden="1" customWidth="1"/>
    <col min="7" max="7" width="8.5703125" style="14" customWidth="1"/>
    <col min="8" max="8" width="7.7109375" style="14" customWidth="1"/>
    <col min="9" max="9" width="28.7109375" style="14" customWidth="1"/>
    <col min="10" max="10" width="21" style="14" customWidth="1"/>
    <col min="11" max="11" width="16.85546875" style="14" customWidth="1"/>
    <col min="12" max="12" width="18.140625" style="14" customWidth="1"/>
    <col min="13" max="13" width="16" style="14" customWidth="1"/>
    <col min="14" max="14" width="18.7109375" style="14" customWidth="1"/>
    <col min="15" max="15" width="14.28515625" style="14" customWidth="1"/>
    <col min="16" max="16" width="27" style="14" customWidth="1"/>
    <col min="17" max="17" width="11.28515625" style="13" customWidth="1"/>
    <col min="18" max="18" width="15.5703125" style="13" customWidth="1"/>
    <col min="19" max="19" width="6.5703125" style="13" customWidth="1"/>
    <col min="20" max="20" width="4.28515625" style="13" customWidth="1"/>
    <col min="21" max="21" width="8.7109375" style="13" customWidth="1"/>
    <col min="22" max="114" width="9.140625" style="13"/>
    <col min="115" max="16384" width="9.140625" style="14"/>
  </cols>
  <sheetData>
    <row r="1" spans="1:114" s="11" customFormat="1" ht="12" customHeight="1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9"/>
      <c r="R1" s="9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</row>
    <row r="2" spans="1:114" s="11" customFormat="1" ht="24" customHeight="1" x14ac:dyDescent="0.25">
      <c r="A2" s="74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9"/>
      <c r="R2" s="9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</row>
    <row r="3" spans="1:114" s="11" customFormat="1" ht="12.75" customHeight="1" x14ac:dyDescent="0.25">
      <c r="A3" s="67" t="s">
        <v>18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12"/>
      <c r="R3" s="12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</row>
    <row r="4" spans="1:114" s="11" customFormat="1" ht="15.75" customHeight="1" x14ac:dyDescent="0.2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12"/>
      <c r="R4" s="12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</row>
    <row r="5" spans="1:114" ht="64.5" customHeight="1" x14ac:dyDescent="0.25">
      <c r="A5" s="61" t="s">
        <v>0</v>
      </c>
      <c r="B5" s="61" t="s">
        <v>5</v>
      </c>
      <c r="C5" s="53"/>
      <c r="D5" s="54"/>
      <c r="E5" s="53"/>
      <c r="F5" s="54"/>
      <c r="G5" s="65" t="s">
        <v>3</v>
      </c>
      <c r="H5" s="65" t="s">
        <v>4</v>
      </c>
      <c r="I5" s="53" t="s">
        <v>9</v>
      </c>
      <c r="J5" s="63"/>
      <c r="K5" s="54"/>
      <c r="L5" s="68" t="s">
        <v>2</v>
      </c>
      <c r="M5" s="69"/>
      <c r="N5" s="70"/>
      <c r="O5" s="52" t="s">
        <v>10</v>
      </c>
      <c r="P5" s="52"/>
    </row>
    <row r="6" spans="1:114" ht="11.25" hidden="1" customHeight="1" x14ac:dyDescent="0.25">
      <c r="A6" s="62"/>
      <c r="B6" s="62"/>
      <c r="C6" s="55"/>
      <c r="D6" s="56"/>
      <c r="E6" s="55"/>
      <c r="F6" s="56"/>
      <c r="G6" s="66"/>
      <c r="H6" s="66"/>
      <c r="I6" s="55"/>
      <c r="J6" s="64"/>
      <c r="K6" s="56"/>
      <c r="L6" s="71"/>
      <c r="M6" s="72"/>
      <c r="N6" s="73"/>
      <c r="O6" s="52"/>
      <c r="P6" s="52"/>
    </row>
    <row r="7" spans="1:114" ht="44.25" customHeight="1" x14ac:dyDescent="0.25">
      <c r="A7" s="62"/>
      <c r="B7" s="62"/>
      <c r="C7" s="25"/>
      <c r="D7" s="26"/>
      <c r="E7" s="25"/>
      <c r="F7" s="26"/>
      <c r="G7" s="66"/>
      <c r="H7" s="66"/>
      <c r="I7" s="57" t="s">
        <v>6</v>
      </c>
      <c r="J7" s="58"/>
      <c r="K7" s="58"/>
      <c r="L7" s="58"/>
      <c r="M7" s="58"/>
      <c r="N7" s="58"/>
      <c r="O7" s="58"/>
      <c r="P7" s="59"/>
    </row>
    <row r="8" spans="1:114" ht="120" customHeight="1" x14ac:dyDescent="0.25">
      <c r="A8" s="62"/>
      <c r="B8" s="62"/>
      <c r="C8" s="27"/>
      <c r="D8" s="27"/>
      <c r="E8" s="27"/>
      <c r="F8" s="27"/>
      <c r="G8" s="66"/>
      <c r="H8" s="66"/>
      <c r="I8" s="23" t="s">
        <v>25</v>
      </c>
      <c r="J8" s="23" t="s">
        <v>26</v>
      </c>
      <c r="K8" s="28" t="s">
        <v>27</v>
      </c>
      <c r="L8" s="29" t="s">
        <v>20</v>
      </c>
      <c r="M8" s="30" t="s">
        <v>1</v>
      </c>
      <c r="N8" s="39" t="s">
        <v>21</v>
      </c>
      <c r="O8" s="30" t="s">
        <v>7</v>
      </c>
      <c r="P8" s="29" t="s">
        <v>8</v>
      </c>
    </row>
    <row r="9" spans="1:114" s="15" customFormat="1" ht="35.25" customHeight="1" x14ac:dyDescent="0.25">
      <c r="A9" s="29">
        <v>1</v>
      </c>
      <c r="B9" s="31" t="s">
        <v>24</v>
      </c>
      <c r="C9" s="32"/>
      <c r="D9" s="32"/>
      <c r="E9" s="32"/>
      <c r="F9" s="32"/>
      <c r="G9" s="32" t="s">
        <v>23</v>
      </c>
      <c r="H9" s="32">
        <v>2</v>
      </c>
      <c r="I9" s="33">
        <v>68462.95</v>
      </c>
      <c r="J9" s="33">
        <v>59533</v>
      </c>
      <c r="K9" s="33"/>
      <c r="L9" s="34">
        <f>AVERAGE(I9:K9)</f>
        <v>63997.974999999999</v>
      </c>
      <c r="M9" s="35">
        <f>SQRT(((SUM((POWER(I9-L9,2)),(POWER(J9-L9,2)),)))/(COLUMNS(I9:J9)-1))</f>
        <v>6314.4282006568083</v>
      </c>
      <c r="N9" s="36">
        <f>M9/L9*100</f>
        <v>9.8666062491146143</v>
      </c>
      <c r="O9" s="33">
        <v>59533</v>
      </c>
      <c r="P9" s="37">
        <f>H9*O9</f>
        <v>119066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</row>
    <row r="10" spans="1:114" ht="37.5" customHeight="1" x14ac:dyDescent="0.25">
      <c r="A10" s="48" t="s">
        <v>11</v>
      </c>
      <c r="B10" s="49"/>
      <c r="C10" s="49"/>
      <c r="D10" s="49"/>
      <c r="E10" s="49"/>
      <c r="F10" s="49"/>
      <c r="G10" s="49"/>
      <c r="H10" s="50"/>
      <c r="I10" s="35">
        <f>H9*I9</f>
        <v>136925.9</v>
      </c>
      <c r="J10" s="35">
        <f>H9*J9</f>
        <v>119066</v>
      </c>
      <c r="K10" s="33"/>
      <c r="L10" s="41"/>
      <c r="M10" s="42"/>
      <c r="N10" s="43"/>
      <c r="O10" s="35"/>
      <c r="P10" s="38">
        <f>SUM(P9:P9)</f>
        <v>119066</v>
      </c>
    </row>
    <row r="11" spans="1:114" ht="2.25" hidden="1" customHeight="1" x14ac:dyDescent="0.25">
      <c r="A11" s="18"/>
      <c r="B11" s="24"/>
      <c r="C11" s="18"/>
      <c r="D11" s="18"/>
      <c r="E11" s="18"/>
      <c r="F11" s="18"/>
      <c r="G11" s="18"/>
      <c r="H11" s="18"/>
      <c r="I11" s="22"/>
      <c r="J11" s="22"/>
      <c r="K11" s="22"/>
      <c r="L11" s="18"/>
      <c r="M11" s="18"/>
      <c r="N11" s="18"/>
      <c r="O11" s="18"/>
      <c r="P11" s="18"/>
    </row>
    <row r="12" spans="1:114" ht="4.5" hidden="1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14" ht="43.5" customHeight="1" x14ac:dyDescent="0.25">
      <c r="A13" s="40" t="s">
        <v>28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14" ht="25.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14" ht="26.25" hidden="1" customHeight="1" x14ac:dyDescent="0.25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spans="1:114" ht="24" hidden="1" customHeight="1" x14ac:dyDescent="0.2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8" t="s">
        <v>12</v>
      </c>
      <c r="B17" s="18"/>
      <c r="C17" s="18"/>
      <c r="D17" s="18"/>
      <c r="E17" s="18"/>
      <c r="F17" s="18"/>
      <c r="G17" s="18"/>
      <c r="H17" s="51" t="str">
        <f>Лист1!B5</f>
        <v>119 066 (Сто девятнадцать тысяч шестьдесят шесть) рублей 00 копеек</v>
      </c>
      <c r="I17" s="51"/>
      <c r="J17" s="51"/>
      <c r="K17" s="51"/>
      <c r="L17" s="51"/>
      <c r="M17" s="51"/>
      <c r="N17" s="51"/>
      <c r="O17" s="51"/>
      <c r="P17" s="18"/>
    </row>
    <row r="18" spans="1:16" ht="20.25" customHeight="1" x14ac:dyDescent="0.25">
      <c r="A18" s="18"/>
      <c r="B18" s="18"/>
      <c r="C18" s="18"/>
      <c r="D18" s="18"/>
      <c r="E18" s="18"/>
      <c r="F18" s="18"/>
      <c r="G18" s="18"/>
      <c r="H18" s="16"/>
      <c r="I18" s="16"/>
      <c r="J18" s="16"/>
      <c r="K18" s="16"/>
      <c r="L18" s="16"/>
      <c r="M18" s="16"/>
      <c r="N18" s="16"/>
      <c r="O18" s="16"/>
      <c r="P18" s="16"/>
    </row>
    <row r="19" spans="1:16" s="21" customFormat="1" ht="21" hidden="1" customHeight="1" x14ac:dyDescent="0.25">
      <c r="A19" s="18"/>
      <c r="B19" s="18"/>
      <c r="C19" s="18"/>
      <c r="D19" s="18"/>
      <c r="E19" s="18"/>
      <c r="F19" s="18"/>
      <c r="G19" s="18"/>
      <c r="H19" s="16"/>
      <c r="I19" s="16"/>
      <c r="J19" s="16"/>
      <c r="K19" s="16"/>
      <c r="L19" s="16"/>
      <c r="M19" s="16"/>
      <c r="N19" s="16"/>
      <c r="O19" s="16"/>
      <c r="P19" s="16"/>
    </row>
    <row r="20" spans="1:16" x14ac:dyDescent="0.25">
      <c r="A20" s="21"/>
      <c r="B20" s="46" t="s">
        <v>19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21"/>
      <c r="P20" s="21"/>
    </row>
    <row r="21" spans="1:16" hidden="1" x14ac:dyDescent="0.25"/>
  </sheetData>
  <mergeCells count="19">
    <mergeCell ref="O5:P6"/>
    <mergeCell ref="E5:F6"/>
    <mergeCell ref="I7:P7"/>
    <mergeCell ref="A1:P1"/>
    <mergeCell ref="A5:A8"/>
    <mergeCell ref="C5:D6"/>
    <mergeCell ref="I5:K6"/>
    <mergeCell ref="H5:H8"/>
    <mergeCell ref="A3:P4"/>
    <mergeCell ref="G5:G8"/>
    <mergeCell ref="B5:B8"/>
    <mergeCell ref="L5:N6"/>
    <mergeCell ref="A2:P2"/>
    <mergeCell ref="A13:P13"/>
    <mergeCell ref="L10:N10"/>
    <mergeCell ref="A15:P15"/>
    <mergeCell ref="B20:N20"/>
    <mergeCell ref="A10:H10"/>
    <mergeCell ref="H17:O17"/>
  </mergeCells>
  <pageMargins left="0.39370078740157483" right="0.19685039370078741" top="0.19685039370078741" bottom="0.39370078740157483" header="0" footer="0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6" sqref="A6"/>
    </sheetView>
  </sheetViews>
  <sheetFormatPr defaultRowHeight="15" x14ac:dyDescent="0.25"/>
  <cols>
    <col min="1" max="1" width="44.85546875" bestFit="1" customWidth="1"/>
    <col min="2" max="2" width="138.140625" bestFit="1" customWidth="1"/>
  </cols>
  <sheetData>
    <row r="1" spans="1:2" ht="18" x14ac:dyDescent="0.25">
      <c r="A1" s="1" t="s">
        <v>13</v>
      </c>
      <c r="B1" s="1"/>
    </row>
    <row r="2" spans="1:2" x14ac:dyDescent="0.25">
      <c r="A2" s="2" t="s">
        <v>14</v>
      </c>
    </row>
    <row r="3" spans="1:2" x14ac:dyDescent="0.25">
      <c r="B3" s="2"/>
    </row>
    <row r="4" spans="1:2" x14ac:dyDescent="0.25">
      <c r="A4" s="3" t="s">
        <v>15</v>
      </c>
      <c r="B4" s="4" t="s">
        <v>16</v>
      </c>
    </row>
    <row r="5" spans="1:2" x14ac:dyDescent="0.25">
      <c r="A5" s="5">
        <f>'ОНМЦК '!P10</f>
        <v>119066</v>
      </c>
      <c r="B5" s="6" t="str">
        <f>SUBSTITUTE(TEXT(TRUNC(A5,0),"# ##0_ ") &amp; "(" &amp; SUBSTITUTE(PROPER(INDEX(n_4,MID(TEXT(A5,n0),1,1)+1)&amp;INDEX(n0x,MID(TEXT(A5,n0),2,1)+1,MID(TEXT(A5,n0),3,1)+1)&amp;IF(-MID(TEXT(A5,n0),1,3),"миллиард"&amp;VLOOKUP(MID(TEXT(A5,n0),3,1)*AND(MID(TEXT(A5,n0),2,1)-1),мил,2),"")&amp;INDEX(n_4,MID(TEXT(A5,n0),4,1)+1)&amp;INDEX(n0x,MID(TEXT(A5,n0),5,1)+1,MID(TEXT(A5,n0),6,1)+1)&amp;IF(-MID(TEXT(A5,n0),4,3),"миллион"&amp;VLOOKUP(MID(TEXT(A5,n0),6,1)*AND(MID(TEXT(A5,n0),5,1)-1),мил,2),"")&amp;INDEX(n_4,MID(TEXT(A5,n0),7,1)+1)&amp;INDEX(n1x,MID(TEXT(A5,n0),8,1)+1,MID(TEXT(A5,n0),9,1)+1)&amp;IF(-MID(TEXT(A5,n0),7,3),VLOOKUP(MID(TEXT(A5,n0),9,1)*AND(MID(TEXT(A5,n0),8,1)-1),тыс,2),"")&amp;INDEX(n_4,MID(TEXT(A5,n0),10,1)+1)&amp;INDEX(n0x,MID(TEXT(A5,n0),11,1)+1,MID(TEXT(A5,n0),12,1)+1)),"z"," ")&amp;IF(TRUNC(TEXT(A5,n0)),"","Ноль ")&amp;") рубл"&amp;VLOOKUP(MOD(MAX(MOD(MID(TEXT(A5,n0),11,2)-11,100),9),10),{0,"ь ";1,"я ";4,"ей "},2)&amp;RIGHT(TEXT(A5,n0),2)&amp;" копе"&amp;VLOOKUP(MOD(MAX(MOD(RIGHT(TEXT(A5,n0),2)-11,100),9),10),{0,"йка";1,"йки";4,"ек"},2)," )",")")</f>
        <v>119 066 (Сто девятнадцать тысяч шестьдесят шесть) рублей 00 копеек</v>
      </c>
    </row>
    <row r="6" spans="1:2" x14ac:dyDescent="0.25">
      <c r="A6" s="5">
        <v>1</v>
      </c>
      <c r="B6" s="6" t="str">
        <f>SUBSTITUTE(TEXT(TRUNC(A6,0),"# ##0_ ") &amp; "(" &amp; SUBSTITUTE(PROPER(INDEX(n_4,MID(TEXT(A6,n0),1,1)+1)&amp;INDEX(n0x,MID(TEXT(A6,n0),2,1)+1,MID(TEXT(A6,n0),3,1)+1)&amp;IF(-MID(TEXT(A6,n0),1,3),"миллиард"&amp;VLOOKUP(MID(TEXT(A6,n0),3,1)*AND(MID(TEXT(A6,n0),2,1)-1),мил,2),"")&amp;INDEX(n_4,MID(TEXT(A6,n0),4,1)+1)&amp;INDEX(n0x,MID(TEXT(A6,n0),5,1)+1,MID(TEXT(A6,n0),6,1)+1)&amp;IF(-MID(TEXT(A6,n0),4,3),"миллион"&amp;VLOOKUP(MID(TEXT(A6,n0),6,1)*AND(MID(TEXT(A6,n0),5,1)-1),мил,2),"")&amp;INDEX(n_4,MID(TEXT(A6,n0),7,1)+1)&amp;INDEX(n1x,MID(TEXT(A6,n0),8,1)+1,MID(TEXT(A6,n0),9,1)+1)&amp;IF(-MID(TEXT(A6,n0),7,3),VLOOKUP(MID(TEXT(A6,n0),9,1)*AND(MID(TEXT(A6,n0),8,1)-1),тыс,2),"")&amp;INDEX(n_4,MID(TEXT(A6,n0),10,1)+1)&amp;INDEX(n0x,MID(TEXT(A6,n0),11,1)+1,MID(TEXT(A6,n0),12,1)+1)),"z"," ")&amp;IF(TRUNC(TEXT(A6,n0)),"","Ноль ")&amp;") рубл"&amp;VLOOKUP(MOD(MAX(MOD(MID(TEXT(A6,n0),11,2)-11,100),9),10),{0,"ь ";1,"я ";4,"ей "},2)&amp;RIGHT(TEXT(A6,n0),2)&amp;" копе"&amp;VLOOKUP(MOD(MAX(MOD(RIGHT(TEXT(A6,n0),2)-11,100),9),10),{0,"йка";1,"йки";4,"ек"},2)," )",")")</f>
        <v>1 (Один) рубль 00 копеек</v>
      </c>
    </row>
    <row r="7" spans="1:2" x14ac:dyDescent="0.25">
      <c r="A7" s="5">
        <v>2.61</v>
      </c>
      <c r="B7" s="6" t="str">
        <f>SUBSTITUTE(TEXT(TRUNC(A7,0),"# ##0_ ") &amp; "(" &amp; SUBSTITUTE(PROPER(INDEX(n_4,MID(TEXT(A7,n0),1,1)+1)&amp;INDEX(n0x,MID(TEXT(A7,n0),2,1)+1,MID(TEXT(A7,n0),3,1)+1)&amp;IF(-MID(TEXT(A7,n0),1,3),"миллиард"&amp;VLOOKUP(MID(TEXT(A7,n0),3,1)*AND(MID(TEXT(A7,n0),2,1)-1),мил,2),"")&amp;INDEX(n_4,MID(TEXT(A7,n0),4,1)+1)&amp;INDEX(n0x,MID(TEXT(A7,n0),5,1)+1,MID(TEXT(A7,n0),6,1)+1)&amp;IF(-MID(TEXT(A7,n0),4,3),"миллион"&amp;VLOOKUP(MID(TEXT(A7,n0),6,1)*AND(MID(TEXT(A7,n0),5,1)-1),мил,2),"")&amp;INDEX(n_4,MID(TEXT(A7,n0),7,1)+1)&amp;INDEX(n1x,MID(TEXT(A7,n0),8,1)+1,MID(TEXT(A7,n0),9,1)+1)&amp;IF(-MID(TEXT(A7,n0),7,3),VLOOKUP(MID(TEXT(A7,n0),9,1)*AND(MID(TEXT(A7,n0),8,1)-1),тыс,2),"")&amp;INDEX(n_4,MID(TEXT(A7,n0),10,1)+1)&amp;INDEX(n0x,MID(TEXT(A7,n0),11,1)+1,MID(TEXT(A7,n0),12,1)+1)),"z"," ")&amp;IF(TRUNC(TEXT(A7,n0)),"","Ноль ")&amp;") рубл"&amp;VLOOKUP(MOD(MAX(MOD(MID(TEXT(A7,n0),11,2)-11,100),9),10),{0,"ь ";1,"я ";4,"ей "},2)&amp;RIGHT(TEXT(A7,n0),2)&amp;" копе"&amp;VLOOKUP(MOD(MAX(MOD(RIGHT(TEXT(A7,n0),2)-11,100),9),10),{0,"йка";1,"йки";4,"ек"},2)," )",")")</f>
        <v>2 (Два) рубля 61 копейка</v>
      </c>
    </row>
    <row r="8" spans="1:2" x14ac:dyDescent="0.25">
      <c r="A8" s="5">
        <v>17.22</v>
      </c>
      <c r="B8" s="6" t="str">
        <f>SUBSTITUTE(TEXT(TRUNC(A8,0),"# ##0_ ") &amp; "(" &amp; SUBSTITUTE(PROPER(INDEX(n_4,MID(TEXT(A8,n0),1,1)+1)&amp;INDEX(n0x,MID(TEXT(A8,n0),2,1)+1,MID(TEXT(A8,n0),3,1)+1)&amp;IF(-MID(TEXT(A8,n0),1,3),"миллиард"&amp;VLOOKUP(MID(TEXT(A8,n0),3,1)*AND(MID(TEXT(A8,n0),2,1)-1),мил,2),"")&amp;INDEX(n_4,MID(TEXT(A8,n0),4,1)+1)&amp;INDEX(n0x,MID(TEXT(A8,n0),5,1)+1,MID(TEXT(A8,n0),6,1)+1)&amp;IF(-MID(TEXT(A8,n0),4,3),"миллион"&amp;VLOOKUP(MID(TEXT(A8,n0),6,1)*AND(MID(TEXT(A8,n0),5,1)-1),мил,2),"")&amp;INDEX(n_4,MID(TEXT(A8,n0),7,1)+1)&amp;INDEX(n1x,MID(TEXT(A8,n0),8,1)+1,MID(TEXT(A8,n0),9,1)+1)&amp;IF(-MID(TEXT(A8,n0),7,3),VLOOKUP(MID(TEXT(A8,n0),9,1)*AND(MID(TEXT(A8,n0),8,1)-1),тыс,2),"")&amp;INDEX(n_4,MID(TEXT(A8,n0),10,1)+1)&amp;INDEX(n0x,MID(TEXT(A8,n0),11,1)+1,MID(TEXT(A8,n0),12,1)+1)),"z"," ")&amp;IF(TRUNC(TEXT(A8,n0)),"","Ноль ")&amp;") рубл"&amp;VLOOKUP(MOD(MAX(MOD(MID(TEXT(A8,n0),11,2)-11,100),9),10),{0,"ь ";1,"я ";4,"ей "},2)&amp;RIGHT(TEXT(A8,n0),2)&amp;" копе"&amp;VLOOKUP(MOD(MAX(MOD(RIGHT(TEXT(A8,n0),2)-11,100),9),10),{0,"йка";1,"йки";4,"ек"},2)," )",")")</f>
        <v>17 (Семнадцать) рублей 22 копейки</v>
      </c>
    </row>
    <row r="9" spans="1:2" x14ac:dyDescent="0.25">
      <c r="A9" s="5">
        <v>21</v>
      </c>
      <c r="B9" s="6" t="str">
        <f>SUBSTITUTE(TEXT(TRUNC(A9,0),"# ##0_ ") &amp; "(" &amp; SUBSTITUTE(PROPER(INDEX(n_4,MID(TEXT(A9,n0),1,1)+1)&amp;INDEX(n0x,MID(TEXT(A9,n0),2,1)+1,MID(TEXT(A9,n0),3,1)+1)&amp;IF(-MID(TEXT(A9,n0),1,3),"миллиард"&amp;VLOOKUP(MID(TEXT(A9,n0),3,1)*AND(MID(TEXT(A9,n0),2,1)-1),мил,2),"")&amp;INDEX(n_4,MID(TEXT(A9,n0),4,1)+1)&amp;INDEX(n0x,MID(TEXT(A9,n0),5,1)+1,MID(TEXT(A9,n0),6,1)+1)&amp;IF(-MID(TEXT(A9,n0),4,3),"миллион"&amp;VLOOKUP(MID(TEXT(A9,n0),6,1)*AND(MID(TEXT(A9,n0),5,1)-1),мил,2),"")&amp;INDEX(n_4,MID(TEXT(A9,n0),7,1)+1)&amp;INDEX(n1x,MID(TEXT(A9,n0),8,1)+1,MID(TEXT(A9,n0),9,1)+1)&amp;IF(-MID(TEXT(A9,n0),7,3),VLOOKUP(MID(TEXT(A9,n0),9,1)*AND(MID(TEXT(A9,n0),8,1)-1),тыс,2),"")&amp;INDEX(n_4,MID(TEXT(A9,n0),10,1)+1)&amp;INDEX(n0x,MID(TEXT(A9,n0),11,1)+1,MID(TEXT(A9,n0),12,1)+1)),"z"," ")&amp;IF(TRUNC(TEXT(A9,n0)),"","Ноль ")&amp;") рубл"&amp;VLOOKUP(MOD(MAX(MOD(MID(TEXT(A9,n0),11,2)-11,100),9),10),{0,"ь ";1,"я ";4,"ей "},2)&amp;RIGHT(TEXT(A9,n0),2)&amp;" копе"&amp;VLOOKUP(MOD(MAX(MOD(RIGHT(TEXT(A9,n0),2)-11,100),9),10),{0,"йка";1,"йки";4,"ек"},2)," )",")")</f>
        <v>21 (Двадцать один) рубль 00 копеек</v>
      </c>
    </row>
    <row r="10" spans="1:2" x14ac:dyDescent="0.25">
      <c r="A10" s="5">
        <v>183.7</v>
      </c>
      <c r="B10" s="6" t="str">
        <f>SUBSTITUTE(TEXT(TRUNC(A10,0),"# ##0_ ") &amp; "(" &amp; SUBSTITUTE(PROPER(INDEX(n_4,MID(TEXT(A10,n0),1,1)+1)&amp;INDEX(n0x,MID(TEXT(A10,n0),2,1)+1,MID(TEXT(A10,n0),3,1)+1)&amp;IF(-MID(TEXT(A10,n0),1,3),"миллиард"&amp;VLOOKUP(MID(TEXT(A10,n0),3,1)*AND(MID(TEXT(A10,n0),2,1)-1),мил,2),"")&amp;INDEX(n_4,MID(TEXT(A10,n0),4,1)+1)&amp;INDEX(n0x,MID(TEXT(A10,n0),5,1)+1,MID(TEXT(A10,n0),6,1)+1)&amp;IF(-MID(TEXT(A10,n0),4,3),"миллион"&amp;VLOOKUP(MID(TEXT(A10,n0),6,1)*AND(MID(TEXT(A10,n0),5,1)-1),мил,2),"")&amp;INDEX(n_4,MID(TEXT(A10,n0),7,1)+1)&amp;INDEX(n1x,MID(TEXT(A10,n0),8,1)+1,MID(TEXT(A10,n0),9,1)+1)&amp;IF(-MID(TEXT(A10,n0),7,3),VLOOKUP(MID(TEXT(A10,n0),9,1)*AND(MID(TEXT(A10,n0),8,1)-1),тыс,2),"")&amp;INDEX(n_4,MID(TEXT(A10,n0),10,1)+1)&amp;INDEX(n0x,MID(TEXT(A10,n0),11,1)+1,MID(TEXT(A10,n0),12,1)+1)),"z"," ")&amp;IF(TRUNC(TEXT(A10,n0)),"","Ноль ")&amp;") рубл"&amp;VLOOKUP(MOD(MAX(MOD(MID(TEXT(A10,n0),11,2)-11,100),9),10),{0,"ь ";1,"я ";4,"ей "},2)&amp;RIGHT(TEXT(A10,n0),2)&amp;" копе"&amp;VLOOKUP(MOD(MAX(MOD(RIGHT(TEXT(A10,n0),2)-11,100),9),10),{0,"йка";1,"йки";4,"ек"},2)," )",")")</f>
        <v>183 (Сто восемьдесят три) рубля 70 копеек</v>
      </c>
    </row>
    <row r="11" spans="1:2" x14ac:dyDescent="0.25">
      <c r="A11" s="5">
        <v>1056.1300000000001</v>
      </c>
      <c r="B11" s="6" t="str">
        <f>SUBSTITUTE(TEXT(TRUNC(A11,0),"# ##0_ ") &amp; "(" &amp; SUBSTITUTE(PROPER(INDEX(n_4,MID(TEXT(A11,n0),1,1)+1)&amp;INDEX(n0x,MID(TEXT(A11,n0),2,1)+1,MID(TEXT(A11,n0),3,1)+1)&amp;IF(-MID(TEXT(A11,n0),1,3),"миллиард"&amp;VLOOKUP(MID(TEXT(A11,n0),3,1)*AND(MID(TEXT(A11,n0),2,1)-1),мил,2),"")&amp;INDEX(n_4,MID(TEXT(A11,n0),4,1)+1)&amp;INDEX(n0x,MID(TEXT(A11,n0),5,1)+1,MID(TEXT(A11,n0),6,1)+1)&amp;IF(-MID(TEXT(A11,n0),4,3),"миллион"&amp;VLOOKUP(MID(TEXT(A11,n0),6,1)*AND(MID(TEXT(A11,n0),5,1)-1),мил,2),"")&amp;INDEX(n_4,MID(TEXT(A11,n0),7,1)+1)&amp;INDEX(n1x,MID(TEXT(A11,n0),8,1)+1,MID(TEXT(A11,n0),9,1)+1)&amp;IF(-MID(TEXT(A11,n0),7,3),VLOOKUP(MID(TEXT(A11,n0),9,1)*AND(MID(TEXT(A11,n0),8,1)-1),тыс,2),"")&amp;INDEX(n_4,MID(TEXT(A11,n0),10,1)+1)&amp;INDEX(n0x,MID(TEXT(A11,n0),11,1)+1,MID(TEXT(A11,n0),12,1)+1)),"z"," ")&amp;IF(TRUNC(TEXT(A11,n0)),"","Ноль ")&amp;") рубл"&amp;VLOOKUP(MOD(MAX(MOD(MID(TEXT(A11,n0),11,2)-11,100),9),10),{0,"ь ";1,"я ";4,"ей "},2)&amp;RIGHT(TEXT(A11,n0),2)&amp;" копе"&amp;VLOOKUP(MOD(MAX(MOD(RIGHT(TEXT(A11,n0),2)-11,100),9),10),{0,"йка";1,"йки";4,"ек"},2)," )",")")</f>
        <v>1 056 (Одна тысяча пятьдесят шесть) рублей 13 копеек</v>
      </c>
    </row>
    <row r="12" spans="1:2" x14ac:dyDescent="0.25">
      <c r="A12" s="5">
        <v>302284.98</v>
      </c>
      <c r="B12" s="6" t="str">
        <f>SUBSTITUTE(TEXT(TRUNC(A12,0),"# ##0_ ") &amp; "(" &amp; 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")&amp;") рубл"&amp;VLOOKUP(MOD(MAX(MOD(MID(TEXT(A12,n0),11,2)-11,100),9),10),{0,"ь ";1,"я ";4,"ей "},2)&amp;RIGHT(TEXT(A12,n0),2)&amp;" копе"&amp;VLOOKUP(MOD(MAX(MOD(RIGHT(TEXT(A12,n0),2)-11,100),9),10),{0,"йка";1,"йки";4,"ек"},2)," )",")")</f>
        <v>302 284 (Триста две тысячи двести восемьдесят четыре) рубля 98 копеек</v>
      </c>
    </row>
    <row r="13" spans="1:2" x14ac:dyDescent="0.25">
      <c r="A13" s="5">
        <v>4000005</v>
      </c>
      <c r="B13" s="6" t="str">
        <f>SUBSTITUTE(TEXT(TRUNC(A13,0),"# ##0_ ") &amp; "(" &amp; SUBSTITUTE(PROPER(INDEX(n_4,MID(TEXT(A13,n0),1,1)+1)&amp;INDEX(n0x,MID(TEXT(A13,n0),2,1)+1,MID(TEXT(A13,n0),3,1)+1)&amp;IF(-MID(TEXT(A13,n0),1,3),"миллиард"&amp;VLOOKUP(MID(TEXT(A13,n0),3,1)*AND(MID(TEXT(A13,n0),2,1)-1),мил,2),"")&amp;INDEX(n_4,MID(TEXT(A13,n0),4,1)+1)&amp;INDEX(n0x,MID(TEXT(A13,n0),5,1)+1,MID(TEXT(A13,n0),6,1)+1)&amp;IF(-MID(TEXT(A13,n0),4,3),"миллион"&amp;VLOOKUP(MID(TEXT(A13,n0),6,1)*AND(MID(TEXT(A13,n0),5,1)-1),мил,2),"")&amp;INDEX(n_4,MID(TEXT(A13,n0),7,1)+1)&amp;INDEX(n1x,MID(TEXT(A13,n0),8,1)+1,MID(TEXT(A13,n0),9,1)+1)&amp;IF(-MID(TEXT(A13,n0),7,3),VLOOKUP(MID(TEXT(A13,n0),9,1)*AND(MID(TEXT(A13,n0),8,1)-1),тыс,2),"")&amp;INDEX(n_4,MID(TEXT(A13,n0),10,1)+1)&amp;INDEX(n0x,MID(TEXT(A13,n0),11,1)+1,MID(TEXT(A13,n0),12,1)+1)),"z"," ")&amp;IF(TRUNC(TEXT(A13,n0)),"","Ноль ")&amp;") рубл"&amp;VLOOKUP(MOD(MAX(MOD(MID(TEXT(A13,n0),11,2)-11,100),9),10),{0,"ь ";1,"я ";4,"ей "},2)&amp;RIGHT(TEXT(A13,n0),2)&amp;" копе"&amp;VLOOKUP(MOD(MAX(MOD(RIGHT(TEXT(A13,n0),2)-11,100),9),10),{0,"йка";1,"йки";4,"ек"},2)," )",")")</f>
        <v>4 000 005 (Четыре миллиона пять) рублей 00 копеек</v>
      </c>
    </row>
    <row r="14" spans="1:2" x14ac:dyDescent="0.25">
      <c r="A14" s="5">
        <v>11111111.109999999</v>
      </c>
      <c r="B14" s="6" t="str">
        <f>SUBSTITUTE(TEXT(TRUNC(A14,0),"# ##0_ ") &amp; "(" &amp; SUBSTITUTE(PROPER(INDEX(n_4,MID(TEXT(A14,n0),1,1)+1)&amp;INDEX(n0x,MID(TEXT(A14,n0),2,1)+1,MID(TEXT(A14,n0),3,1)+1)&amp;IF(-MID(TEXT(A14,n0),1,3),"миллиард"&amp;VLOOKUP(MID(TEXT(A14,n0),3,1)*AND(MID(TEXT(A14,n0),2,1)-1),мил,2),"")&amp;INDEX(n_4,MID(TEXT(A14,n0),4,1)+1)&amp;INDEX(n0x,MID(TEXT(A14,n0),5,1)+1,MID(TEXT(A14,n0),6,1)+1)&amp;IF(-MID(TEXT(A14,n0),4,3),"миллион"&amp;VLOOKUP(MID(TEXT(A14,n0),6,1)*AND(MID(TEXT(A14,n0),5,1)-1),мил,2),"")&amp;INDEX(n_4,MID(TEXT(A14,n0),7,1)+1)&amp;INDEX(n1x,MID(TEXT(A14,n0),8,1)+1,MID(TEXT(A14,n0),9,1)+1)&amp;IF(-MID(TEXT(A14,n0),7,3),VLOOKUP(MID(TEXT(A14,n0),9,1)*AND(MID(TEXT(A14,n0),8,1)-1),тыс,2),"")&amp;INDEX(n_4,MID(TEXT(A14,n0),10,1)+1)&amp;INDEX(n0x,MID(TEXT(A14,n0),11,1)+1,MID(TEXT(A14,n0),12,1)+1)),"z"," ")&amp;IF(TRUNC(TEXT(A14,n0)),"","Ноль ")&amp;") рубл"&amp;VLOOKUP(MOD(MAX(MOD(MID(TEXT(A14,n0),11,2)-11,100),9),10),{0,"ь ";1,"я ";4,"ей "},2)&amp;RIGHT(TEXT(A14,n0),2)&amp;" копе"&amp;VLOOKUP(MOD(MAX(MOD(RIGHT(TEXT(A14,n0),2)-11,100),9),10),{0,"йка";1,"йки";4,"ек"},2)," )",")")</f>
        <v>11 111 111 (Одиннадцать миллионов сто одиннадцать тысяч сто одиннадцать) рублей 11 копеек</v>
      </c>
    </row>
    <row r="15" spans="1:2" x14ac:dyDescent="0.25">
      <c r="A15" s="5">
        <v>123456789.31999999</v>
      </c>
      <c r="B15" s="6" t="str">
        <f>SUBSTITUTE(TEXT(TRUNC(A15,0),"# ##0_ ") &amp; "(" &amp; SUBSTITUTE(PROPER(INDEX(n_4,MID(TEXT(A15,n0),1,1)+1)&amp;INDEX(n0x,MID(TEXT(A15,n0),2,1)+1,MID(TEXT(A15,n0),3,1)+1)&amp;IF(-MID(TEXT(A15,n0),1,3),"миллиард"&amp;VLOOKUP(MID(TEXT(A15,n0),3,1)*AND(MID(TEXT(A15,n0),2,1)-1),мил,2),"")&amp;INDEX(n_4,MID(TEXT(A15,n0),4,1)+1)&amp;INDEX(n0x,MID(TEXT(A15,n0),5,1)+1,MID(TEXT(A15,n0),6,1)+1)&amp;IF(-MID(TEXT(A15,n0),4,3),"миллион"&amp;VLOOKUP(MID(TEXT(A15,n0),6,1)*AND(MID(TEXT(A15,n0),5,1)-1),мил,2),"")&amp;INDEX(n_4,MID(TEXT(A15,n0),7,1)+1)&amp;INDEX(n1x,MID(TEXT(A15,n0),8,1)+1,MID(TEXT(A15,n0),9,1)+1)&amp;IF(-MID(TEXT(A15,n0),7,3),VLOOKUP(MID(TEXT(A15,n0),9,1)*AND(MID(TEXT(A15,n0),8,1)-1),тыс,2),"")&amp;INDEX(n_4,MID(TEXT(A15,n0),10,1)+1)&amp;INDEX(n0x,MID(TEXT(A15,n0),11,1)+1,MID(TEXT(A15,n0),12,1)+1)),"z"," ")&amp;IF(TRUNC(TEXT(A15,n0)),"","Ноль ")&amp;") рубл"&amp;VLOOKUP(MOD(MAX(MOD(MID(TEXT(A15,n0),11,2)-11,100),9),10),{0,"ь ";1,"я ";4,"ей "},2)&amp;RIGHT(TEXT(A15,n0),2)&amp;" копе"&amp;VLOOKUP(MOD(MAX(MOD(RIGHT(TEXT(A15,n0),2)-11,100),9),10),{0,"йка";1,"йки";4,"ек"},2)," )",")")</f>
        <v>123 456 789 (Сто двадцать три миллиона четыреста пятьдесят шесть тысяч семьсот восемьдесят девять) рублей 32 копейки</v>
      </c>
    </row>
    <row r="16" spans="1:2" x14ac:dyDescent="0.25">
      <c r="A16" s="5">
        <v>123456789012.34</v>
      </c>
      <c r="B16" s="6" t="str">
        <f>SUBSTITUTE(TEXT(TRUNC(A16,0),"# ##0_ ") &amp; "(" &amp; SUBSTITUTE(PROPER(INDEX(n_4,MID(TEXT(A16,n0),1,1)+1)&amp;INDEX(n0x,MID(TEXT(A16,n0),2,1)+1,MID(TEXT(A16,n0),3,1)+1)&amp;IF(-MID(TEXT(A16,n0),1,3),"миллиард"&amp;VLOOKUP(MID(TEXT(A16,n0),3,1)*AND(MID(TEXT(A16,n0),2,1)-1),мил,2),"")&amp;INDEX(n_4,MID(TEXT(A16,n0),4,1)+1)&amp;INDEX(n0x,MID(TEXT(A16,n0),5,1)+1,MID(TEXT(A16,n0),6,1)+1)&amp;IF(-MID(TEXT(A16,n0),4,3),"миллион"&amp;VLOOKUP(MID(TEXT(A16,n0),6,1)*AND(MID(TEXT(A16,n0),5,1)-1),мил,2),"")&amp;INDEX(n_4,MID(TEXT(A16,n0),7,1)+1)&amp;INDEX(n1x,MID(TEXT(A16,n0),8,1)+1,MID(TEXT(A16,n0),9,1)+1)&amp;IF(-MID(TEXT(A16,n0),7,3),VLOOKUP(MID(TEXT(A16,n0),9,1)*AND(MID(TEXT(A16,n0),8,1)-1),тыс,2),"")&amp;INDEX(n_4,MID(TEXT(A16,n0),10,1)+1)&amp;INDEX(n0x,MID(TEXT(A16,n0),11,1)+1,MID(TEXT(A16,n0),12,1)+1)),"z"," ")&amp;IF(TRUNC(TEXT(A16,n0)),"","Ноль ")&amp;") рубл"&amp;VLOOKUP(MOD(MAX(MOD(MID(TEXT(A16,n0),11,2)-11,100),9),10),{0,"ь ";1,"я ";4,"ей "},2)&amp;RIGHT(TEXT(A16,n0),2)&amp;" копе"&amp;VLOOKUP(MOD(MAX(MOD(RIGHT(TEXT(A16,n0),2)-11,100),9),10),{0,"йка";1,"йки";4,"ек"},2)," )",")")</f>
        <v>123 456 789 012 (Сто двадцать три миллиарда четыреста пятьдесят шесть миллионов семьсот восемьдесят девять тысяч двенадцать) рублей 34 копейки</v>
      </c>
    </row>
    <row r="17" spans="1:2" x14ac:dyDescent="0.25">
      <c r="A17" s="7" t="s">
        <v>17</v>
      </c>
      <c r="B17" s="8"/>
    </row>
    <row r="18" spans="1:2" x14ac:dyDescent="0.25">
      <c r="A18" s="5">
        <f ca="1">ROUND((RAND()*1000000),2)</f>
        <v>329705.21999999997</v>
      </c>
      <c r="B18" s="6" t="str">
        <f ca="1">SUBSTITUTE(TEXT(TRUNC(A18,0),"# ##0_ ") &amp; "(" &amp; SUBSTITUTE(PROPER(INDEX(n_4,MID(TEXT(A18,n0),1,1)+1)&amp;INDEX(n0x,MID(TEXT(A18,n0),2,1)+1,MID(TEXT(A18,n0),3,1)+1)&amp;IF(-MID(TEXT(A18,n0),1,3),"миллиард"&amp;VLOOKUP(MID(TEXT(A18,n0),3,1)*AND(MID(TEXT(A18,n0),2,1)-1),мил,2),"")&amp;INDEX(n_4,MID(TEXT(A18,n0),4,1)+1)&amp;INDEX(n0x,MID(TEXT(A18,n0),5,1)+1,MID(TEXT(A18,n0),6,1)+1)&amp;IF(-MID(TEXT(A18,n0),4,3),"миллион"&amp;VLOOKUP(MID(TEXT(A18,n0),6,1)*AND(MID(TEXT(A18,n0),5,1)-1),мил,2),"")&amp;INDEX(n_4,MID(TEXT(A18,n0),7,1)+1)&amp;INDEX(n1x,MID(TEXT(A18,n0),8,1)+1,MID(TEXT(A18,n0),9,1)+1)&amp;IF(-MID(TEXT(A18,n0),7,3),VLOOKUP(MID(TEXT(A18,n0),9,1)*AND(MID(TEXT(A18,n0),8,1)-1),тыс,2),"")&amp;INDEX(n_4,MID(TEXT(A18,n0),10,1)+1)&amp;INDEX(n0x,MID(TEXT(A18,n0),11,1)+1,MID(TEXT(A18,n0),12,1)+1)),"z"," ")&amp;IF(TRUNC(TEXT(A18,n0)),"","Ноль ")&amp;") рубл"&amp;VLOOKUP(MOD(MAX(MOD(MID(TEXT(A18,n0),11,2)-11,100),9),10),{0,"ь ";1,"я ";4,"ей "},2)&amp;RIGHT(TEXT(A18,n0),2)&amp;" копе"&amp;VLOOKUP(MOD(MAX(MOD(RIGHT(TEXT(A18,n0),2)-11,100),9),10),{0,"йка";1,"йки";4,"ек"},2)," )",")")</f>
        <v>329 705 (Триста двадцать девять тысяч семьсот пять) рублей 22 копейки</v>
      </c>
    </row>
    <row r="19" spans="1:2" x14ac:dyDescent="0.25">
      <c r="A19" s="5">
        <f ca="1">ROUND((RAND()*10000000),2)</f>
        <v>3906149.1</v>
      </c>
      <c r="B19" s="6" t="str">
        <f ca="1">SUBSTITUTE(TEXT(TRUNC(A19,0),"# ##0_ ") &amp; "(" &amp; SUBSTITUTE(PROPER(INDEX(n_4,MID(TEXT(A19,n0),1,1)+1)&amp;INDEX(n0x,MID(TEXT(A19,n0),2,1)+1,MID(TEXT(A19,n0),3,1)+1)&amp;IF(-MID(TEXT(A19,n0),1,3),"миллиард"&amp;VLOOKUP(MID(TEXT(A19,n0),3,1)*AND(MID(TEXT(A19,n0),2,1)-1),мил,2),"")&amp;INDEX(n_4,MID(TEXT(A19,n0),4,1)+1)&amp;INDEX(n0x,MID(TEXT(A19,n0),5,1)+1,MID(TEXT(A19,n0),6,1)+1)&amp;IF(-MID(TEXT(A19,n0),4,3),"миллион"&amp;VLOOKUP(MID(TEXT(A19,n0),6,1)*AND(MID(TEXT(A19,n0),5,1)-1),мил,2),"")&amp;INDEX(n_4,MID(TEXT(A19,n0),7,1)+1)&amp;INDEX(n1x,MID(TEXT(A19,n0),8,1)+1,MID(TEXT(A19,n0),9,1)+1)&amp;IF(-MID(TEXT(A19,n0),7,3),VLOOKUP(MID(TEXT(A19,n0),9,1)*AND(MID(TEXT(A19,n0),8,1)-1),тыс,2),"")&amp;INDEX(n_4,MID(TEXT(A19,n0),10,1)+1)&amp;INDEX(n0x,MID(TEXT(A19,n0),11,1)+1,MID(TEXT(A19,n0),12,1)+1)),"z"," ")&amp;IF(TRUNC(TEXT(A19,n0)),"","Ноль ")&amp;") рубл"&amp;VLOOKUP(MOD(MAX(MOD(MID(TEXT(A19,n0),11,2)-11,100),9),10),{0,"ь ";1,"я ";4,"ей "},2)&amp;RIGHT(TEXT(A19,n0),2)&amp;" копе"&amp;VLOOKUP(MOD(MAX(MOD(RIGHT(TEXT(A19,n0),2)-11,100),9),10),{0,"йка";1,"йки";4,"ек"},2)," )",")")</f>
        <v>3 906 149 (Три миллиона девятьсот шесть тысяч сто сорок девять) рублей 10 копеек</v>
      </c>
    </row>
    <row r="20" spans="1:2" x14ac:dyDescent="0.25">
      <c r="A20" s="5">
        <f ca="1">ROUND((RAND()*100000000),2)</f>
        <v>40547702.590000004</v>
      </c>
      <c r="B20" s="6" t="str">
        <f ca="1">SUBSTITUTE(TEXT(TRUNC(A20,0),"# ##0_ ") &amp; "(" &amp; SUBSTITUTE(PROPER(INDEX(n_4,MID(TEXT(A20,n0),1,1)+1)&amp;INDEX(n0x,MID(TEXT(A20,n0),2,1)+1,MID(TEXT(A20,n0),3,1)+1)&amp;IF(-MID(TEXT(A20,n0),1,3),"миллиард"&amp;VLOOKUP(MID(TEXT(A20,n0),3,1)*AND(MID(TEXT(A20,n0),2,1)-1),мил,2),"")&amp;INDEX(n_4,MID(TEXT(A20,n0),4,1)+1)&amp;INDEX(n0x,MID(TEXT(A20,n0),5,1)+1,MID(TEXT(A20,n0),6,1)+1)&amp;IF(-MID(TEXT(A20,n0),4,3),"миллион"&amp;VLOOKUP(MID(TEXT(A20,n0),6,1)*AND(MID(TEXT(A20,n0),5,1)-1),мил,2),"")&amp;INDEX(n_4,MID(TEXT(A20,n0),7,1)+1)&amp;INDEX(n1x,MID(TEXT(A20,n0),8,1)+1,MID(TEXT(A20,n0),9,1)+1)&amp;IF(-MID(TEXT(A20,n0),7,3),VLOOKUP(MID(TEXT(A20,n0),9,1)*AND(MID(TEXT(A20,n0),8,1)-1),тыс,2),"")&amp;INDEX(n_4,MID(TEXT(A20,n0),10,1)+1)&amp;INDEX(n0x,MID(TEXT(A20,n0),11,1)+1,MID(TEXT(A20,n0),12,1)+1)),"z"," ")&amp;IF(TRUNC(TEXT(A20,n0)),"","Ноль ")&amp;") рубл"&amp;VLOOKUP(MOD(MAX(MOD(MID(TEXT(A20,n0),11,2)-11,100),9),10),{0,"ь ";1,"я ";4,"ей "},2)&amp;RIGHT(TEXT(A20,n0),2)&amp;" копе"&amp;VLOOKUP(MOD(MAX(MOD(RIGHT(TEXT(A20,n0),2)-11,100),9),10),{0,"йка";1,"йки";4,"ек"},2)," )",")")</f>
        <v>40 547 702 (Сорок миллионов пятьсот сорок семь тысяч семьсот два) рубля 59 копеек</v>
      </c>
    </row>
    <row r="21" spans="1:2" x14ac:dyDescent="0.25">
      <c r="A21" s="5">
        <f ca="1">ROUND((RAND()*1000000000),2)</f>
        <v>981595518.28999996</v>
      </c>
      <c r="B21" s="6" t="str">
        <f ca="1">SUBSTITUTE(TEXT(TRUNC(A21,0),"# ##0_ ") &amp; "(" &amp; SUBSTITUTE(PROPER(INDEX(n_4,MID(TEXT(A21,n0),1,1)+1)&amp;INDEX(n0x,MID(TEXT(A21,n0),2,1)+1,MID(TEXT(A21,n0),3,1)+1)&amp;IF(-MID(TEXT(A21,n0),1,3),"миллиард"&amp;VLOOKUP(MID(TEXT(A21,n0),3,1)*AND(MID(TEXT(A21,n0),2,1)-1),мил,2),"")&amp;INDEX(n_4,MID(TEXT(A21,n0),4,1)+1)&amp;INDEX(n0x,MID(TEXT(A21,n0),5,1)+1,MID(TEXT(A21,n0),6,1)+1)&amp;IF(-MID(TEXT(A21,n0),4,3),"миллион"&amp;VLOOKUP(MID(TEXT(A21,n0),6,1)*AND(MID(TEXT(A21,n0),5,1)-1),мил,2),"")&amp;INDEX(n_4,MID(TEXT(A21,n0),7,1)+1)&amp;INDEX(n1x,MID(TEXT(A21,n0),8,1)+1,MID(TEXT(A21,n0),9,1)+1)&amp;IF(-MID(TEXT(A21,n0),7,3),VLOOKUP(MID(TEXT(A21,n0),9,1)*AND(MID(TEXT(A21,n0),8,1)-1),тыс,2),"")&amp;INDEX(n_4,MID(TEXT(A21,n0),10,1)+1)&amp;INDEX(n0x,MID(TEXT(A21,n0),11,1)+1,MID(TEXT(A21,n0),12,1)+1)),"z"," ")&amp;IF(TRUNC(TEXT(A21,n0)),"","Ноль ")&amp;") рубл"&amp;VLOOKUP(MOD(MAX(MOD(MID(TEXT(A21,n0),11,2)-11,100),9),10),{0,"ь ";1,"я ";4,"ей "},2)&amp;RIGHT(TEXT(A21,n0),2)&amp;" копе"&amp;VLOOKUP(MOD(MAX(MOD(RIGHT(TEXT(A21,n0),2)-11,100),9),10),{0,"йка";1,"йки";4,"ек"},2)," )",")")</f>
        <v>981 595 518 (Девятьсот восемьдесят один миллион пятьсот девяносто пять тысяч пятьсот восемнадцать) рублей 29 копеек</v>
      </c>
    </row>
    <row r="22" spans="1:2" x14ac:dyDescent="0.25">
      <c r="A22" s="5">
        <f ca="1">ROUND((RAND()*1000000000000),2)</f>
        <v>464085964767.22998</v>
      </c>
      <c r="B22" s="6" t="str">
        <f ca="1">SUBSTITUTE(TEXT(TRUNC(A22,0),"# ##0_ ") &amp; "(" &amp; SUBSTITUTE(PROPER(INDEX(n_4,MID(TEXT(A22,n0),1,1)+1)&amp;INDEX(n0x,MID(TEXT(A22,n0),2,1)+1,MID(TEXT(A22,n0),3,1)+1)&amp;IF(-MID(TEXT(A22,n0),1,3),"миллиард"&amp;VLOOKUP(MID(TEXT(A22,n0),3,1)*AND(MID(TEXT(A22,n0),2,1)-1),мил,2),"")&amp;INDEX(n_4,MID(TEXT(A22,n0),4,1)+1)&amp;INDEX(n0x,MID(TEXT(A22,n0),5,1)+1,MID(TEXT(A22,n0),6,1)+1)&amp;IF(-MID(TEXT(A22,n0),4,3),"миллион"&amp;VLOOKUP(MID(TEXT(A22,n0),6,1)*AND(MID(TEXT(A22,n0),5,1)-1),мил,2),"")&amp;INDEX(n_4,MID(TEXT(A22,n0),7,1)+1)&amp;INDEX(n1x,MID(TEXT(A22,n0),8,1)+1,MID(TEXT(A22,n0),9,1)+1)&amp;IF(-MID(TEXT(A22,n0),7,3),VLOOKUP(MID(TEXT(A22,n0),9,1)*AND(MID(TEXT(A22,n0),8,1)-1),тыс,2),"")&amp;INDEX(n_4,MID(TEXT(A22,n0),10,1)+1)&amp;INDEX(n0x,MID(TEXT(A22,n0),11,1)+1,MID(TEXT(A22,n0),12,1)+1)),"z"," ")&amp;IF(TRUNC(TEXT(A22,n0)),"","Ноль ")&amp;") рубл"&amp;VLOOKUP(MOD(MAX(MOD(MID(TEXT(A22,n0),11,2)-11,100),9),10),{0,"ь ";1,"я ";4,"ей "},2)&amp;RIGHT(TEXT(A22,n0),2)&amp;" копе"&amp;VLOOKUP(MOD(MAX(MOD(RIGHT(TEXT(A22,n0),2)-11,100),9),10),{0,"йка";1,"йки";4,"ек"},2)," )",")")</f>
        <v>464 085 964 767 (Четыреста шестьдесят четыре миллиарда восемьдесят пять миллионов девятьсот шестьдесят четыре тысячи семьсот шестьдесят семь) рублей 23 копейки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ОНМЦК </vt:lpstr>
      <vt:lpstr>Лист1</vt:lpstr>
      <vt:lpstr>'ОНМЦК 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nchln_key02</dc:creator>
  <cp:lastModifiedBy>Елена Громова</cp:lastModifiedBy>
  <cp:lastPrinted>2026-06-01T09:02:05Z</cp:lastPrinted>
  <dcterms:created xsi:type="dcterms:W3CDTF">2014-06-16T13:17:11Z</dcterms:created>
  <dcterms:modified xsi:type="dcterms:W3CDTF">2026-07-08T05:43:44Z</dcterms:modified>
</cp:coreProperties>
</file>